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_rels/sheet3.xml.rels" ContentType="application/vnd.openxmlformats-package.relationships+xml"/>
  <Override PartName="/xl/worksheets/_rels/sheet6.xml.rels" ContentType="application/vnd.openxmlformats-package.relationships+xml"/>
  <Override PartName="/xl/worksheets/_rels/sheet9.xml.rels" ContentType="application/vnd.openxmlformats-package.relationships+xml"/>
  <Override PartName="/xl/worksheets/_rels/sheet10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mmary" sheetId="1" state="visible" r:id="rId3"/>
    <sheet name="Budget Summary" sheetId="2" state="visible" r:id="rId4"/>
    <sheet name="Budget Calculations" sheetId="3" state="visible" r:id="rId5"/>
    <sheet name="Solar GHG Calculations" sheetId="4" state="visible" r:id="rId6"/>
    <sheet name="Cost Efficency" sheetId="5" state="visible" r:id="rId7"/>
    <sheet name="Electric Cars" sheetId="6" state="visible" r:id="rId8"/>
    <sheet name="Drivers by State" sheetId="7" state="visible" r:id="rId9"/>
    <sheet name="EV Chargers" sheetId="8" state="visible" r:id="rId10"/>
    <sheet name="James H Miller" sheetId="9" state="visible" r:id="rId11"/>
    <sheet name="Budget_old" sheetId="10" state="visible" r:id="rId12"/>
    <sheet name="Town Building Statistics" sheetId="11" state="visible" r:id="rId13"/>
    <sheet name="Efficiency" sheetId="12" state="visible" r:id="rId14"/>
    <sheet name="Net Zero" sheetId="13" state="visible" r:id="rId15"/>
    <sheet name="Market Based" sheetId="14" state="visible" r:id="rId16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<sst xmlns="http://schemas.openxmlformats.org/spreadsheetml/2006/main" count="2145" uniqueCount="605">
  <si>
    <t xml:space="preserve">Town of Parrish Residential Emissions Reduction</t>
  </si>
  <si>
    <t xml:space="preserve">2025-2030</t>
  </si>
  <si>
    <t xml:space="preserve">2025-2035</t>
  </si>
  <si>
    <t xml:space="preserve">2025-2050</t>
  </si>
  <si>
    <t xml:space="preserve">Counterfactual Buildings</t>
  </si>
  <si>
    <t xml:space="preserve">Counterfactual Vehicles</t>
  </si>
  <si>
    <t xml:space="preserve">Counterfactual Total</t>
  </si>
  <si>
    <t xml:space="preserve">Minimum Activation Buildings</t>
  </si>
  <si>
    <t xml:space="preserve">Minimum Activation Vehicles</t>
  </si>
  <si>
    <t xml:space="preserve">Minimum Activation Total</t>
  </si>
  <si>
    <t xml:space="preserve">Moderate Activation Buildings</t>
  </si>
  <si>
    <t xml:space="preserve">Moderate Activation Vehicles</t>
  </si>
  <si>
    <t xml:space="preserve">Moderate Activation Total</t>
  </si>
  <si>
    <t xml:space="preserve">Maximum Activation Buildings</t>
  </si>
  <si>
    <t xml:space="preserve">Maximum Activation Vehicles</t>
  </si>
  <si>
    <t xml:space="preserve">Maximum Activation Total</t>
  </si>
  <si>
    <t xml:space="preserve">Town of Parrish Government Solar</t>
  </si>
  <si>
    <t xml:space="preserve">Town Vehicles</t>
  </si>
  <si>
    <t xml:space="preserve">Town Buildings</t>
  </si>
  <si>
    <t xml:space="preserve">Town Public EV Chargers</t>
  </si>
  <si>
    <t xml:space="preserve">Total</t>
  </si>
  <si>
    <t xml:space="preserve">Minimum Total</t>
  </si>
  <si>
    <t xml:space="preserve">Moderate Total</t>
  </si>
  <si>
    <t xml:space="preserve">Maximum Total</t>
  </si>
  <si>
    <t xml:space="preserve">2025-2030 mt CO2e reduction</t>
  </si>
  <si>
    <t xml:space="preserve">2025-2035 mt CO2e reduction</t>
  </si>
  <si>
    <t xml:space="preserve">2025-2050 mt CO2e reduction</t>
  </si>
  <si>
    <t xml:space="preserve">Cost</t>
  </si>
  <si>
    <t xml:space="preserve">$/CO2e 2025-2030</t>
  </si>
  <si>
    <t xml:space="preserve">$/CO2e 2025-2035</t>
  </si>
  <si>
    <t xml:space="preserve">$/CO2e 2025-2050</t>
  </si>
  <si>
    <t xml:space="preserve">EV+EV Chargers</t>
  </si>
  <si>
    <t xml:space="preserve">JC</t>
  </si>
  <si>
    <t xml:space="preserve">GCC</t>
  </si>
  <si>
    <t xml:space="preserve">Year by year emissions reduction</t>
  </si>
  <si>
    <t xml:space="preserve">Maximum Scenario, Solar Rooftops</t>
  </si>
  <si>
    <t xml:space="preserve">2024 (comparison year total emissions)</t>
  </si>
  <si>
    <t xml:space="preserve">Non-emergency town cars/trucks</t>
  </si>
  <si>
    <t xml:space="preserve">EV Chargers</t>
  </si>
  <si>
    <t xml:space="preserve">Town total</t>
  </si>
  <si>
    <t xml:space="preserve">Housing Emissions</t>
  </si>
  <si>
    <t xml:space="preserve">Resident Vehicle Emissions</t>
  </si>
  <si>
    <t xml:space="preserve">Maximum Scenario</t>
  </si>
  <si>
    <t xml:space="preserve">2024 (comparison year)</t>
  </si>
  <si>
    <t xml:space="preserve">EV/Chargers emissions</t>
  </si>
  <si>
    <t xml:space="preserve">EV resident</t>
  </si>
  <si>
    <t xml:space="preserve">EV Total Emissions Reduction</t>
  </si>
  <si>
    <t xml:space="preserve">JC resident</t>
  </si>
  <si>
    <t xml:space="preserve">JC Total Emissions Reduction</t>
  </si>
  <si>
    <t xml:space="preserve">GCC Resident</t>
  </si>
  <si>
    <t xml:space="preserve">GCC Total Emissions Reduction</t>
  </si>
  <si>
    <t xml:space="preserve">Total decrease</t>
  </si>
  <si>
    <t xml:space="preserve">Moderate Scenario, Solar Rooftops</t>
  </si>
  <si>
    <t xml:space="preserve">Minimum Scenario, Solar Rooftops</t>
  </si>
  <si>
    <t xml:space="preserve">Parrish Sustainability Activation Project</t>
  </si>
  <si>
    <t xml:space="preserve">Categories </t>
  </si>
  <si>
    <t xml:space="preserve">Line Item &amp;  
Itemized Costs</t>
  </si>
  <si>
    <t xml:space="preserve">Year 1 </t>
  </si>
  <si>
    <t xml:space="preserve">Year 2 </t>
  </si>
  <si>
    <t xml:space="preserve">Year 3 </t>
  </si>
  <si>
    <t xml:space="preserve">Year 4 </t>
  </si>
  <si>
    <t xml:space="preserve">Year 5 </t>
  </si>
  <si>
    <t xml:space="preserve">Total EPA  
Funding</t>
  </si>
  <si>
    <t xml:space="preserve">PERSONNEL</t>
  </si>
  <si>
    <t xml:space="preserve">Cost of Living Adjustment</t>
  </si>
  <si>
    <t xml:space="preserve">In-kind services 1 FTE @ 12.50/hour</t>
  </si>
  <si>
    <t xml:space="preserve">TOTAL PERSONNEL </t>
  </si>
  <si>
    <t xml:space="preserve">FRINGE  
BENEFITS</t>
  </si>
  <si>
    <t xml:space="preserve">1 FTE  Fringe Benefits  @ $863.2/month (In-Kind)</t>
  </si>
  <si>
    <t xml:space="preserve">TOTAL FRINGE </t>
  </si>
  <si>
    <t xml:space="preserve">EQUIPMENT </t>
  </si>
  <si>
    <t xml:space="preserve">8 Sedans @ $30,297 each</t>
  </si>
  <si>
    <t xml:space="preserve">2 Light Trucks @ $49,995 each</t>
  </si>
  <si>
    <t xml:space="preserve">TOTAL EQUIPMENT </t>
  </si>
  <si>
    <t xml:space="preserve">CONTRACTUAL </t>
  </si>
  <si>
    <t xml:space="preserve"> </t>
  </si>
  <si>
    <r>
      <rPr>
        <sz val="9"/>
        <rFont val="Calibri"/>
        <family val="2"/>
        <charset val="1"/>
      </rPr>
      <t xml:space="preserve">Contractor to  
perform energy audit of all town buildings @ </t>
    </r>
    <r>
      <rPr>
        <sz val="9"/>
        <rFont val="Segoe UI"/>
        <family val="0"/>
        <charset val="1"/>
      </rPr>
      <t xml:space="preserve">¢</t>
    </r>
    <r>
      <rPr>
        <sz val="9"/>
        <rFont val="Calibri"/>
        <family val="2"/>
        <charset val="1"/>
      </rPr>
      <t xml:space="preserve">50 per ft</t>
    </r>
    <r>
      <rPr>
        <vertAlign val="superscript"/>
        <sz val="9"/>
        <rFont val="Calibri"/>
        <family val="2"/>
        <charset val="1"/>
      </rPr>
      <t xml:space="preserve">2</t>
    </r>
  </si>
  <si>
    <t xml:space="preserve">Contract to renovate old high school into Government and Community Center</t>
  </si>
  <si>
    <t xml:space="preserve">Contract to renovate old town hall into Justice Center</t>
  </si>
  <si>
    <t xml:space="preserve">Contract to install 10 level 2 EV Chargers (5 in each location) @ $5,247 per Charger after rebate</t>
  </si>
  <si>
    <t xml:space="preserve">Contract to install 5 level 3 EV Chargers @ $94,595 per Charger</t>
  </si>
  <si>
    <t xml:space="preserve">Contract to install solar panels for EV Chargers @ $4 per watt</t>
  </si>
  <si>
    <t xml:space="preserve">Contract to install solar panels for renovated buildings @ $4 per watt</t>
  </si>
  <si>
    <t xml:space="preserve">Contract to conduct 4 exploratory studies for net-zero alternatives @ $50,000 per study</t>
  </si>
  <si>
    <t xml:space="preserve">Contract to install battery storage for JC &amp; GCC @ $1,000/Kw &amp; $$276/KwH</t>
  </si>
  <si>
    <t xml:space="preserve">Contract to install battery storage for Town Hall EV chargers @ $482/KwH</t>
  </si>
  <si>
    <t xml:space="preserve">TOTAL  
CONTRACTUAL</t>
  </si>
  <si>
    <t xml:space="preserve">OTHER </t>
  </si>
  <si>
    <t xml:space="preserve">Non-fuel operating costs for 8 EV Sedans for 5 years @ $15,126 each</t>
  </si>
  <si>
    <t xml:space="preserve">Non-fuel operating costs for 2 EV Light Trucks for 5 years @ $18,755 each</t>
  </si>
  <si>
    <t xml:space="preserve">5% project contingency for items not already including a 5% project contingency</t>
  </si>
  <si>
    <t xml:space="preserve">Expected Inflation</t>
  </si>
  <si>
    <t xml:space="preserve">TOTAL OTHER </t>
  </si>
  <si>
    <t xml:space="preserve">INDIRECT  
COSTS</t>
  </si>
  <si>
    <t xml:space="preserve">Subaward to Capacity Collaborative @ $35,000/year</t>
  </si>
  <si>
    <t xml:space="preserve">Total Indirect Costs </t>
  </si>
  <si>
    <t xml:space="preserve">TOTAL FUNDING  FOR PSAP</t>
  </si>
  <si>
    <t xml:space="preserve">PCAP Top Line Budget</t>
  </si>
  <si>
    <t xml:space="preserve">Quote for Net Zero Renovation to Justice Center</t>
  </si>
  <si>
    <t xml:space="preserve">Quote for Energy Audit of all existing town buildings</t>
  </si>
  <si>
    <t xml:space="preserve">Quote for Rooftop Solar system + battery for GCC</t>
  </si>
  <si>
    <t xml:space="preserve">Quote for Net Zero Renovation of GCC</t>
  </si>
  <si>
    <t xml:space="preserve">Total Vehicle Cost</t>
  </si>
  <si>
    <t xml:space="preserve">Total EV Charger Cost</t>
  </si>
  <si>
    <t xml:space="preserve">Administrative Costs</t>
  </si>
  <si>
    <t xml:space="preserve">Total Cost</t>
  </si>
  <si>
    <t xml:space="preserve">Ownership Costs 2023 Chevy Bolt : 5-Year Breakdown</t>
  </si>
  <si>
    <t xml:space="preserve">Year 1</t>
  </si>
  <si>
    <t xml:space="preserve">Year 2</t>
  </si>
  <si>
    <t xml:space="preserve">Year 3</t>
  </si>
  <si>
    <t xml:space="preserve">Year 4</t>
  </si>
  <si>
    <t xml:space="preserve">Year 5</t>
  </si>
  <si>
    <t xml:space="preserve">Item (Source)</t>
  </si>
  <si>
    <t xml:space="preserve">Total Equipment costs</t>
  </si>
  <si>
    <t xml:space="preserve">Insurance</t>
  </si>
  <si>
    <t xml:space="preserve">Level 2 charging station (per charger, 2019 dollars, 5 per site)</t>
  </si>
  <si>
    <t xml:space="preserve">Maintenance</t>
  </si>
  <si>
    <t xml:space="preserve">Labor</t>
  </si>
  <si>
    <t xml:space="preserve">Cars</t>
  </si>
  <si>
    <t xml:space="preserve">Repairs</t>
  </si>
  <si>
    <t xml:space="preserve">Materials</t>
  </si>
  <si>
    <t xml:space="preserve">Solar For Chargers</t>
  </si>
  <si>
    <t xml:space="preserve">Taxes &amp; Fees</t>
  </si>
  <si>
    <t xml:space="preserve">Permit</t>
  </si>
  <si>
    <t xml:space="preserve">Solar for Buildings</t>
  </si>
  <si>
    <t xml:space="preserve">Acquisition</t>
  </si>
  <si>
    <t xml:space="preserve">Tax</t>
  </si>
  <si>
    <t xml:space="preserve">Total cost</t>
  </si>
  <si>
    <t xml:space="preserve">Equipment</t>
  </si>
  <si>
    <t xml:space="preserve">Total per charger</t>
  </si>
  <si>
    <t xml:space="preserve">Ownership Costs 2022 F150 Lightning: 5-Year Breakdown</t>
  </si>
  <si>
    <t xml:space="preserve">Total per charger in 2024 dollars</t>
  </si>
  <si>
    <t xml:space="preserve">Quantity of chargers (5 in each location)</t>
  </si>
  <si>
    <t xml:space="preserve">Subtotal</t>
  </si>
  <si>
    <t xml:space="preserve">Per-charger tax rebate</t>
  </si>
  <si>
    <t xml:space="preserve">Total per charger after rebate</t>
  </si>
  <si>
    <t xml:space="preserve">Subtotal after rebate</t>
  </si>
  <si>
    <t xml:space="preserve">Sticker</t>
  </si>
  <si>
    <t xml:space="preserve">Total cost for 10 Chargers</t>
  </si>
  <si>
    <t xml:space="preserve">Total Chevy Cost</t>
  </si>
  <si>
    <t xml:space="preserve">Total Ford Cost</t>
  </si>
  <si>
    <t xml:space="preserve">Level 3 charging station (150kW, 3 at one site)</t>
  </si>
  <si>
    <t xml:space="preserve">Total Vehicle Costs</t>
  </si>
  <si>
    <t xml:space="preserve">Prepared:  March 1, 2024</t>
  </si>
  <si>
    <t xml:space="preserve">CODE</t>
  </si>
  <si>
    <t xml:space="preserve">DESCRIPTION</t>
  </si>
  <si>
    <t xml:space="preserve">COST</t>
  </si>
  <si>
    <t xml:space="preserve">Quantity of chargers (3 in each location)</t>
  </si>
  <si>
    <t xml:space="preserve">PROJECT SUMMARY</t>
  </si>
  <si>
    <t xml:space="preserve">COMPONENT/BUILDING PHASE</t>
  </si>
  <si>
    <t xml:space="preserve">Project Costs</t>
  </si>
  <si>
    <t xml:space="preserve">A.  SUBSTRUCTURE</t>
  </si>
  <si>
    <t xml:space="preserve">Structural supplementation for new loads</t>
  </si>
  <si>
    <t xml:space="preserve">B.  SHELL</t>
  </si>
  <si>
    <t xml:space="preserve">Building Envelope Sealing and Insulation Improvements</t>
  </si>
  <si>
    <t xml:space="preserve">Total Charger Cost</t>
  </si>
  <si>
    <t xml:space="preserve">C.  INTERIORS</t>
  </si>
  <si>
    <t xml:space="preserve">Ceiling Replacement, Misc Finishes Demo Repair</t>
  </si>
  <si>
    <t xml:space="preserve">D.  SERVICES</t>
  </si>
  <si>
    <t xml:space="preserve">Mechanical, Electrical, Plumbing, FP -Efficency Replacement</t>
  </si>
  <si>
    <t xml:space="preserve">E.  SPECIAL SERVICES AND EQUIPMENT</t>
  </si>
  <si>
    <t xml:space="preserve">Energy Management</t>
  </si>
  <si>
    <t xml:space="preserve">F. SPECIAL CONSTRUCTION AND DEMOLITION</t>
  </si>
  <si>
    <t xml:space="preserve">G.  BUILDING SITEWORK</t>
  </si>
  <si>
    <t xml:space="preserve">H. MATERIALS TESTING AND ABATEMENT</t>
  </si>
  <si>
    <t xml:space="preserve">Z.  GENERAL CONDITIONS</t>
  </si>
  <si>
    <t xml:space="preserve">SUBTOTAL </t>
  </si>
  <si>
    <t xml:space="preserve">CONSTRUCTION CONTINGENCY </t>
  </si>
  <si>
    <t xml:space="preserve"> ESCALATION </t>
  </si>
  <si>
    <t xml:space="preserve">BUILDING CONSTRUCTION COSTS</t>
  </si>
  <si>
    <t xml:space="preserve">DESIGN/ENGINEERING FEES</t>
  </si>
  <si>
    <t xml:space="preserve">PROJECT CONTINGENCY</t>
  </si>
  <si>
    <t xml:space="preserve">TOTAL</t>
  </si>
  <si>
    <t xml:space="preserve">First Year</t>
  </si>
  <si>
    <t xml:space="preserve">Second Year</t>
  </si>
  <si>
    <t xml:space="preserve">TRAVEL</t>
  </si>
  <si>
    <t xml:space="preserve">TOTAL TRAVEL </t>
  </si>
  <si>
    <t xml:space="preserve">SUPPLIES</t>
  </si>
  <si>
    <t xml:space="preserve">TOTAL SUPPLIES </t>
  </si>
  <si>
    <r>
      <rPr>
        <sz val="10"/>
        <rFont val="Aptos Narrow"/>
        <family val="2"/>
      </rPr>
      <t xml:space="preserve">Contractor to  
perform energy audit of all town buildings @ </t>
    </r>
    <r>
      <rPr>
        <sz val="10"/>
        <rFont val="Segoe UI"/>
        <family val="0"/>
        <charset val="1"/>
      </rPr>
      <t xml:space="preserve">¢</t>
    </r>
    <r>
      <rPr>
        <sz val="10"/>
        <rFont val="Aptos Narrow"/>
        <family val="2"/>
      </rPr>
      <t xml:space="preserve">50 per ft</t>
    </r>
    <r>
      <rPr>
        <vertAlign val="superscript"/>
        <sz val="10"/>
        <rFont val="Aptos Narrow"/>
        <family val="2"/>
      </rPr>
      <t xml:space="preserve">2</t>
    </r>
  </si>
  <si>
    <t xml:space="preserve">Industrial Decarbonization GHG measure</t>
  </si>
  <si>
    <t xml:space="preserve">Subaward to ACROSS @ $100,000/year</t>
  </si>
  <si>
    <t xml:space="preserve">Admin costs</t>
  </si>
  <si>
    <t xml:space="preserve">Inflation</t>
  </si>
  <si>
    <t xml:space="preserve">Source</t>
  </si>
  <si>
    <t xml:space="preserve">Rate</t>
  </si>
  <si>
    <t xml:space="preserve">Index year</t>
  </si>
  <si>
    <t xml:space="preserve">BLS</t>
  </si>
  <si>
    <t xml:space="preserve">Federal Reserve of Cleveland 1-year expected inflation January 2024</t>
  </si>
  <si>
    <t xml:space="preserve">Federal Reserve of Cleveland 2-year expected inflation January 2024</t>
  </si>
  <si>
    <t xml:space="preserve">Federal Reserve of Cleveland 3-year expected inflation January 2024</t>
  </si>
  <si>
    <t xml:space="preserve">Federal Reserve of Cleveland 4-year expected inflation January 2024</t>
  </si>
  <si>
    <t xml:space="preserve">Federal Reserve of Cleveland 5-year expected inflation January 2024</t>
  </si>
  <si>
    <t xml:space="preserve">DESIGN DEVELOPMENT ANALYSIS - REV 1</t>
  </si>
  <si>
    <t xml:space="preserve">For The</t>
  </si>
  <si>
    <t xml:space="preserve">Parrish Govt Center Systems Modernization</t>
  </si>
  <si>
    <t xml:space="preserve">Parrish, AL</t>
  </si>
  <si>
    <t xml:space="preserve"> Prepared:  March 31, 2024 </t>
  </si>
  <si>
    <t xml:space="preserve"> CODE </t>
  </si>
  <si>
    <t xml:space="preserve"> DESCRIPTION </t>
  </si>
  <si>
    <t xml:space="preserve"> PROJECT SUMMARY </t>
  </si>
  <si>
    <t xml:space="preserve"> COMPONENT/BUILDING PHASE </t>
  </si>
  <si>
    <t xml:space="preserve"> A.  SUBSTRUCTURE </t>
  </si>
  <si>
    <t xml:space="preserve"> Structural supplementation for new loads </t>
  </si>
  <si>
    <t xml:space="preserve"> $-   </t>
  </si>
  <si>
    <t xml:space="preserve"> B.  SHELL </t>
  </si>
  <si>
    <t xml:space="preserve"> Building Envelope Sealing and Insulation Improvements </t>
  </si>
  <si>
    <t xml:space="preserve"> C.  INTERIORS </t>
  </si>
  <si>
    <t xml:space="preserve"> Ceiling Replacement, Misc Finishes Demo Repair </t>
  </si>
  <si>
    <t xml:space="preserve"> D.  SERVICES </t>
  </si>
  <si>
    <t xml:space="preserve"> Mechanical, Electrical, Plumbing, FP -Efficency Replacement </t>
  </si>
  <si>
    <t xml:space="preserve"> E.  SPECIAL SERVICES AND EQUIPMENT </t>
  </si>
  <si>
    <t xml:space="preserve">  Energy Management </t>
  </si>
  <si>
    <t xml:space="preserve"> F. SPECIAL CONSTRUCTION AND DEMOLITION </t>
  </si>
  <si>
    <t xml:space="preserve"> G.  BUILDING SITEWORK </t>
  </si>
  <si>
    <t xml:space="preserve"> Z.  GENERAL </t>
  </si>
  <si>
    <t xml:space="preserve"> SUBTOTAL  </t>
  </si>
  <si>
    <t xml:space="preserve"> CONSTRUCTION CONTINGENCY  </t>
  </si>
  <si>
    <t xml:space="preserve">  ESCALATION  </t>
  </si>
  <si>
    <t xml:space="preserve"> BUILDING CONSTRUCTION COSTS </t>
  </si>
  <si>
    <t xml:space="preserve"> DESIGN/ENGINEERING FEES </t>
  </si>
  <si>
    <t xml:space="preserve"> PROJECT CONTINGENCY </t>
  </si>
  <si>
    <t xml:space="preserve"> TOTAL </t>
  </si>
  <si>
    <t xml:space="preserve">Current Fixed Sources</t>
  </si>
  <si>
    <t xml:space="preserve">KwH/month</t>
  </si>
  <si>
    <t xml:space="preserve">KwH/year</t>
  </si>
  <si>
    <t xml:space="preserve">Energy source</t>
  </si>
  <si>
    <t xml:space="preserve">Metric tons CO2e per MwH</t>
  </si>
  <si>
    <t xml:space="preserve">CO2e Post Renovation</t>
  </si>
  <si>
    <t xml:space="preserve">High school</t>
  </si>
  <si>
    <t xml:space="preserve">Grid Power</t>
  </si>
  <si>
    <t xml:space="preserve">Old town hall</t>
  </si>
  <si>
    <t xml:space="preserve">Rooftop Solar</t>
  </si>
  <si>
    <t xml:space="preserve">new town hall</t>
  </si>
  <si>
    <t xml:space="preserve">Net Zero</t>
  </si>
  <si>
    <t xml:space="preserve">Fire Department</t>
  </si>
  <si>
    <t xml:space="preserve">Senior Center</t>
  </si>
  <si>
    <t xml:space="preserve">MwH/Year</t>
  </si>
  <si>
    <t xml:space="preserve">tons CO2e per MwH</t>
  </si>
  <si>
    <t xml:space="preserve">metric tons CO2 per year</t>
  </si>
  <si>
    <t xml:space="preserve">New Fixed Sources</t>
  </si>
  <si>
    <t xml:space="preserve">MwH/year</t>
  </si>
  <si>
    <t xml:space="preserve">Net Fixed Source CO2 Emissions Reduction per Year</t>
  </si>
  <si>
    <t xml:space="preserve">annual Vehicle-miles, Alabama</t>
  </si>
  <si>
    <t xml:space="preserve">annual Vehicle-miles, Alabama/drivers</t>
  </si>
  <si>
    <t xml:space="preserve">Sedans</t>
  </si>
  <si>
    <t xml:space="preserve">Conventional Sedans</t>
  </si>
  <si>
    <t xml:space="preserve">Mileage</t>
  </si>
  <si>
    <t xml:space="preserve">Lifecycle g CO2e/mile</t>
  </si>
  <si>
    <t xml:space="preserve">Lifetime metric tons CO2 per year</t>
  </si>
  <si>
    <t xml:space="preserve">Battery Electric Sedans (2023 Chevy Bolt)</t>
  </si>
  <si>
    <t xml:space="preserve">Lifetime g CO2e/mile</t>
  </si>
  <si>
    <t xml:space="preserve">Lifetime metric tons CO2 per year Utility Power</t>
  </si>
  <si>
    <t xml:space="preserve">Utility power Lifecycle g CO2e/mile</t>
  </si>
  <si>
    <t xml:space="preserve">Net CO2e Emissions Reduction per Year</t>
  </si>
  <si>
    <t xml:space="preserve">Light Trucks</t>
  </si>
  <si>
    <t xml:space="preserve">Conventional Light Trucks</t>
  </si>
  <si>
    <t xml:space="preserve">Lifecycle metric tons CO2 per year</t>
  </si>
  <si>
    <t xml:space="preserve">Battery Electric Light Trucks (2023 Ford Lightning)</t>
  </si>
  <si>
    <t xml:space="preserve">Net CO2 Emissions Reduction per Year</t>
  </si>
  <si>
    <t xml:space="preserve">Net Vehicle CO2 Reduction Per Year</t>
  </si>
  <si>
    <t xml:space="preserve">Total CO2 Reduction Per Year</t>
  </si>
  <si>
    <t xml:space="preserve">Previous CO2 emissions</t>
  </si>
  <si>
    <t xml:space="preserve">New CO2 Emissions</t>
  </si>
  <si>
    <t xml:space="preserve">Total Town Emissions Per Year</t>
  </si>
  <si>
    <t xml:space="preserve">Per year Sedan</t>
  </si>
  <si>
    <t xml:space="preserve">g/mile</t>
  </si>
  <si>
    <t xml:space="preserve">Total mt/CO2e/year</t>
  </si>
  <si>
    <r>
      <rPr>
        <sz val="10"/>
        <color rgb="FF000000"/>
        <rFont val="Arial"/>
        <family val="2"/>
        <charset val="1"/>
      </rPr>
      <t xml:space="preserve">New vehicle </t>
    </r>
    <r>
      <rPr>
        <sz val="10"/>
        <color rgb="FF000000"/>
        <rFont val="Arial"/>
        <family val="2"/>
      </rPr>
      <t xml:space="preserve">Lifecycle </t>
    </r>
    <r>
      <rPr>
        <sz val="11"/>
        <color rgb="FF000000"/>
        <rFont val="Aptos Narrow"/>
        <family val="2"/>
      </rPr>
      <t xml:space="preserve">g/mile</t>
    </r>
  </si>
  <si>
    <t xml:space="preserve">Electric</t>
  </si>
  <si>
    <t xml:space="preserve">2023 F150 Lightning Lifecycle CO2e/mile</t>
  </si>
  <si>
    <t xml:space="preserve">Difference</t>
  </si>
  <si>
    <t xml:space="preserve">1 year average mileage Alabama</t>
  </si>
  <si>
    <t xml:space="preserve">Per Car</t>
  </si>
  <si>
    <t xml:space="preserve">Number of Drivers</t>
  </si>
  <si>
    <t xml:space="preserve">Total Driver Emissions, g</t>
  </si>
  <si>
    <t xml:space="preserve">Difference in Driver Emissions, Metric Tons</t>
  </si>
  <si>
    <t xml:space="preserve">Average annual household electricity use in KwH, south</t>
  </si>
  <si>
    <t xml:space="preserve">Households in Parrish</t>
  </si>
  <si>
    <t xml:space="preserve">KWH</t>
  </si>
  <si>
    <t xml:space="preserve">Electricity lbs of CO2 per year</t>
  </si>
  <si>
    <t xml:space="preserve">metric tons of CO2e per year</t>
  </si>
  <si>
    <t xml:space="preserve">EPA Calculation</t>
  </si>
  <si>
    <t xml:space="preserve">Average household electricity use in KwH, south</t>
  </si>
  <si>
    <t xml:space="preserve">Residential Solar  metric tons CO2e per MwH </t>
  </si>
  <si>
    <t xml:space="preserve">metric tons of CO2 per year</t>
  </si>
  <si>
    <t xml:space="preserve">Difference per household</t>
  </si>
  <si>
    <t xml:space="preserve">Difference at 5% adoption</t>
  </si>
  <si>
    <t xml:space="preserve">At 10%</t>
  </si>
  <si>
    <t xml:space="preserve">At 25%</t>
  </si>
  <si>
    <t xml:space="preserve">Total New Vehicle Sales</t>
  </si>
  <si>
    <t xml:space="preserve">2030-2040</t>
  </si>
  <si>
    <t xml:space="preserve">Total Vehicle Registrations</t>
  </si>
  <si>
    <t xml:space="preserve">2040-2050</t>
  </si>
  <si>
    <t xml:space="preserve">Percentage of new vehicles entering the market</t>
  </si>
  <si>
    <t xml:space="preserve">Year</t>
  </si>
  <si>
    <t xml:space="preserve">2023 (national comparison year)</t>
  </si>
  <si>
    <t xml:space="preserve">EV % of new car sales (business as usual)</t>
  </si>
  <si>
    <t xml:space="preserve">Southeast average</t>
  </si>
  <si>
    <t xml:space="preserve">National Average</t>
  </si>
  <si>
    <t xml:space="preserve">Nevada Average</t>
  </si>
  <si>
    <t xml:space="preserve">California Average</t>
  </si>
  <si>
    <t xml:space="preserve">Solar rooftop Penetration (business as usual)</t>
  </si>
  <si>
    <t xml:space="preserve">5% Adoption</t>
  </si>
  <si>
    <t xml:space="preserve">10% Adoption</t>
  </si>
  <si>
    <t xml:space="preserve">25% Adoption</t>
  </si>
  <si>
    <t xml:space="preserve">Houses converted</t>
  </si>
  <si>
    <t xml:space="preserve">25% Target</t>
  </si>
  <si>
    <t xml:space="preserve">10% Target</t>
  </si>
  <si>
    <t xml:space="preserve">5% Target</t>
  </si>
  <si>
    <t xml:space="preserve">EV % of cars (business as usual)</t>
  </si>
  <si>
    <t xml:space="preserve">Southeast Actual Numbers (1 Primary Vehicle per Driver)</t>
  </si>
  <si>
    <t xml:space="preserve">Electric Cars</t>
  </si>
  <si>
    <t xml:space="preserve">Traditional Cars</t>
  </si>
  <si>
    <t xml:space="preserve">New Electric</t>
  </si>
  <si>
    <t xml:space="preserve">National Actual Numbers (1 Primary Vehicle per Driver)</t>
  </si>
  <si>
    <t xml:space="preserve">Nevada Actual Numbers (1 Primary Vehicle per Driver)</t>
  </si>
  <si>
    <t xml:space="preserve">California Actual Numbers (1 Primary Vehicle per Driver)</t>
  </si>
  <si>
    <t xml:space="preserve">Counterfactual</t>
  </si>
  <si>
    <t xml:space="preserve">Only Direct Scenario Efficiency</t>
  </si>
  <si>
    <t xml:space="preserve">Only Direct Scenario</t>
  </si>
  <si>
    <t xml:space="preserve">Minimum Scenario</t>
  </si>
  <si>
    <t xml:space="preserve">Moderate Scenario</t>
  </si>
  <si>
    <t xml:space="preserve">Efficiency gov Non-emergency Emissions</t>
  </si>
  <si>
    <t xml:space="preserve">Government of Parrish Non-emergency Emissions</t>
  </si>
  <si>
    <t xml:space="preserve">Decrease over counterfactual</t>
  </si>
  <si>
    <t xml:space="preserve">Percent decrease over counterfactual</t>
  </si>
  <si>
    <t xml:space="preserve">Total Parrish Emissions Minimum</t>
  </si>
  <si>
    <t xml:space="preserve">Total Parrish Emissions Moderate </t>
  </si>
  <si>
    <t xml:space="preserve">Total Parrish Emissions Maximum </t>
  </si>
  <si>
    <t xml:space="preserve">Annualized Emissions Decrease Compared to target year (2023)</t>
  </si>
  <si>
    <t xml:space="preserve">2035-2050</t>
  </si>
  <si>
    <t xml:space="preserve">Government of Parrish Non-emergency Emissions Decrease </t>
  </si>
  <si>
    <t xml:space="preserve">Efficiency Gov</t>
  </si>
  <si>
    <t xml:space="preserve">Counterfactual (business as usual)</t>
  </si>
  <si>
    <t xml:space="preserve">Town of Parrish Emissions Decrease (minimal activation)</t>
  </si>
  <si>
    <t xml:space="preserve">Town of Parrish Emissions Decrease (moderate activation)</t>
  </si>
  <si>
    <t xml:space="preserve">Town of Parrish Emissions Decrease (maximum activation)</t>
  </si>
  <si>
    <t xml:space="preserve">Percent Decrease</t>
  </si>
  <si>
    <t xml:space="preserve">Annualized Emissions Decrease Compared to Counterfactual</t>
  </si>
  <si>
    <t xml:space="preserve">Efficiency Option</t>
  </si>
  <si>
    <t xml:space="preserve">Non-emergency town vehicles</t>
  </si>
  <si>
    <t xml:space="preserve">Emissions decrease from comparison year</t>
  </si>
  <si>
    <t xml:space="preserve">Percentage decrease from comparison year</t>
  </si>
  <si>
    <t xml:space="preserve">Solar Rooftop Option</t>
  </si>
  <si>
    <t xml:space="preserve">Direct Emissions Reduction for Town of Parish Government</t>
  </si>
  <si>
    <t xml:space="preserve">Net Zero GCC and Justice Center Option</t>
  </si>
  <si>
    <t xml:space="preserve">Town of Parrish Emissions as a whole (Efficiency)</t>
  </si>
  <si>
    <t xml:space="preserve">Cumulative Emissions Decrease Compared to target year (2023)</t>
  </si>
  <si>
    <t xml:space="preserve">Town of Parrish Government</t>
  </si>
  <si>
    <t xml:space="preserve">PSAP Direct Town Government Emissions Decrease</t>
  </si>
  <si>
    <t xml:space="preserve">Town of Parrish Government Efficiency Only</t>
  </si>
  <si>
    <t xml:space="preserve">mt CO2e Reduction</t>
  </si>
  <si>
    <t xml:space="preserve">$/mt CO2e</t>
  </si>
  <si>
    <t xml:space="preserve">Kw</t>
  </si>
  <si>
    <t xml:space="preserve">Tons CO2e/year</t>
  </si>
  <si>
    <t xml:space="preserve">Ratio</t>
  </si>
  <si>
    <t xml:space="preserve">Town res</t>
  </si>
  <si>
    <t xml:space="preserve">town build</t>
  </si>
  <si>
    <t xml:space="preserve">town vehicles</t>
  </si>
  <si>
    <t xml:space="preserve">res vehicles</t>
  </si>
  <si>
    <t xml:space="preserve">Town buildings</t>
  </si>
  <si>
    <t xml:space="preserve">town resident</t>
  </si>
  <si>
    <t xml:space="preserve">Reduction by Year</t>
  </si>
  <si>
    <t xml:space="preserve">Power Draw</t>
  </si>
  <si>
    <t xml:space="preserve">cost NREL (solar + storage)</t>
  </si>
  <si>
    <t xml:space="preserve">Cost Estimate low</t>
  </si>
  <si>
    <t xml:space="preserve">Cost Estimate High</t>
  </si>
  <si>
    <t xml:space="preserve">24 hour Battery Cost Estimate</t>
  </si>
  <si>
    <t xml:space="preserve">72 hour battery cost</t>
  </si>
  <si>
    <t xml:space="preserve">24 hour battery bank KwH</t>
  </si>
  <si>
    <t xml:space="preserve">72 hour battery bank KwH</t>
  </si>
  <si>
    <t xml:space="preserve">High School</t>
  </si>
  <si>
    <t xml:space="preserve">Building</t>
  </si>
  <si>
    <t xml:space="preserve">Evs (5 Sedans)</t>
  </si>
  <si>
    <t xml:space="preserve">Evs + 20%</t>
  </si>
  <si>
    <t xml:space="preserve">Total + 20%</t>
  </si>
  <si>
    <t xml:space="preserve">Old Town Hall</t>
  </si>
  <si>
    <t xml:space="preserve">Vehicles (5 sedans +2 Trucks)</t>
  </si>
  <si>
    <t xml:space="preserve">New Town Hall</t>
  </si>
  <si>
    <t xml:space="preserve">Public EV Chargers</t>
  </si>
  <si>
    <t xml:space="preserve">Total+20%</t>
  </si>
  <si>
    <t xml:space="preserve">First year</t>
  </si>
  <si>
    <t xml:space="preserve">Evs</t>
  </si>
  <si>
    <t xml:space="preserve">Chargers</t>
  </si>
  <si>
    <t xml:space="preserve">Solar for Chargers</t>
  </si>
  <si>
    <t xml:space="preserve">JC Renovation</t>
  </si>
  <si>
    <t xml:space="preserve">JC Solar</t>
  </si>
  <si>
    <t xml:space="preserve">GCC Renovation</t>
  </si>
  <si>
    <t xml:space="preserve">GCC Solar</t>
  </si>
  <si>
    <t xml:space="preserve">Battery cost total</t>
  </si>
  <si>
    <t xml:space="preserve">Kw Solar</t>
  </si>
  <si>
    <t xml:space="preserve">KwH/day</t>
  </si>
  <si>
    <t xml:space="preserve">Single 72 hour duration system</t>
  </si>
  <si>
    <t xml:space="preserve">Reference: Battery Storage cost values from C. Augustine and N. Blair, “Energy Storage Futures Study Storage Technology Modeling Input Data Report,” NREL/TP-5700-78694. Golden, CO: National Renewable Energy Laboratory. https://www.nrel.gov/docs/fy21osti/78694.pdf.
</t>
  </si>
  <si>
    <t xml:space="preserve">Capital Cost ($/kWh)</t>
  </si>
  <si>
    <t xml:space="preserve">Battery Energy Capital Cost ($/kWh)</t>
  </si>
  <si>
    <t xml:space="preserve">Advanced</t>
  </si>
  <si>
    <t xml:space="preserve">Moderate</t>
  </si>
  <si>
    <t xml:space="preserve">Conservative</t>
  </si>
  <si>
    <t xml:space="preserve">Battery Power Capital Cost ($/kW)</t>
  </si>
  <si>
    <t xml:space="preserve">Total System Cost ($) = Battery Storage Capacity (kWh) *  Battery Energy Cost ($/kWh) + Battery Power Capacity (kW) * Battery Power Cost ($/kW) + Battery Power Constant ($)</t>
  </si>
  <si>
    <t xml:space="preserve">Type</t>
  </si>
  <si>
    <t xml:space="preserve">KwH/100 miles</t>
  </si>
  <si>
    <t xml:space="preserve">Average mileage</t>
  </si>
  <si>
    <t xml:space="preserve">MT CO2e/year</t>
  </si>
  <si>
    <t xml:space="preserve">EPA Location Based Calculation</t>
  </si>
  <si>
    <t xml:space="preserve">Non-motive power emissions estimate</t>
  </si>
  <si>
    <t xml:space="preserve">g/CO2e/Mile non-motive</t>
  </si>
  <si>
    <t xml:space="preserve">g/CO2e/Mile motive</t>
  </si>
  <si>
    <t xml:space="preserve">KwH/Day</t>
  </si>
  <si>
    <t xml:space="preserve">Solar Kw needed</t>
  </si>
  <si>
    <t xml:space="preserve">Mileage/day</t>
  </si>
  <si>
    <t xml:space="preserve">Motive gCo2e/mile Solar</t>
  </si>
  <si>
    <t xml:space="preserve">Total g CO2e/mile</t>
  </si>
  <si>
    <t xml:space="preserve">2023 Chevrolet Bolt EV</t>
  </si>
  <si>
    <t xml:space="preserve">2023 Ford Lightning</t>
  </si>
  <si>
    <t xml:space="preserve">kwh/day weekday</t>
  </si>
  <si>
    <t xml:space="preserve">kwh/day weekend</t>
  </si>
  <si>
    <t xml:space="preserve">MT CO2e/year Utility power</t>
  </si>
  <si>
    <t xml:space="preserve">MT CO2e/year Solar power</t>
  </si>
  <si>
    <t xml:space="preserve">Number of chargers</t>
  </si>
  <si>
    <t xml:space="preserve">Total saved per year</t>
  </si>
  <si>
    <t xml:space="preserve">Total Saved</t>
  </si>
  <si>
    <t xml:space="preserve">Total Solar Kw required</t>
  </si>
  <si>
    <t xml:space="preserve">150Kw</t>
  </si>
  <si>
    <t xml:space="preserve">Full Solar Parrish</t>
  </si>
  <si>
    <t xml:space="preserve">Cost per Kw</t>
  </si>
  <si>
    <t xml:space="preserve">Emissions AL power</t>
  </si>
  <si>
    <t xml:space="preserve">Emissions Solar</t>
  </si>
  <si>
    <t xml:space="preserve">Yearly Emission Decrease</t>
  </si>
  <si>
    <t xml:space="preserve">Lifetime Emissions</t>
  </si>
  <si>
    <t xml:space="preserve">Housing</t>
  </si>
  <si>
    <t xml:space="preserve">Government</t>
  </si>
  <si>
    <t xml:space="preserve">Personal Vehicles</t>
  </si>
  <si>
    <t xml:space="preserve">vehicle emissions calculation</t>
  </si>
  <si>
    <t xml:space="preserve">Miles</t>
  </si>
  <si>
    <t xml:space="preserve">mt Co2e</t>
  </si>
  <si>
    <t xml:space="preserve">g CO2e</t>
  </si>
  <si>
    <t xml:space="preserve">g CO2e/mile</t>
  </si>
  <si>
    <t xml:space="preserve">Passenger Car - Gas</t>
  </si>
  <si>
    <t xml:space="preserve">2025-2030 Emissions</t>
  </si>
  <si>
    <t xml:space="preserve">2025-2050 Emissions</t>
  </si>
  <si>
    <t xml:space="preserve">$/mt CO2e 2025-2030</t>
  </si>
  <si>
    <t xml:space="preserve">$/mt CO2e 2025-2050</t>
  </si>
  <si>
    <t xml:space="preserve">mt CO2e/year</t>
  </si>
  <si>
    <t xml:space="preserve">Efficiency</t>
  </si>
  <si>
    <t xml:space="preserve">Total Emissions</t>
  </si>
  <si>
    <t xml:space="preserve">Year (source)</t>
  </si>
  <si>
    <t xml:space="preserve">EV Sales  (thousands)</t>
  </si>
  <si>
    <t xml:space="preserve">New Car Sales in Thousands</t>
  </si>
  <si>
    <t xml:space="preserve">Percent of Market</t>
  </si>
  <si>
    <t xml:space="preserve">Growth Rate</t>
  </si>
  <si>
    <t xml:space="preserve">traditional market share</t>
  </si>
  <si>
    <t xml:space="preserve">growth rate</t>
  </si>
  <si>
    <t xml:space="preserve">California EV Growth rate</t>
  </si>
  <si>
    <t xml:space="preserve">year</t>
  </si>
  <si>
    <t xml:space="preserve">T</t>
  </si>
  <si>
    <t xml:space="preserve">2013</t>
  </si>
  <si>
    <t xml:space="preserve">Month (Source)</t>
  </si>
  <si>
    <t xml:space="preserve">Annualized millions of units</t>
  </si>
  <si>
    <t xml:space="preserve">Average in thousands</t>
  </si>
  <si>
    <t xml:space="preserve">Table 4-2: Licensed Drivers: 2013</t>
  </si>
  <si>
    <t xml:space="preserve">https://www.bts.gov/content/licensed-drivers</t>
  </si>
  <si>
    <t xml:space="preserve">State</t>
  </si>
  <si>
    <t xml:space="preserve">Number of licensed drivers1</t>
  </si>
  <si>
    <t xml:space="preserve">Licensed drivers per registered vehicle</t>
  </si>
  <si>
    <t xml:space="preserve">Resident population</t>
  </si>
  <si>
    <t xml:space="preserve">Driving age population (16 and over)</t>
  </si>
  <si>
    <t xml:space="preserve">Drivers per 1,000 total resident population</t>
  </si>
  <si>
    <t xml:space="preserve">Drivers per 1,000 driving age population</t>
  </si>
  <si>
    <t xml:space="preserve">Alabama</t>
  </si>
  <si>
    <t xml:space="preserve">Alaska</t>
  </si>
  <si>
    <t xml:space="preserve">Arizona</t>
  </si>
  <si>
    <t xml:space="preserve">Arkansas</t>
  </si>
  <si>
    <t xml:space="preserve">California</t>
  </si>
  <si>
    <t xml:space="preserve">Colorado</t>
  </si>
  <si>
    <t xml:space="preserve">Connecticut</t>
  </si>
  <si>
    <t xml:space="preserve">Delaware</t>
  </si>
  <si>
    <t xml:space="preserve">District of Columbia</t>
  </si>
  <si>
    <t xml:space="preserve">Florida</t>
  </si>
  <si>
    <t xml:space="preserve">Georgia</t>
  </si>
  <si>
    <t xml:space="preserve">Hawaii</t>
  </si>
  <si>
    <t xml:space="preserve">Idaho</t>
  </si>
  <si>
    <t xml:space="preserve">Illinois</t>
  </si>
  <si>
    <t xml:space="preserve">Indiana</t>
  </si>
  <si>
    <t xml:space="preserve">Iowa</t>
  </si>
  <si>
    <t xml:space="preserve">Kansas</t>
  </si>
  <si>
    <t xml:space="preserve">Kentucky</t>
  </si>
  <si>
    <t xml:space="preserve">Louisiana</t>
  </si>
  <si>
    <t xml:space="preserve">Maine</t>
  </si>
  <si>
    <t xml:space="preserve">Maryland</t>
  </si>
  <si>
    <t xml:space="preserve">Massachusetts</t>
  </si>
  <si>
    <t xml:space="preserve">Michigan</t>
  </si>
  <si>
    <t xml:space="preserve">Minnesota</t>
  </si>
  <si>
    <t xml:space="preserve">Mississippi</t>
  </si>
  <si>
    <t xml:space="preserve">Missouri</t>
  </si>
  <si>
    <t xml:space="preserve">Montana</t>
  </si>
  <si>
    <t xml:space="preserve">Nebraska</t>
  </si>
  <si>
    <t xml:space="preserve">Nevada</t>
  </si>
  <si>
    <t xml:space="preserve">New Hampshire</t>
  </si>
  <si>
    <t xml:space="preserve">New Jersey</t>
  </si>
  <si>
    <t xml:space="preserve">New Mexico</t>
  </si>
  <si>
    <t xml:space="preserve">New York2</t>
  </si>
  <si>
    <t xml:space="preserve">North Carolina</t>
  </si>
  <si>
    <t xml:space="preserve">North Dakota</t>
  </si>
  <si>
    <t xml:space="preserve">Ohio</t>
  </si>
  <si>
    <t xml:space="preserve">Oklahoma</t>
  </si>
  <si>
    <t xml:space="preserve">Oregon</t>
  </si>
  <si>
    <t xml:space="preserve">Pennsylvania</t>
  </si>
  <si>
    <t xml:space="preserve">Rhode Island</t>
  </si>
  <si>
    <t xml:space="preserve">South Carolina</t>
  </si>
  <si>
    <t xml:space="preserve">South Dakota</t>
  </si>
  <si>
    <t xml:space="preserve">Tennessee</t>
  </si>
  <si>
    <t xml:space="preserve">Texas</t>
  </si>
  <si>
    <t xml:space="preserve">Utah</t>
  </si>
  <si>
    <t xml:space="preserve">Vermont</t>
  </si>
  <si>
    <t xml:space="preserve">Virginia</t>
  </si>
  <si>
    <t xml:space="preserve">Washington</t>
  </si>
  <si>
    <t xml:space="preserve">West Virginia</t>
  </si>
  <si>
    <t xml:space="preserve">Wisconsin</t>
  </si>
  <si>
    <t xml:space="preserve">Wyoming</t>
  </si>
  <si>
    <t xml:space="preserve">United States, total</t>
  </si>
  <si>
    <t xml:space="preserve">1Includes restricted drivers and graduated driver licenses.</t>
  </si>
  <si>
    <t xml:space="preserve">2State did not provide current data, estimated by FHWA.</t>
  </si>
  <si>
    <t xml:space="preserve">SOURCE: U.S. Department of Transportation, Federal Highway Administration, Highway Statistics, DL-1C, available at www.fhwa.dot.gov/policyinformation/statistics.cfm as of June 2015.</t>
  </si>
  <si>
    <t xml:space="preserve">Item</t>
  </si>
  <si>
    <t xml:space="preserve">Level 2 charging station (per charger, 2019 dollars, one per site)</t>
  </si>
  <si>
    <t xml:space="preserve">Level 3 charging station (150kW, other assumptions identical)</t>
  </si>
  <si>
    <t xml:space="preserve">Renovation of former High School</t>
  </si>
  <si>
    <t xml:space="preserve">Rooftop Solar Battery</t>
  </si>
  <si>
    <t xml:space="preserve">https://theicct.org/sites/default/files/publications/ICCT_EV_Charging_Cost_20190813.pdf</t>
  </si>
  <si>
    <t xml:space="preserve">James H Miller Power Plant</t>
  </si>
  <si>
    <t xml:space="preserve">Mw</t>
  </si>
  <si>
    <t xml:space="preserve">MwH/year*</t>
  </si>
  <si>
    <t xml:space="preserve">mtCO2e/MwH</t>
  </si>
  <si>
    <t xml:space="preserve">lb CO2e/MwH</t>
  </si>
  <si>
    <t xml:space="preserve">Carbon Dioxide (CO2)</t>
  </si>
  <si>
    <t xml:space="preserve">Methane (CH4)</t>
  </si>
  <si>
    <t xml:space="preserve">Nitrous Oxide (N2O)</t>
  </si>
  <si>
    <t xml:space="preserve">* Assuming an 85% utilization rate</t>
  </si>
  <si>
    <t xml:space="preserve">James H Miller Power Plant (Source)</t>
  </si>
  <si>
    <t xml:space="preserve">Top Line Budget</t>
  </si>
  <si>
    <t xml:space="preserve">Calculated, generous figure from new build net zero</t>
  </si>
  <si>
    <t xml:space="preserve">Calculated, from per-ft figure given by professional</t>
  </si>
  <si>
    <t xml:space="preserve">Calculated from 90 KwH system + battery*</t>
  </si>
  <si>
    <t xml:space="preserve">*Professional Quote $1.2 million</t>
  </si>
  <si>
    <t xml:space="preserve">Quote from Architect</t>
  </si>
  <si>
    <t xml:space="preserve">Below</t>
  </si>
  <si>
    <t xml:space="preserve">Bottom Right</t>
  </si>
  <si>
    <t xml:space="preserve">10% fee, I will elaborate</t>
  </si>
  <si>
    <t xml:space="preserve">Management and consulting contract for PSAP @ $100,000/year</t>
  </si>
  <si>
    <t xml:space="preserve">Buildings</t>
  </si>
  <si>
    <t xml:space="preserve">POWER Usage</t>
  </si>
  <si>
    <t xml:space="preserve">Days</t>
  </si>
  <si>
    <t xml:space="preserve">SQ FT</t>
  </si>
  <si>
    <t xml:space="preserve">Old High School </t>
  </si>
  <si>
    <t xml:space="preserve">6,880 kwh</t>
  </si>
  <si>
    <t xml:space="preserve">Senior Center </t>
  </si>
  <si>
    <t xml:space="preserve">2,250 kwh</t>
  </si>
  <si>
    <t xml:space="preserve">2,720 kwh</t>
  </si>
  <si>
    <t xml:space="preserve">Town Hall   </t>
  </si>
  <si>
    <t xml:space="preserve">5,367 kwh</t>
  </si>
  <si>
    <t xml:space="preserve">New Town Hall </t>
  </si>
  <si>
    <t xml:space="preserve">6,240 kwh</t>
  </si>
  <si>
    <t xml:space="preserve">Federal Hourly</t>
  </si>
  <si>
    <t xml:space="preserve">Current Hourly</t>
  </si>
  <si>
    <t xml:space="preserve">Federally Required Wage</t>
  </si>
  <si>
    <t xml:space="preserve">Wage Differential</t>
  </si>
  <si>
    <t xml:space="preserve">Federal Fringe Benefits</t>
  </si>
  <si>
    <t xml:space="preserve">Fringe benefits</t>
  </si>
  <si>
    <t xml:space="preserve">Differential</t>
  </si>
  <si>
    <t xml:space="preserve">New Lifecycle vehicle g/mile</t>
  </si>
  <si>
    <t xml:space="preserve">Lifecycle CO2e/mile Pickup</t>
  </si>
  <si>
    <t xml:space="preserve">Driver Emissions, Metric Tons</t>
  </si>
  <si>
    <t xml:space="preserve">2023 (comparison year)</t>
  </si>
  <si>
    <t xml:space="preserve">Rooftop Solar Adaptation Penetration (business as usual)</t>
  </si>
  <si>
    <t xml:space="preserve">Total Parrish Emissions Moderate (Net Zero)</t>
  </si>
  <si>
    <t xml:space="preserve">Total Parrish Emissions Maximum (Net Zero)</t>
  </si>
  <si>
    <t xml:space="preserve">Town of Parrish Emissions as a whole (Efficency)</t>
  </si>
  <si>
    <t xml:space="preserve">Town of Parrish Emissions as a whole (Net Zero)</t>
  </si>
  <si>
    <t xml:space="preserve">Town of Parrish Residential Emissions </t>
  </si>
  <si>
    <t xml:space="preserve">Net Zero Adaptation Penetration (business as usual)</t>
  </si>
  <si>
    <t xml:space="preserve">Full Activation</t>
  </si>
  <si>
    <t xml:space="preserve">mt/CO2e</t>
  </si>
  <si>
    <t xml:space="preserve">Vehicles and Solar EV Chargers</t>
  </si>
  <si>
    <t xml:space="preserve">Renovation of JC</t>
  </si>
  <si>
    <t xml:space="preserve">Renovation of GCC</t>
  </si>
  <si>
    <t xml:space="preserve">KwH</t>
  </si>
  <si>
    <t xml:space="preserve">MwH/month</t>
  </si>
  <si>
    <t xml:space="preserve">Lifetime metric tons CO2</t>
  </si>
  <si>
    <t xml:space="preserve">Battery Electric Sedans (Chevy Bolt)</t>
  </si>
  <si>
    <t xml:space="preserve">Battery Electric Light Trucks</t>
  </si>
  <si>
    <t xml:space="preserve">2010 g/mi ave</t>
  </si>
  <si>
    <t xml:space="preserve">Lifetime CO2e/mile upper end Pickup</t>
  </si>
  <si>
    <t xml:space="preserve">6 month average mileage Alabama</t>
  </si>
  <si>
    <t xml:space="preserve">Number employed</t>
  </si>
  <si>
    <t xml:space="preserve">Total Employed Emissions, g</t>
  </si>
  <si>
    <t xml:space="preserve">Employed Emissions, Metric Tons</t>
  </si>
  <si>
    <t xml:space="preserve">mt CO2e/KwH</t>
  </si>
  <si>
    <t xml:space="preserve">Residential Solar  lbs CO2 per KwH </t>
  </si>
  <si>
    <t xml:space="preserve">Residential Solar mtCO2e/KwH</t>
  </si>
  <si>
    <t xml:space="preserve">Rooftop solar penetration (business as usual)</t>
  </si>
  <si>
    <t xml:space="preserve">Net Zero GCC Option</t>
  </si>
  <si>
    <t xml:space="preserve">Town of Parrish Emissions as a whole</t>
  </si>
</sst>
</file>

<file path=xl/styles.xml><?xml version="1.0" encoding="utf-8"?>
<styleSheet xmlns="http://schemas.openxmlformats.org/spreadsheetml/2006/main">
  <numFmts count="25">
    <numFmt numFmtId="164" formatCode="General"/>
    <numFmt numFmtId="165" formatCode="_(* #,##0.00_);_(* \(#,##0.00\);_(* \-??_);_(@_)"/>
    <numFmt numFmtId="166" formatCode="#,##0"/>
    <numFmt numFmtId="167" formatCode="_(\$* #,##0.00_);_(\$* \(#,##0.00\);_(\$* \-??_);_(@_)"/>
    <numFmt numFmtId="168" formatCode="\$#,##0\ ;&quot;($&quot;#,##0\)"/>
    <numFmt numFmtId="169" formatCode="_([$€-2]* #,##0.00_);_([$€-2]* \(#,##0.00\);_([$€-2]* \-??_)"/>
    <numFmt numFmtId="170" formatCode="\$#,##0.00_);&quot;($&quot;#,##0.00\)"/>
    <numFmt numFmtId="171" formatCode="_(* #,##0_);_(* \(#,##0\);_(* \-_);_(@_)"/>
    <numFmt numFmtId="172" formatCode="0%"/>
    <numFmt numFmtId="173" formatCode="\$#,##0_);[RED]&quot;($&quot;#,##0\)"/>
    <numFmt numFmtId="174" formatCode="[$$-409]#,##0.00;[RED]\-[$$-409]#,##0.00"/>
    <numFmt numFmtId="175" formatCode="#,##0.00"/>
    <numFmt numFmtId="176" formatCode="[$$-409]#,##0;[RED]\-[$$-409]#,##0"/>
    <numFmt numFmtId="177" formatCode="d\-mmm\-yy"/>
    <numFmt numFmtId="178" formatCode="_(* #,##0_);_(* \(#,##0\);_(* \-??_);_(@_)"/>
    <numFmt numFmtId="179" formatCode="0.00%"/>
    <numFmt numFmtId="180" formatCode="_(\$* #,##0_);_(\$* \(#,##0\);_(\$* \-??_);_(@_)"/>
    <numFmt numFmtId="181" formatCode="[$$-409]#,##0;\-[$$-409]#,##0"/>
    <numFmt numFmtId="182" formatCode="[$$-409]* #,##0;\-[$$-409]* #,##0"/>
    <numFmt numFmtId="183" formatCode="General"/>
    <numFmt numFmtId="184" formatCode="0"/>
    <numFmt numFmtId="185" formatCode="\$#,##0_);&quot;($&quot;#,##0\)"/>
    <numFmt numFmtId="186" formatCode="_(* #,##0_);_(* \(#,##0\);_(* \-??_);_(@_)"/>
    <numFmt numFmtId="187" formatCode="[$-409]m/d/yyyy"/>
    <numFmt numFmtId="188" formatCode="#,##0.0000"/>
  </numFmts>
  <fonts count="44">
    <font>
      <sz val="11"/>
      <color rgb="FF000000"/>
      <name val="Aptos Narrow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C0C0C0"/>
      <name val="Arial"/>
      <family val="2"/>
      <charset val="1"/>
    </font>
    <font>
      <sz val="10"/>
      <name val="Arial"/>
      <family val="0"/>
      <charset val="1"/>
    </font>
    <font>
      <sz val="10"/>
      <name val="Arial"/>
      <family val="2"/>
      <charset val="1"/>
    </font>
    <font>
      <sz val="10"/>
      <name val="Verdana"/>
      <family val="2"/>
      <charset val="1"/>
    </font>
    <font>
      <sz val="11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sz val="8"/>
      <name val="Arial"/>
      <family val="0"/>
      <charset val="1"/>
    </font>
    <font>
      <b val="true"/>
      <sz val="14"/>
      <name val="Arial"/>
      <family val="0"/>
      <charset val="1"/>
    </font>
    <font>
      <b val="true"/>
      <sz val="12"/>
      <name val="Arial"/>
      <family val="0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9"/>
      <name val="Calibri"/>
      <family val="2"/>
      <charset val="1"/>
    </font>
    <font>
      <sz val="9"/>
      <name val="Calibri"/>
      <family val="2"/>
      <charset val="1"/>
    </font>
    <font>
      <sz val="9"/>
      <color rgb="FF000000"/>
      <name val="Calibri"/>
      <family val="2"/>
      <charset val="1"/>
    </font>
    <font>
      <sz val="9"/>
      <name val="Segoe UI"/>
      <family val="0"/>
      <charset val="1"/>
    </font>
    <font>
      <vertAlign val="superscript"/>
      <sz val="9"/>
      <name val="Calibri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name val="Times New Roman"/>
      <family val="1"/>
      <charset val="1"/>
    </font>
    <font>
      <sz val="10"/>
      <color rgb="FF0000FF"/>
      <name val="Arial"/>
      <family val="2"/>
      <charset val="1"/>
    </font>
    <font>
      <i val="true"/>
      <sz val="10"/>
      <name val="Times New Roman"/>
      <family val="1"/>
      <charset val="1"/>
    </font>
    <font>
      <sz val="9"/>
      <name val="Times New Roman"/>
      <family val="1"/>
      <charset val="1"/>
    </font>
    <font>
      <sz val="10"/>
      <name val="Times New Roman"/>
      <family val="1"/>
      <charset val="1"/>
    </font>
    <font>
      <i val="true"/>
      <sz val="9"/>
      <name val="Times New Roman"/>
      <family val="1"/>
      <charset val="1"/>
    </font>
    <font>
      <b val="true"/>
      <sz val="14"/>
      <name val="Times New Roman"/>
      <family val="1"/>
      <charset val="1"/>
    </font>
    <font>
      <b val="true"/>
      <u val="single"/>
      <sz val="10"/>
      <name val="Times New Roman"/>
      <family val="1"/>
      <charset val="1"/>
    </font>
    <font>
      <b val="true"/>
      <sz val="10"/>
      <name val="Aptos Narrow"/>
      <family val="2"/>
    </font>
    <font>
      <sz val="10"/>
      <name val="Aptos Narrow"/>
      <family val="2"/>
    </font>
    <font>
      <sz val="10"/>
      <name val="Segoe UI"/>
      <family val="0"/>
      <charset val="1"/>
    </font>
    <font>
      <vertAlign val="superscript"/>
      <sz val="10"/>
      <name val="Aptos Narrow"/>
      <family val="2"/>
    </font>
    <font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1"/>
      <name val="Calibri"/>
      <family val="2"/>
      <charset val="1"/>
    </font>
    <font>
      <b val="true"/>
      <sz val="10"/>
      <color theme="0"/>
      <name val="Arial"/>
      <family val="2"/>
      <charset val="1"/>
    </font>
    <font>
      <b val="true"/>
      <sz val="11"/>
      <color theme="1"/>
      <name val="Calibri"/>
      <family val="2"/>
      <charset val="1"/>
    </font>
    <font>
      <sz val="10"/>
      <color theme="1"/>
      <name val="Arial"/>
      <family val="2"/>
      <charset val="1"/>
    </font>
    <font>
      <b val="true"/>
      <sz val="11"/>
      <name val="Calibri"/>
      <family val="2"/>
      <charset val="1"/>
    </font>
    <font>
      <sz val="11"/>
      <color theme="1"/>
      <name val="Arial"/>
      <family val="2"/>
      <charset val="1"/>
    </font>
    <font>
      <sz val="10"/>
      <name val="Arial"/>
      <family val="2"/>
    </font>
    <font>
      <b val="true"/>
      <sz val="11"/>
      <color rgb="FF000000"/>
      <name val="Aptos Narrow"/>
      <family val="2"/>
    </font>
  </fonts>
  <fills count="12">
    <fill>
      <patternFill patternType="none"/>
    </fill>
    <fill>
      <patternFill patternType="gray125"/>
    </fill>
    <fill>
      <patternFill patternType="solid">
        <fgColor rgb="FF000080"/>
        <bgColor rgb="FF000080"/>
      </patternFill>
    </fill>
    <fill>
      <patternFill patternType="solid">
        <fgColor rgb="FFE6E6FF"/>
        <bgColor rgb="FFE6E6E6"/>
      </patternFill>
    </fill>
    <fill>
      <patternFill patternType="solid">
        <fgColor rgb="FFE6E6E6"/>
        <bgColor rgb="FFE6E6FF"/>
      </patternFill>
    </fill>
    <fill>
      <patternFill patternType="solid">
        <fgColor rgb="FFFFE994"/>
        <bgColor rgb="FFFFCC99"/>
      </patternFill>
    </fill>
    <fill>
      <patternFill patternType="solid">
        <fgColor rgb="FFB4C7DC"/>
        <bgColor rgb="FFC0C0C0"/>
      </patternFill>
    </fill>
    <fill>
      <patternFill patternType="solid">
        <fgColor rgb="FF729FCF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002060"/>
        <bgColor rgb="FF000080"/>
      </patternFill>
    </fill>
    <fill>
      <patternFill patternType="solid">
        <fgColor theme="8" tint="0.5999"/>
        <bgColor rgb="FFB4C7DC"/>
      </patternFill>
    </fill>
    <fill>
      <patternFill patternType="solid">
        <fgColor rgb="FFFFCC99"/>
        <bgColor rgb="FFFFE994"/>
      </patternFill>
    </fill>
  </fills>
  <borders count="25">
    <border diagonalUp="false" diagonalDown="false">
      <left/>
      <right/>
      <top/>
      <bottom/>
      <diagonal/>
    </border>
    <border diagonalUp="false" diagonalDown="false">
      <left/>
      <right/>
      <top/>
      <bottom style="dashed">
        <color rgb="FF969696"/>
      </bottom>
      <diagonal/>
    </border>
    <border diagonalUp="false" diagonalDown="false">
      <left/>
      <right/>
      <top/>
      <bottom style="hair">
        <color rgb="FF000080"/>
      </bottom>
      <diagonal/>
    </border>
    <border diagonalUp="false" diagonalDown="false">
      <left style="hair">
        <color rgb="FF000080"/>
      </left>
      <right/>
      <top/>
      <bottom style="hair">
        <color rgb="FF000080"/>
      </bottom>
      <diagonal/>
    </border>
    <border diagonalUp="false" diagonalDown="false">
      <left/>
      <right style="hair">
        <color rgb="FF000080"/>
      </right>
      <top/>
      <bottom style="hair">
        <color rgb="FF000080"/>
      </bottom>
      <diagonal/>
    </border>
    <border diagonalUp="false" diagonalDown="false">
      <left style="hair">
        <color rgb="FF000080"/>
      </left>
      <right/>
      <top/>
      <bottom/>
      <diagonal/>
    </border>
    <border diagonalUp="false" diagonalDown="false">
      <left/>
      <right style="hair">
        <color rgb="FF000080"/>
      </right>
      <top/>
      <bottom/>
      <diagonal/>
    </border>
    <border diagonalUp="false" diagonalDown="false">
      <left/>
      <right/>
      <top style="hair">
        <color rgb="FF000080"/>
      </top>
      <bottom/>
      <diagonal/>
    </border>
    <border diagonalUp="false" diagonalDown="false">
      <left style="hair">
        <color rgb="FF000080"/>
      </left>
      <right/>
      <top style="hair">
        <color rgb="FF000080"/>
      </top>
      <bottom/>
      <diagonal/>
    </border>
    <border diagonalUp="false" diagonalDown="false">
      <left/>
      <right style="hair">
        <color rgb="FF000080"/>
      </right>
      <top style="hair">
        <color rgb="FF000080"/>
      </top>
      <bottom/>
      <diagonal/>
    </border>
    <border diagonalUp="false" diagonalDown="false">
      <left style="hair">
        <color rgb="FF000080"/>
      </left>
      <right style="hair">
        <color rgb="FF000080"/>
      </right>
      <top style="hair">
        <color rgb="FF000080"/>
      </top>
      <bottom style="hair">
        <color rgb="FF000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thin">
        <color rgb="FF969696"/>
      </bottom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>
        <color theme="0" tint="-0.15"/>
      </top>
      <bottom/>
      <diagonal/>
    </border>
    <border diagonalUp="false" diagonalDown="false">
      <left/>
      <right/>
      <top style="thin">
        <color theme="0"/>
      </top>
      <bottom style="thin">
        <color theme="0"/>
      </bottom>
      <diagonal/>
    </border>
  </borders>
  <cellStyleXfs count="55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6" fillId="0" borderId="0" applyFont="true" applyBorder="false" applyAlignment="true" applyProtection="false">
      <alignment horizontal="general" vertical="center" textRotation="0" wrapText="false" indent="0" shrinkToFit="false"/>
    </xf>
    <xf numFmtId="41" fontId="1" fillId="0" borderId="0" applyFont="true" applyBorder="false" applyAlignment="false" applyProtection="false"/>
    <xf numFmtId="167" fontId="6" fillId="0" borderId="0" applyFont="true" applyBorder="false" applyAlignment="true" applyProtection="false">
      <alignment horizontal="general" vertical="center" textRotation="0" wrapText="false" indent="0" shrinkToFit="false"/>
    </xf>
    <xf numFmtId="42" fontId="1" fillId="0" borderId="0" applyFont="true" applyBorder="false" applyAlignment="false" applyProtection="false"/>
    <xf numFmtId="172" fontId="6" fillId="0" borderId="0" applyFont="true" applyBorder="false" applyAlignment="true" applyProtection="false">
      <alignment horizontal="general" vertical="center" textRotation="0" wrapText="false" indent="0" shrinkToFit="false"/>
    </xf>
    <xf numFmtId="164" fontId="4" fillId="2" borderId="0" applyFont="true" applyBorder="false" applyAlignment="true" applyProtection="false">
      <alignment horizontal="general" vertical="center" textRotation="0" wrapText="false" indent="0" shrinkToFit="false"/>
    </xf>
    <xf numFmtId="164" fontId="5" fillId="0" borderId="1" applyFont="true" applyBorder="true" applyAlignment="true" applyProtection="false">
      <alignment horizontal="general" vertical="bottom" textRotation="0" wrapText="true" indent="0" shrinkToFit="false"/>
    </xf>
    <xf numFmtId="164" fontId="6" fillId="3" borderId="0" applyFont="true" applyBorder="false" applyAlignment="true" applyProtection="false">
      <alignment horizontal="right" vertical="center" textRotation="0" wrapText="true" indent="0" shrinkToFit="false"/>
    </xf>
    <xf numFmtId="164" fontId="6" fillId="3" borderId="2" applyFont="true" applyBorder="true" applyAlignment="true" applyProtection="false">
      <alignment horizontal="right" vertical="center" textRotation="0" wrapText="true" indent="0" shrinkToFit="false"/>
    </xf>
    <xf numFmtId="164" fontId="6" fillId="3" borderId="3" applyFont="true" applyBorder="true" applyAlignment="true" applyProtection="false">
      <alignment horizontal="right" vertical="center" textRotation="0" wrapText="true" indent="0" shrinkToFit="false"/>
    </xf>
    <xf numFmtId="164" fontId="6" fillId="3" borderId="4" applyFont="true" applyBorder="true" applyAlignment="true" applyProtection="false">
      <alignment horizontal="right" vertical="center" textRotation="0" wrapText="true" indent="0" shrinkToFit="false"/>
    </xf>
    <xf numFmtId="164" fontId="6" fillId="3" borderId="5" applyFont="true" applyBorder="true" applyAlignment="true" applyProtection="false">
      <alignment horizontal="right" vertical="center" textRotation="0" wrapText="true" indent="0" shrinkToFit="false"/>
    </xf>
    <xf numFmtId="164" fontId="6" fillId="3" borderId="6" applyFont="true" applyBorder="true" applyAlignment="true" applyProtection="false">
      <alignment horizontal="right" vertical="center" textRotation="0" wrapText="true" indent="0" shrinkToFit="false"/>
    </xf>
    <xf numFmtId="164" fontId="6" fillId="3" borderId="7" applyFont="true" applyBorder="true" applyAlignment="true" applyProtection="false">
      <alignment horizontal="right" vertical="center" textRotation="0" wrapText="true" indent="0" shrinkToFit="false"/>
    </xf>
    <xf numFmtId="164" fontId="6" fillId="3" borderId="8" applyFont="true" applyBorder="true" applyAlignment="true" applyProtection="false">
      <alignment horizontal="right" vertical="center" textRotation="0" wrapText="true" indent="0" shrinkToFit="false"/>
    </xf>
    <xf numFmtId="164" fontId="6" fillId="3" borderId="9" applyFont="true" applyBorder="true" applyAlignment="true" applyProtection="false">
      <alignment horizontal="right" vertical="center" textRotation="0" wrapText="true" indent="0" shrinkToFit="false"/>
    </xf>
    <xf numFmtId="164" fontId="6" fillId="3" borderId="10" applyFont="true" applyBorder="true" applyAlignment="true" applyProtection="false">
      <alignment horizontal="center" vertical="bottom" textRotation="0" wrapText="tru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7" fontId="5" fillId="0" borderId="0" applyFont="true" applyBorder="false" applyAlignment="true" applyProtection="false">
      <alignment horizontal="general" vertical="bottom" textRotation="0" wrapText="false" indent="0" shrinkToFit="false"/>
    </xf>
    <xf numFmtId="168" fontId="5" fillId="0" borderId="0" applyFont="true" applyBorder="false" applyAlignment="true" applyProtection="false">
      <alignment horizontal="general" vertical="bottom" textRotation="0" wrapText="false" indent="0" shrinkToFit="false"/>
    </xf>
    <xf numFmtId="169" fontId="5" fillId="0" borderId="0" applyFont="true" applyBorder="false" applyAlignment="true" applyProtection="false">
      <alignment horizontal="general" vertical="bottom" textRotation="0" wrapText="false" indent="0" shrinkToFit="false"/>
    </xf>
    <xf numFmtId="170" fontId="6" fillId="0" borderId="1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1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72" fontId="5" fillId="0" borderId="0" applyFont="true" applyBorder="false" applyAlignment="true" applyProtection="false">
      <alignment horizontal="general" vertical="bottom" textRotation="0" wrapText="false" indent="0" shrinkToFit="false"/>
    </xf>
    <xf numFmtId="167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2" applyFont="true" applyBorder="true" applyAlignment="true" applyProtection="false">
      <alignment horizontal="general" vertical="bottom" textRotation="0" wrapText="true" indent="0" shrinkToFit="false"/>
    </xf>
    <xf numFmtId="172" fontId="5" fillId="0" borderId="0" applyFont="true" applyBorder="false" applyAlignment="true" applyProtection="false">
      <alignment horizontal="general" vertical="bottom" textRotation="0" wrapText="false" indent="0" shrinkToFit="false"/>
    </xf>
    <xf numFmtId="172" fontId="5" fillId="0" borderId="0" applyFont="true" applyBorder="false" applyAlignment="true" applyProtection="false">
      <alignment horizontal="general" vertical="bottom" textRotation="0" wrapText="false" indent="0" shrinkToFit="false"/>
    </xf>
    <xf numFmtId="173" fontId="10" fillId="4" borderId="11" applyFont="true" applyBorder="true" applyAlignment="true" applyProtection="false">
      <alignment horizontal="general" vertical="center" textRotation="0" wrapText="false" indent="0" shrinkToFit="false"/>
    </xf>
    <xf numFmtId="164" fontId="11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</cellStyleXfs>
  <cellXfs count="191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5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76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7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5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5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76" fontId="1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6" fontId="1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6" fontId="17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76" fontId="1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6" fontId="18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76" fontId="1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6" fontId="1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6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1" fillId="5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5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74" fontId="14" fillId="6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74" fontId="6" fillId="6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4" fontId="14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74" fontId="6" fillId="6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7" fontId="22" fillId="7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1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4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4" fillId="0" borderId="1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3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4" fontId="6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74" fontId="6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4" fillId="0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4" fontId="0" fillId="0" borderId="1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4" fontId="1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7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4" fontId="14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1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4" fontId="0" fillId="0" borderId="19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74" fontId="0" fillId="0" borderId="19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9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24" fillId="5" borderId="0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25" fillId="5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5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6" fillId="5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7" fontId="27" fillId="5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26" fillId="7" borderId="2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7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6" fillId="5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5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8" fillId="5" borderId="0" xfId="15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22" fillId="5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9" fillId="5" borderId="0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2" fillId="5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6" fillId="5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8" fontId="26" fillId="5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6" fillId="5" borderId="0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8" fontId="26" fillId="5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6" fillId="5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6" fillId="5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4" fontId="0" fillId="0" borderId="2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79" fontId="26" fillId="5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6" fillId="5" borderId="19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6" fillId="5" borderId="1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8" fontId="26" fillId="5" borderId="19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5" borderId="1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2" fillId="7" borderId="0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26" fillId="7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0" fontId="22" fillId="7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7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2" fillId="5" borderId="0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80" fontId="22" fillId="5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9" fontId="22" fillId="5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2" fillId="5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2" fillId="5" borderId="0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26" fillId="5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6" fillId="5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81" fontId="3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81" fontId="3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81" fontId="31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81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82" fontId="31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82" fontId="3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82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82" fontId="3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82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74" fontId="3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9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83" fontId="0" fillId="0" borderId="1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83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3" fontId="6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83" fontId="0" fillId="0" borderId="2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9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8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22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8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9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7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5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75" fontId="6" fillId="8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8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83" fontId="3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83" fontId="34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9" fontId="6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3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5" fontId="34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0" fillId="0" borderId="1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79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9" fontId="6" fillId="0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9" fontId="6" fillId="0" borderId="2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3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9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5" fontId="2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7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7" fillId="9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85" fontId="39" fillId="10" borderId="2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8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6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0" fillId="0" borderId="19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4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86" fontId="41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7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79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75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88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88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4" fontId="31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81" fontId="3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81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6" fillId="11" borderId="22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4" fontId="3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4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ackground" xfId="20"/>
    <cellStyle name="Body: normal cell" xfId="21"/>
    <cellStyle name="Card" xfId="22"/>
    <cellStyle name="Card B" xfId="23"/>
    <cellStyle name="Card BL" xfId="24"/>
    <cellStyle name="Card BR" xfId="25"/>
    <cellStyle name="Card L" xfId="26"/>
    <cellStyle name="Card R" xfId="27"/>
    <cellStyle name="Card T" xfId="28"/>
    <cellStyle name="Card TL" xfId="29"/>
    <cellStyle name="Card TR" xfId="30"/>
    <cellStyle name="Column Header" xfId="31"/>
    <cellStyle name="Comma 2" xfId="32"/>
    <cellStyle name="Comma0" xfId="33"/>
    <cellStyle name="Currency 2" xfId="34"/>
    <cellStyle name="Currency0" xfId="35"/>
    <cellStyle name="Euro" xfId="36"/>
    <cellStyle name="Input" xfId="37"/>
    <cellStyle name="Milliers [0]_Annex_comb_guideline_version4-2" xfId="38"/>
    <cellStyle name="Milliers_Annex_comb_guideline_version4-2" xfId="39"/>
    <cellStyle name="Monétaire [0]_Annex comb guideline 4-7" xfId="40"/>
    <cellStyle name="Monétaire_Annex_comb_guideline_version4-2" xfId="41"/>
    <cellStyle name="Normal 128" xfId="42"/>
    <cellStyle name="Normal 2" xfId="43"/>
    <cellStyle name="Normal 3" xfId="44"/>
    <cellStyle name="Normal 4" xfId="45"/>
    <cellStyle name="Normal 5" xfId="46"/>
    <cellStyle name="Parent row" xfId="47"/>
    <cellStyle name="Percent 2" xfId="48"/>
    <cellStyle name="Percent 3" xfId="49"/>
    <cellStyle name="Result2" xfId="50"/>
    <cellStyle name="Source Hed" xfId="51"/>
    <cellStyle name="Source Text" xfId="52"/>
    <cellStyle name="Title-1" xfId="53"/>
    <cellStyle name="Title-2" xfId="5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E6E6E6"/>
      <rgbColor rgb="FFE6E6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7DEE8"/>
      <rgbColor rgb="FFCCFFCC"/>
      <rgbColor rgb="FFFFE994"/>
      <rgbColor rgb="FFB4C7DC"/>
      <rgbColor rgb="FFFF99CC"/>
      <rgbColor rgb="FFB3B3B3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worksheet" Target="worksheets/sheet12.xml"/><Relationship Id="rId15" Type="http://schemas.openxmlformats.org/officeDocument/2006/relationships/worksheet" Target="worksheets/sheet13.xml"/><Relationship Id="rId16" Type="http://schemas.openxmlformats.org/officeDocument/2006/relationships/worksheet" Target="worksheets/sheet14.xml"/><Relationship Id="rId1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tockChart>
        <c:ser>
          <c:idx val="3"/>
          <c:order val="3"/>
          <c:tx>
            <c:strRef>
              <c:f>'Electric Cars'!$G$121:$G$121</c:f>
              <c:strCache>
                <c:ptCount val="1"/>
                <c:pt idx="0">
                  <c:v>Growth Rate</c:v>
                </c:pt>
              </c:strCache>
            </c:strRef>
          </c:tx>
          <c:cat>
            <c:strRef>
              <c:f>'Electric Cars'!$F$122:$F$135</c:f>
              <c:strCach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strCache>
            </c:strRef>
          </c:cat>
          <c:val>
            <c:numRef>
              <c:f>'Electric Cars'!$G$122:$G$135</c:f>
              <c:numCache>
                <c:formatCode>General</c:formatCode>
                <c:ptCount val="14"/>
                <c:pt idx="2">
                  <c:v>0.2761</c:v>
                </c:pt>
                <c:pt idx="3">
                  <c:v>2.0684</c:v>
                </c:pt>
                <c:pt idx="4">
                  <c:v>0.2444</c:v>
                </c:pt>
                <c:pt idx="5">
                  <c:v>0.0561</c:v>
                </c:pt>
                <c:pt idx="6">
                  <c:v>0.2189</c:v>
                </c:pt>
                <c:pt idx="7">
                  <c:v>0.2264</c:v>
                </c:pt>
                <c:pt idx="8">
                  <c:v>0.9651</c:v>
                </c:pt>
                <c:pt idx="9">
                  <c:v>0.1436</c:v>
                </c:pt>
                <c:pt idx="10">
                  <c:v>0.199</c:v>
                </c:pt>
                <c:pt idx="11">
                  <c:v>0.8602</c:v>
                </c:pt>
                <c:pt idx="12">
                  <c:v>0.7629</c:v>
                </c:pt>
                <c:pt idx="13">
                  <c:v>0.3163</c:v>
                </c:pt>
              </c:numCache>
            </c:numRef>
          </c:val>
        </c:ser>
        <c:hiLowLines>
          <c:spPr>
            <a:solidFill>
              <a:srgbClr val="004586"/>
            </a:solidFill>
            <a:ln w="0">
              <a:solidFill>
                <a:srgbClr val="004586"/>
              </a:solidFill>
            </a:ln>
          </c:spPr>
        </c:hiLowLines>
        <c:upDownBars>
          <c:gapWidth val="150"/>
          <c:upBars>
            <c:spPr>
              <a:solidFill>
                <a:srgbClr val="ffffff"/>
              </a:solidFill>
              <a:ln w="0">
                <a:solidFill>
                  <a:srgbClr val="000000"/>
                </a:solidFill>
              </a:ln>
            </c:spPr>
          </c:upBars>
          <c:downBars>
            <c:spPr>
              <a:solidFill>
                <a:srgbClr val="000000"/>
              </a:solidFill>
              <a:ln w="0">
                <a:solidFill>
                  <a:srgbClr val="b3b3b3"/>
                </a:solidFill>
              </a:ln>
            </c:spPr>
          </c:downBars>
        </c:upDownBars>
        <c:axId val="25044221"/>
        <c:axId val="91686977"/>
      </c:stockChart>
      <c:catAx>
        <c:axId val="2504422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1686977"/>
        <c:crosses val="autoZero"/>
        <c:auto val="1"/>
        <c:lblAlgn val="ctr"/>
        <c:lblOffset val="100"/>
        <c:noMultiLvlLbl val="0"/>
      </c:catAx>
      <c:valAx>
        <c:axId val="91686977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5044221"/>
        <c:crosses val="autoZero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36360</xdr:colOff>
      <xdr:row>119</xdr:row>
      <xdr:rowOff>46080</xdr:rowOff>
    </xdr:from>
    <xdr:to>
      <xdr:col>12</xdr:col>
      <xdr:colOff>308880</xdr:colOff>
      <xdr:row>135</xdr:row>
      <xdr:rowOff>75240</xdr:rowOff>
    </xdr:to>
    <xdr:graphicFrame>
      <xdr:nvGraphicFramePr>
        <xdr:cNvPr id="0" name=""/>
        <xdr:cNvGraphicFramePr/>
      </xdr:nvGraphicFramePr>
      <xdr:xfrm>
        <a:off x="11201400" y="2047536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hyperlink" Target="https://theicct.org/sites/default/files/publications/ICCT_EV_Charging_Cost_20190813.pdf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theicct.org/sites/default/files/publications/ICCT_EV_Charging_Cost_20190813.pdf" TargetMode="Externa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hyperlink" Target="https://www.fueleconomy.gov/feg/Find.do?year=2023&amp;vehicleId=45751&amp;zipCode=35580&amp;action=bt3" TargetMode="External"/><Relationship Id="rId2" Type="http://schemas.openxmlformats.org/officeDocument/2006/relationships/hyperlink" Target="https://www.fueleconomy.gov/feg/Find.do?action=sbs&amp;id=45751" TargetMode="External"/><Relationship Id="rId3" Type="http://schemas.openxmlformats.org/officeDocument/2006/relationships/hyperlink" Target="https://www.fueleconomy.gov/feg/Find.do?action=sbs&amp;id=46329" TargetMode="External"/><Relationship Id="rId4" Type="http://schemas.openxmlformats.org/officeDocument/2006/relationships/hyperlink" Target="https://www.energy.gov/eere/vehicles/articles/fotw-1327-january-29-2024-annual-new-light-duty-ev-sales-topped-1-million" TargetMode="External"/><Relationship Id="rId5" Type="http://schemas.openxmlformats.org/officeDocument/2006/relationships/hyperlink" Target="https://fred.stlouisfed.org/series/TOTALSA" TargetMode="External"/><Relationship Id="rId6" Type="http://schemas.openxmlformats.org/officeDocument/2006/relationships/drawing" Target="../drawings/drawing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https://ghgdata.epa.gov/ghgp/service/facilityDetail/2022?id=1007227&amp;ds=E&amp;et=FC_CL&amp;popup=true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C10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" activeCellId="0" sqref="B3:D14"/>
    </sheetView>
  </sheetViews>
  <sheetFormatPr defaultColWidth="12.8046875" defaultRowHeight="15.8" zeroHeight="false" outlineLevelRow="0" outlineLevelCol="0"/>
  <cols>
    <col collapsed="false" customWidth="true" hidden="false" outlineLevel="0" max="1" min="1" style="1" width="42.76"/>
    <col collapsed="false" customWidth="true" hidden="false" outlineLevel="0" max="2" min="2" style="0" width="23.46"/>
    <col collapsed="false" customWidth="true" hidden="false" outlineLevel="0" max="4" min="3" style="2" width="18.77"/>
    <col collapsed="false" customWidth="true" hidden="false" outlineLevel="0" max="5" min="5" style="0" width="20.37"/>
  </cols>
  <sheetData>
    <row r="1" customFormat="false" ht="15.8" hidden="false" customHeight="false" outlineLevel="0" collapsed="false">
      <c r="A1" s="3"/>
      <c r="B1" s="4"/>
      <c r="C1" s="4"/>
      <c r="D1" s="4"/>
      <c r="E1" s="5"/>
      <c r="AB1" s="6"/>
    </row>
    <row r="2" customFormat="false" ht="15.8" hidden="false" customHeight="false" outlineLevel="0" collapsed="false">
      <c r="A2" s="4" t="s">
        <v>0</v>
      </c>
      <c r="B2" s="4" t="s">
        <v>1</v>
      </c>
      <c r="C2" s="4" t="s">
        <v>2</v>
      </c>
      <c r="D2" s="1" t="s">
        <v>3</v>
      </c>
      <c r="E2" s="5"/>
    </row>
    <row r="3" customFormat="false" ht="15.8" hidden="false" customHeight="false" outlineLevel="0" collapsed="false">
      <c r="A3" s="4" t="s">
        <v>4</v>
      </c>
      <c r="B3" s="7" t="n">
        <f aca="false">'Solar GHG Calculations'!B337</f>
        <v>4.28841345276851</v>
      </c>
      <c r="C3" s="7" t="n">
        <f aca="false">'Solar GHG Calculations'!C337</f>
        <v>42.5836025129102</v>
      </c>
      <c r="D3" s="7" t="n">
        <f aca="false">'Solar GHG Calculations'!D337</f>
        <v>384.090108432785</v>
      </c>
      <c r="E3" s="5"/>
    </row>
    <row r="4" customFormat="false" ht="15.8" hidden="false" customHeight="false" outlineLevel="0" collapsed="false">
      <c r="A4" s="4" t="s">
        <v>5</v>
      </c>
      <c r="B4" s="7" t="n">
        <f aca="false">'Solar GHG Calculations'!B338</f>
        <v>237.401165360243</v>
      </c>
      <c r="C4" s="7" t="n">
        <f aca="false">'Solar GHG Calculations'!C338</f>
        <v>1013.08177016918</v>
      </c>
      <c r="D4" s="7" t="n">
        <f aca="false">'Solar GHG Calculations'!D338</f>
        <v>13252.0943297183</v>
      </c>
      <c r="E4" s="5"/>
    </row>
    <row r="5" customFormat="false" ht="15.8" hidden="false" customHeight="false" outlineLevel="0" collapsed="false">
      <c r="A5" s="4" t="s">
        <v>6</v>
      </c>
      <c r="B5" s="7" t="n">
        <f aca="false">'Solar GHG Calculations'!B339</f>
        <v>241.689578813011</v>
      </c>
      <c r="C5" s="7" t="n">
        <f aca="false">'Solar GHG Calculations'!C339</f>
        <v>1055.6653726821</v>
      </c>
      <c r="D5" s="7" t="n">
        <f aca="false">'Solar GHG Calculations'!D339</f>
        <v>13636.1844381511</v>
      </c>
      <c r="E5" s="5"/>
    </row>
    <row r="6" customFormat="false" ht="15.8" hidden="false" customHeight="false" outlineLevel="0" collapsed="false">
      <c r="A6" s="4" t="s">
        <v>7</v>
      </c>
      <c r="B6" s="7" t="n">
        <f aca="false">'Solar GHG Calculations'!B453</f>
        <v>152.896412986577</v>
      </c>
      <c r="C6" s="7" t="n">
        <f aca="false">'Solar GHG Calculations'!C453</f>
        <v>793.546643622836</v>
      </c>
      <c r="D6" s="7" t="n">
        <f aca="false">'Solar GHG Calculations'!D453</f>
        <v>14409.7068635467</v>
      </c>
      <c r="E6" s="5"/>
    </row>
    <row r="7" customFormat="false" ht="15.8" hidden="false" customHeight="false" outlineLevel="0" collapsed="false">
      <c r="A7" s="4" t="s">
        <v>8</v>
      </c>
      <c r="B7" s="7" t="n">
        <f aca="false">'Solar GHG Calculations'!B454</f>
        <v>518.409018502162</v>
      </c>
      <c r="C7" s="7" t="n">
        <f aca="false">'Solar GHG Calculations'!C454</f>
        <v>2113.38428037868</v>
      </c>
      <c r="D7" s="7" t="n">
        <f aca="false">'Solar GHG Calculations'!D454</f>
        <v>20523.9893698855</v>
      </c>
      <c r="E7" s="5"/>
    </row>
    <row r="8" customFormat="false" ht="15.8" hidden="false" customHeight="false" outlineLevel="0" collapsed="false">
      <c r="A8" s="4" t="s">
        <v>9</v>
      </c>
      <c r="B8" s="7" t="n">
        <f aca="false">'Solar GHG Calculations'!B455</f>
        <v>671.305431488739</v>
      </c>
      <c r="C8" s="7" t="n">
        <f aca="false">'Solar GHG Calculations'!C455</f>
        <v>2906.93092400151</v>
      </c>
      <c r="D8" s="7" t="n">
        <f aca="false">'Solar GHG Calculations'!D455</f>
        <v>34933.6962334322</v>
      </c>
      <c r="E8" s="5"/>
    </row>
    <row r="9" customFormat="false" ht="15.8" hidden="false" customHeight="false" outlineLevel="0" collapsed="false">
      <c r="A9" s="4" t="s">
        <v>10</v>
      </c>
      <c r="B9" s="7" t="n">
        <f aca="false">'Solar GHG Calculations'!B456</f>
        <v>225.518617608934</v>
      </c>
      <c r="C9" s="7" t="n">
        <f aca="false">'Solar GHG Calculations'!C456</f>
        <v>1286.54816535399</v>
      </c>
      <c r="D9" s="7" t="n">
        <f aca="false">'Solar GHG Calculations'!D456</f>
        <v>21091.2200860901</v>
      </c>
      <c r="E9" s="5"/>
    </row>
    <row r="10" customFormat="false" ht="15.8" hidden="false" customHeight="false" outlineLevel="0" collapsed="false">
      <c r="A10" s="4" t="s">
        <v>11</v>
      </c>
      <c r="B10" s="7" t="n">
        <f aca="false">'Solar GHG Calculations'!B457</f>
        <v>850.571123080033</v>
      </c>
      <c r="C10" s="7" t="n">
        <f aca="false">'Solar GHG Calculations'!C457</f>
        <v>3304.43234878738</v>
      </c>
      <c r="D10" s="7" t="n">
        <f aca="false">'Solar GHG Calculations'!D457</f>
        <v>26092.9282589692</v>
      </c>
      <c r="E10" s="5"/>
    </row>
    <row r="11" customFormat="false" ht="15.8" hidden="false" customHeight="false" outlineLevel="0" collapsed="false">
      <c r="A11" s="4" t="s">
        <v>12</v>
      </c>
      <c r="B11" s="7" t="n">
        <f aca="false">'Solar GHG Calculations'!B458</f>
        <v>1076.08974068897</v>
      </c>
      <c r="C11" s="7" t="n">
        <f aca="false">'Solar GHG Calculations'!C458</f>
        <v>4590.98051414136</v>
      </c>
      <c r="D11" s="7" t="n">
        <f aca="false">'Solar GHG Calculations'!D458</f>
        <v>47184.1483450593</v>
      </c>
      <c r="E11" s="5"/>
    </row>
    <row r="12" customFormat="false" ht="15.8" hidden="false" customHeight="false" outlineLevel="0" collapsed="false">
      <c r="A12" s="4" t="s">
        <v>13</v>
      </c>
      <c r="B12" s="7" t="n">
        <f aca="false">'Solar GHG Calculations'!B459</f>
        <v>461.175982710654</v>
      </c>
      <c r="C12" s="7" t="n">
        <f aca="false">'Solar GHG Calculations'!C459</f>
        <v>3257.76475295264</v>
      </c>
      <c r="D12" s="7" t="n">
        <f aca="false">'Solar GHG Calculations'!D459</f>
        <v>26741.8286969425</v>
      </c>
      <c r="E12" s="5"/>
    </row>
    <row r="13" customFormat="false" ht="15.8" hidden="false" customHeight="false" outlineLevel="0" collapsed="false">
      <c r="A13" s="4" t="s">
        <v>14</v>
      </c>
      <c r="B13" s="7" t="n">
        <f aca="false">'Solar GHG Calculations'!B460</f>
        <v>1994.66994606649</v>
      </c>
      <c r="C13" s="7" t="n">
        <f aca="false">'Solar GHG Calculations'!C460</f>
        <v>8026.97122201375</v>
      </c>
      <c r="D13" s="7" t="n">
        <f aca="false">'Solar GHG Calculations'!D460</f>
        <v>52442.5779499171</v>
      </c>
      <c r="E13" s="5"/>
    </row>
    <row r="14" customFormat="false" ht="15.8" hidden="false" customHeight="false" outlineLevel="0" collapsed="false">
      <c r="A14" s="4" t="s">
        <v>15</v>
      </c>
      <c r="B14" s="7" t="n">
        <f aca="false">'Solar GHG Calculations'!B461</f>
        <v>2455.84592877714</v>
      </c>
      <c r="C14" s="7" t="n">
        <f aca="false">'Solar GHG Calculations'!C461</f>
        <v>11284.7359749664</v>
      </c>
      <c r="D14" s="7" t="n">
        <f aca="false">'Solar GHG Calculations'!D461</f>
        <v>79184.4066468597</v>
      </c>
      <c r="E14" s="5"/>
    </row>
    <row r="15" customFormat="false" ht="15.8" hidden="false" customHeight="false" outlineLevel="0" collapsed="false">
      <c r="B15" s="7"/>
      <c r="C15" s="7"/>
      <c r="D15" s="7"/>
      <c r="E15" s="5"/>
    </row>
    <row r="16" customFormat="false" ht="15.8" hidden="false" customHeight="false" outlineLevel="0" collapsed="false">
      <c r="A16" s="1" t="s">
        <v>16</v>
      </c>
      <c r="B16" s="8" t="s">
        <v>1</v>
      </c>
      <c r="C16" s="8" t="s">
        <v>2</v>
      </c>
      <c r="D16" s="8" t="s">
        <v>3</v>
      </c>
      <c r="E16" s="5"/>
    </row>
    <row r="17" customFormat="false" ht="15.8" hidden="false" customHeight="false" outlineLevel="0" collapsed="false">
      <c r="A17" s="1" t="s">
        <v>17</v>
      </c>
      <c r="B17" s="7" t="n">
        <v>345</v>
      </c>
      <c r="C17" s="7" t="n">
        <v>669</v>
      </c>
      <c r="D17" s="7" t="n">
        <v>1641</v>
      </c>
      <c r="E17" s="5"/>
    </row>
    <row r="18" customFormat="false" ht="15.8" hidden="false" customHeight="false" outlineLevel="0" collapsed="false">
      <c r="A18" s="9" t="s">
        <v>18</v>
      </c>
      <c r="B18" s="7" t="n">
        <v>464</v>
      </c>
      <c r="C18" s="7" t="n">
        <v>1009</v>
      </c>
      <c r="D18" s="7" t="n">
        <v>2646</v>
      </c>
      <c r="E18" s="5"/>
    </row>
    <row r="19" customFormat="false" ht="15.8" hidden="false" customHeight="false" outlineLevel="0" collapsed="false">
      <c r="A19" s="9" t="s">
        <v>19</v>
      </c>
      <c r="B19" s="7" t="n">
        <v>753</v>
      </c>
      <c r="C19" s="7" t="n">
        <v>1407</v>
      </c>
      <c r="D19" s="7" t="n">
        <v>3370</v>
      </c>
      <c r="E19" s="5"/>
    </row>
    <row r="20" customFormat="false" ht="15.8" hidden="false" customHeight="false" outlineLevel="0" collapsed="false">
      <c r="A20" s="9" t="s">
        <v>20</v>
      </c>
      <c r="B20" s="7" t="n">
        <v>1562</v>
      </c>
      <c r="C20" s="7" t="n">
        <v>3086</v>
      </c>
      <c r="D20" s="7" t="n">
        <v>7657</v>
      </c>
      <c r="E20" s="5"/>
    </row>
    <row r="21" customFormat="false" ht="15.8" hidden="false" customHeight="false" outlineLevel="0" collapsed="false">
      <c r="A21" s="10"/>
      <c r="B21" s="7"/>
      <c r="C21" s="7"/>
      <c r="D21" s="7"/>
      <c r="E21" s="5"/>
    </row>
    <row r="22" customFormat="false" ht="15.8" hidden="false" customHeight="false" outlineLevel="0" collapsed="false">
      <c r="B22" s="7"/>
      <c r="C22" s="7"/>
      <c r="D22" s="7"/>
      <c r="E22" s="5"/>
      <c r="F22" s="5"/>
      <c r="G22" s="5"/>
      <c r="H22" s="5"/>
    </row>
    <row r="23" customFormat="false" ht="15.8" hidden="false" customHeight="false" outlineLevel="0" collapsed="false">
      <c r="A23" s="1" t="s">
        <v>21</v>
      </c>
      <c r="B23" s="7" t="n">
        <f aca="false">'Solar GHG Calculations'!B469</f>
        <v>2232.99499327309</v>
      </c>
      <c r="C23" s="7" t="n">
        <f aca="false">'Solar GHG Calculations'!C469</f>
        <v>5992.47713829973</v>
      </c>
      <c r="D23" s="7" t="n">
        <f aca="false">'Solar GHG Calculations'!D469</f>
        <v>42590.812405272</v>
      </c>
      <c r="E23" s="5"/>
      <c r="F23" s="5"/>
      <c r="G23" s="5"/>
      <c r="H23" s="5"/>
    </row>
    <row r="24" customFormat="false" ht="15.8" hidden="false" customHeight="false" outlineLevel="0" collapsed="false">
      <c r="A24" s="1" t="s">
        <v>22</v>
      </c>
      <c r="B24" s="7" t="n">
        <f aca="false">'Solar GHG Calculations'!B470</f>
        <v>2637.77930247331</v>
      </c>
      <c r="C24" s="7" t="n">
        <f aca="false">'Solar GHG Calculations'!C470</f>
        <v>7676.52672843958</v>
      </c>
      <c r="D24" s="7" t="n">
        <f aca="false">'Solar GHG Calculations'!D470</f>
        <v>54841.2645168991</v>
      </c>
      <c r="E24" s="5"/>
      <c r="F24" s="5"/>
      <c r="G24" s="5"/>
      <c r="H24" s="5"/>
    </row>
    <row r="25" customFormat="false" ht="15.8" hidden="false" customHeight="false" outlineLevel="0" collapsed="false">
      <c r="A25" s="1" t="s">
        <v>23</v>
      </c>
      <c r="B25" s="7" t="n">
        <f aca="false">'Solar GHG Calculations'!B471</f>
        <v>4017.53549056149</v>
      </c>
      <c r="C25" s="7" t="n">
        <f aca="false">'Solar GHG Calculations'!C471</f>
        <v>14370.2821892646</v>
      </c>
      <c r="D25" s="7" t="n">
        <f aca="false">'Solar GHG Calculations'!D471</f>
        <v>86841.5228186995</v>
      </c>
      <c r="E25" s="5"/>
      <c r="F25" s="5"/>
      <c r="G25" s="5"/>
      <c r="H25" s="5"/>
    </row>
    <row r="26" customFormat="false" ht="15.8" hidden="false" customHeight="false" outlineLevel="0" collapsed="false">
      <c r="B26" s="5"/>
      <c r="C26" s="4"/>
      <c r="D26" s="4"/>
      <c r="E26" s="5"/>
      <c r="F26" s="5"/>
      <c r="G26" s="5"/>
      <c r="H26" s="5"/>
    </row>
    <row r="27" customFormat="false" ht="15.8" hidden="false" customHeight="false" outlineLevel="0" collapsed="false">
      <c r="B27" s="5"/>
      <c r="C27" s="4"/>
      <c r="D27" s="4"/>
      <c r="E27" s="5"/>
      <c r="F27" s="5"/>
      <c r="G27" s="5"/>
      <c r="H27" s="5"/>
    </row>
    <row r="28" customFormat="false" ht="15.8" hidden="false" customHeight="false" outlineLevel="0" collapsed="false">
      <c r="B28" s="5"/>
      <c r="C28" s="4"/>
      <c r="D28" s="4"/>
      <c r="E28" s="5"/>
    </row>
    <row r="29" customFormat="false" ht="15.8" hidden="false" customHeight="false" outlineLevel="0" collapsed="false">
      <c r="B29" s="5"/>
      <c r="C29" s="4"/>
      <c r="D29" s="4"/>
      <c r="E29" s="5"/>
    </row>
    <row r="30" customFormat="false" ht="15.8" hidden="false" customHeight="false" outlineLevel="0" collapsed="false">
      <c r="B30" s="5"/>
      <c r="C30" s="4"/>
      <c r="D30" s="4"/>
      <c r="E30" s="5"/>
      <c r="F30" s="5"/>
      <c r="G30" s="5"/>
      <c r="H30" s="5"/>
    </row>
    <row r="31" s="8" customFormat="true" ht="28.35" hidden="false" customHeight="false" outlineLevel="0" collapsed="false">
      <c r="A31" s="11"/>
      <c r="B31" s="11" t="s">
        <v>24</v>
      </c>
      <c r="C31" s="11" t="s">
        <v>25</v>
      </c>
      <c r="D31" s="11" t="s">
        <v>26</v>
      </c>
      <c r="E31" s="8" t="s">
        <v>27</v>
      </c>
      <c r="F31" s="11" t="s">
        <v>28</v>
      </c>
      <c r="G31" s="11" t="s">
        <v>29</v>
      </c>
      <c r="H31" s="11" t="s">
        <v>30</v>
      </c>
    </row>
    <row r="32" customFormat="false" ht="15.8" hidden="false" customHeight="false" outlineLevel="0" collapsed="false">
      <c r="A32" s="1" t="s">
        <v>31</v>
      </c>
      <c r="B32" s="12" t="n">
        <f aca="false">'Solar GHG Calculations'!B410</f>
        <v>3092.5862815675</v>
      </c>
      <c r="C32" s="12" t="n">
        <f aca="false">'Solar GHG Calculations'!C410</f>
        <v>10103.1286496953</v>
      </c>
      <c r="D32" s="12" t="n">
        <f aca="false">'Solar GHG Calculations'!D410</f>
        <v>57453.4586541403</v>
      </c>
      <c r="E32" s="13" t="n">
        <f aca="false">'Solar GHG Calculations'!E410</f>
        <v>1012225.76956254</v>
      </c>
      <c r="F32" s="13" t="n">
        <f aca="false">'Solar GHG Calculations'!F410</f>
        <v>327.307204198516</v>
      </c>
      <c r="G32" s="13" t="n">
        <f aca="false">'Solar GHG Calculations'!G410</f>
        <v>100.189337843686</v>
      </c>
      <c r="H32" s="13" t="n">
        <f aca="false">'Solar GHG Calculations'!H410</f>
        <v>17.6181868467826</v>
      </c>
    </row>
    <row r="33" customFormat="false" ht="15.8" hidden="false" customHeight="false" outlineLevel="0" collapsed="false">
      <c r="A33" s="1" t="s">
        <v>32</v>
      </c>
      <c r="B33" s="12" t="n">
        <f aca="false">'Solar GHG Calculations'!B411</f>
        <v>196.887534876663</v>
      </c>
      <c r="C33" s="12" t="n">
        <f aca="false">'Solar GHG Calculations'!C411</f>
        <v>653.922807907448</v>
      </c>
      <c r="D33" s="12" t="n">
        <f aca="false">'Solar GHG Calculations'!D411</f>
        <v>3534.45839032619</v>
      </c>
      <c r="E33" s="13" t="n">
        <f aca="false">'Solar GHG Calculations'!E411</f>
        <v>2272196.12809553</v>
      </c>
      <c r="F33" s="13" t="n">
        <f aca="false">'Solar GHG Calculations'!F411</f>
        <v>11540.5788869209</v>
      </c>
      <c r="G33" s="13" t="n">
        <f aca="false">'Solar GHG Calculations'!G411</f>
        <v>3474.71612951772</v>
      </c>
      <c r="H33" s="13" t="n">
        <f aca="false">'Solar GHG Calculations'!H411</f>
        <v>642.869678226945</v>
      </c>
    </row>
    <row r="34" customFormat="false" ht="15.8" hidden="false" customHeight="false" outlineLevel="0" collapsed="false">
      <c r="A34" s="14" t="s">
        <v>33</v>
      </c>
      <c r="B34" s="15" t="n">
        <f aca="false">'Solar GHG Calculations'!B412</f>
        <v>728.061674117321</v>
      </c>
      <c r="C34" s="12" t="n">
        <f aca="false">'Solar GHG Calculations'!C412</f>
        <v>3613.23073166185</v>
      </c>
      <c r="D34" s="12" t="n">
        <f aca="false">'Solar GHG Calculations'!D412</f>
        <v>25853.605774233</v>
      </c>
      <c r="E34" s="13" t="n">
        <f aca="false">'Solar GHG Calculations'!E412</f>
        <v>11073265.1711858</v>
      </c>
      <c r="F34" s="13" t="n">
        <f aca="false">'Solar GHG Calculations'!F412</f>
        <v>15209.2405971111</v>
      </c>
      <c r="G34" s="13" t="n">
        <f aca="false">'Solar GHG Calculations'!G412</f>
        <v>3064.64380316306</v>
      </c>
      <c r="H34" s="13" t="n">
        <f aca="false">'Solar GHG Calculations'!H412</f>
        <v>428.306413731349</v>
      </c>
    </row>
    <row r="35" customFormat="false" ht="15.8" hidden="false" customHeight="false" outlineLevel="0" collapsed="false">
      <c r="A35" s="14" t="s">
        <v>20</v>
      </c>
      <c r="B35" s="15" t="n">
        <f aca="false">'Solar GHG Calculations'!B413</f>
        <v>4017.53549056149</v>
      </c>
      <c r="C35" s="12" t="n">
        <f aca="false">'Solar GHG Calculations'!C413</f>
        <v>14370.2821892646</v>
      </c>
      <c r="D35" s="12" t="n">
        <f aca="false">'Solar GHG Calculations'!D413</f>
        <v>86841.5228186995</v>
      </c>
      <c r="E35" s="13" t="n">
        <f aca="false">'Solar GHG Calculations'!E413</f>
        <v>14357687.0688439</v>
      </c>
      <c r="F35" s="13" t="n">
        <f aca="false">'Solar GHG Calculations'!F413</f>
        <v>3573.75488096492</v>
      </c>
      <c r="G35" s="13" t="n">
        <f aca="false">'Solar GHG Calculations'!G413</f>
        <v>999.123530056346</v>
      </c>
      <c r="H35" s="13" t="n">
        <f aca="false">'Solar GHG Calculations'!H413</f>
        <v>165.332050876384</v>
      </c>
    </row>
    <row r="36" customFormat="false" ht="15.8" hidden="false" customHeight="false" outlineLevel="0" collapsed="false">
      <c r="A36" s="14"/>
      <c r="B36" s="16"/>
      <c r="C36" s="4"/>
      <c r="D36" s="4"/>
      <c r="E36" s="5"/>
    </row>
    <row r="37" customFormat="false" ht="15.8" hidden="false" customHeight="false" outlineLevel="0" collapsed="false">
      <c r="A37" s="14"/>
      <c r="B37" s="16"/>
      <c r="C37" s="4"/>
      <c r="D37" s="4"/>
      <c r="E37" s="5"/>
    </row>
    <row r="38" customFormat="false" ht="15.8" hidden="false" customHeight="false" outlineLevel="0" collapsed="false">
      <c r="A38" s="17" t="s">
        <v>34</v>
      </c>
      <c r="B38" s="18"/>
      <c r="C38" s="5"/>
      <c r="D38" s="5"/>
      <c r="E38" s="5"/>
    </row>
    <row r="39" customFormat="false" ht="28.35" hidden="false" customHeight="false" outlineLevel="0" collapsed="false">
      <c r="A39" s="14" t="s">
        <v>35</v>
      </c>
      <c r="B39" s="19" t="s">
        <v>36</v>
      </c>
      <c r="C39" s="5" t="n">
        <v>2024</v>
      </c>
      <c r="D39" s="4" t="n">
        <v>2025</v>
      </c>
      <c r="E39" s="5" t="n">
        <v>2026</v>
      </c>
      <c r="F39" s="0" t="n">
        <v>2027</v>
      </c>
      <c r="G39" s="0" t="n">
        <v>2028</v>
      </c>
      <c r="H39" s="0" t="n">
        <v>2029</v>
      </c>
      <c r="I39" s="0" t="n">
        <v>2030</v>
      </c>
      <c r="J39" s="0" t="n">
        <v>2031</v>
      </c>
      <c r="K39" s="0" t="n">
        <v>2032</v>
      </c>
      <c r="L39" s="0" t="n">
        <v>2033</v>
      </c>
      <c r="M39" s="0" t="n">
        <v>2034</v>
      </c>
      <c r="N39" s="0" t="n">
        <v>2035</v>
      </c>
      <c r="O39" s="0" t="n">
        <v>2036</v>
      </c>
      <c r="P39" s="0" t="n">
        <v>2037</v>
      </c>
      <c r="Q39" s="0" t="n">
        <v>2038</v>
      </c>
      <c r="R39" s="0" t="n">
        <v>2039</v>
      </c>
      <c r="S39" s="0" t="n">
        <v>2040</v>
      </c>
      <c r="T39" s="0" t="n">
        <v>2041</v>
      </c>
      <c r="U39" s="0" t="n">
        <v>2042</v>
      </c>
      <c r="V39" s="0" t="n">
        <v>2043</v>
      </c>
      <c r="W39" s="0" t="n">
        <v>2044</v>
      </c>
      <c r="X39" s="0" t="n">
        <v>2045</v>
      </c>
      <c r="Y39" s="0" t="n">
        <v>2046</v>
      </c>
      <c r="Z39" s="0" t="n">
        <v>2047</v>
      </c>
      <c r="AA39" s="0" t="n">
        <v>2048</v>
      </c>
      <c r="AB39" s="0" t="n">
        <v>2049</v>
      </c>
      <c r="AC39" s="0" t="n">
        <v>2050</v>
      </c>
    </row>
    <row r="40" customFormat="false" ht="15.8" hidden="false" customHeight="false" outlineLevel="0" collapsed="false">
      <c r="A40" s="14" t="s">
        <v>37</v>
      </c>
      <c r="B40" s="20" t="n">
        <v>67</v>
      </c>
      <c r="C40" s="7" t="n">
        <v>0</v>
      </c>
      <c r="D40" s="7" t="n">
        <v>41</v>
      </c>
      <c r="E40" s="21" t="n">
        <v>45</v>
      </c>
      <c r="F40" s="12" t="n">
        <v>65</v>
      </c>
      <c r="G40" s="12" t="n">
        <v>65</v>
      </c>
      <c r="H40" s="12" t="n">
        <v>65</v>
      </c>
      <c r="I40" s="12" t="n">
        <v>65</v>
      </c>
      <c r="J40" s="12" t="n">
        <v>65</v>
      </c>
      <c r="K40" s="12" t="n">
        <v>65</v>
      </c>
      <c r="L40" s="12" t="n">
        <v>65</v>
      </c>
      <c r="M40" s="12" t="n">
        <v>65</v>
      </c>
      <c r="N40" s="12" t="n">
        <v>65</v>
      </c>
      <c r="O40" s="12" t="n">
        <v>65</v>
      </c>
      <c r="P40" s="12" t="n">
        <v>65</v>
      </c>
      <c r="Q40" s="12" t="n">
        <v>65</v>
      </c>
      <c r="R40" s="12" t="n">
        <v>65</v>
      </c>
      <c r="S40" s="12" t="n">
        <v>65</v>
      </c>
      <c r="T40" s="12" t="n">
        <v>65</v>
      </c>
      <c r="U40" s="12" t="n">
        <v>65</v>
      </c>
      <c r="V40" s="12" t="n">
        <v>65</v>
      </c>
      <c r="W40" s="12" t="n">
        <v>65</v>
      </c>
      <c r="X40" s="12" t="n">
        <v>65</v>
      </c>
      <c r="Y40" s="12" t="n">
        <v>65</v>
      </c>
      <c r="Z40" s="12" t="n">
        <v>65</v>
      </c>
      <c r="AA40" s="12" t="n">
        <v>65</v>
      </c>
      <c r="AB40" s="12" t="n">
        <v>65</v>
      </c>
      <c r="AC40" s="12" t="n">
        <v>65</v>
      </c>
    </row>
    <row r="41" customFormat="false" ht="15.8" hidden="false" customHeight="false" outlineLevel="0" collapsed="false">
      <c r="A41" s="14" t="s">
        <v>18</v>
      </c>
      <c r="B41" s="20" t="n">
        <v>114</v>
      </c>
      <c r="C41" s="7" t="n">
        <v>0</v>
      </c>
      <c r="D41" s="7" t="n">
        <v>0</v>
      </c>
      <c r="E41" s="21" t="n">
        <v>27</v>
      </c>
      <c r="F41" s="12" t="n">
        <v>109</v>
      </c>
      <c r="G41" s="12" t="n">
        <v>109</v>
      </c>
      <c r="H41" s="12" t="n">
        <v>109</v>
      </c>
      <c r="I41" s="12" t="n">
        <v>109</v>
      </c>
      <c r="J41" s="12" t="n">
        <v>109</v>
      </c>
      <c r="K41" s="12" t="n">
        <v>109</v>
      </c>
      <c r="L41" s="12" t="n">
        <v>109</v>
      </c>
      <c r="M41" s="12" t="n">
        <v>109</v>
      </c>
      <c r="N41" s="12" t="n">
        <v>109</v>
      </c>
      <c r="O41" s="12" t="n">
        <v>109</v>
      </c>
      <c r="P41" s="12" t="n">
        <v>109</v>
      </c>
      <c r="Q41" s="12" t="n">
        <v>109</v>
      </c>
      <c r="R41" s="12" t="n">
        <v>109</v>
      </c>
      <c r="S41" s="12" t="n">
        <v>109</v>
      </c>
      <c r="T41" s="12" t="n">
        <v>109</v>
      </c>
      <c r="U41" s="12" t="n">
        <v>109</v>
      </c>
      <c r="V41" s="12" t="n">
        <v>109</v>
      </c>
      <c r="W41" s="12" t="n">
        <v>109</v>
      </c>
      <c r="X41" s="12" t="n">
        <v>109</v>
      </c>
      <c r="Y41" s="12" t="n">
        <v>109</v>
      </c>
      <c r="Z41" s="12" t="n">
        <v>109</v>
      </c>
      <c r="AA41" s="12" t="n">
        <v>109</v>
      </c>
      <c r="AB41" s="12" t="n">
        <v>109</v>
      </c>
      <c r="AC41" s="12" t="n">
        <v>109</v>
      </c>
    </row>
    <row r="42" customFormat="false" ht="15.8" hidden="false" customHeight="false" outlineLevel="0" collapsed="false">
      <c r="A42" s="14" t="s">
        <v>38</v>
      </c>
      <c r="B42" s="20" t="n">
        <v>0</v>
      </c>
      <c r="C42" s="7" t="n">
        <v>0</v>
      </c>
      <c r="D42" s="7" t="n">
        <v>98</v>
      </c>
      <c r="E42" s="21" t="n">
        <v>131</v>
      </c>
      <c r="F42" s="12" t="n">
        <v>131</v>
      </c>
      <c r="G42" s="12" t="n">
        <v>131</v>
      </c>
      <c r="H42" s="12" t="n">
        <v>131</v>
      </c>
      <c r="I42" s="12" t="n">
        <v>131</v>
      </c>
      <c r="J42" s="12" t="n">
        <v>131</v>
      </c>
      <c r="K42" s="12" t="n">
        <v>131</v>
      </c>
      <c r="L42" s="12" t="n">
        <v>131</v>
      </c>
      <c r="M42" s="12" t="n">
        <v>131</v>
      </c>
      <c r="N42" s="12" t="n">
        <v>131</v>
      </c>
      <c r="O42" s="12" t="n">
        <v>131</v>
      </c>
      <c r="P42" s="12" t="n">
        <v>131</v>
      </c>
      <c r="Q42" s="12" t="n">
        <v>131</v>
      </c>
      <c r="R42" s="12" t="n">
        <v>131</v>
      </c>
      <c r="S42" s="12" t="n">
        <v>131</v>
      </c>
      <c r="T42" s="12" t="n">
        <v>131</v>
      </c>
      <c r="U42" s="12" t="n">
        <v>131</v>
      </c>
      <c r="V42" s="12" t="n">
        <v>131</v>
      </c>
      <c r="W42" s="12" t="n">
        <v>131</v>
      </c>
      <c r="X42" s="12" t="n">
        <v>131</v>
      </c>
      <c r="Y42" s="12" t="n">
        <v>131</v>
      </c>
      <c r="Z42" s="12" t="n">
        <v>131</v>
      </c>
      <c r="AA42" s="12" t="n">
        <v>131</v>
      </c>
      <c r="AB42" s="12" t="n">
        <v>131</v>
      </c>
      <c r="AC42" s="12" t="n">
        <v>131</v>
      </c>
    </row>
    <row r="43" customFormat="false" ht="15.8" hidden="false" customHeight="false" outlineLevel="0" collapsed="false">
      <c r="A43" s="14" t="s">
        <v>39</v>
      </c>
      <c r="B43" s="20" t="n">
        <v>181</v>
      </c>
      <c r="C43" s="7" t="n">
        <v>0</v>
      </c>
      <c r="D43" s="7" t="n">
        <v>41</v>
      </c>
      <c r="E43" s="21" t="n">
        <v>72</v>
      </c>
      <c r="F43" s="12" t="n">
        <v>174</v>
      </c>
      <c r="G43" s="12" t="n">
        <v>174</v>
      </c>
      <c r="H43" s="12" t="n">
        <v>174</v>
      </c>
      <c r="I43" s="12" t="n">
        <v>174</v>
      </c>
      <c r="J43" s="12" t="n">
        <v>174</v>
      </c>
      <c r="K43" s="12" t="n">
        <v>174</v>
      </c>
      <c r="L43" s="12" t="n">
        <v>174</v>
      </c>
      <c r="M43" s="12" t="n">
        <v>174</v>
      </c>
      <c r="N43" s="12" t="n">
        <v>174</v>
      </c>
      <c r="O43" s="12" t="n">
        <v>174</v>
      </c>
      <c r="P43" s="12" t="n">
        <v>174</v>
      </c>
      <c r="Q43" s="12" t="n">
        <v>174</v>
      </c>
      <c r="R43" s="12" t="n">
        <v>174</v>
      </c>
      <c r="S43" s="12" t="n">
        <v>174</v>
      </c>
      <c r="T43" s="12" t="n">
        <v>174</v>
      </c>
      <c r="U43" s="12" t="n">
        <v>174</v>
      </c>
      <c r="V43" s="12" t="n">
        <v>174</v>
      </c>
      <c r="W43" s="12" t="n">
        <v>174</v>
      </c>
      <c r="X43" s="12" t="n">
        <v>174</v>
      </c>
      <c r="Y43" s="12" t="n">
        <v>174</v>
      </c>
      <c r="Z43" s="12" t="n">
        <v>174</v>
      </c>
      <c r="AA43" s="12" t="n">
        <v>174</v>
      </c>
      <c r="AB43" s="12" t="n">
        <v>174</v>
      </c>
      <c r="AC43" s="12" t="n">
        <v>174</v>
      </c>
    </row>
    <row r="44" customFormat="false" ht="15.8" hidden="false" customHeight="false" outlineLevel="0" collapsed="false">
      <c r="A44" s="14" t="s">
        <v>40</v>
      </c>
      <c r="B44" s="20" t="n">
        <v>1908</v>
      </c>
      <c r="C44" s="7" t="n">
        <v>0</v>
      </c>
      <c r="D44" s="7" t="n">
        <v>0</v>
      </c>
      <c r="E44" s="21" t="n">
        <v>18</v>
      </c>
      <c r="F44" s="12" t="n">
        <v>43</v>
      </c>
      <c r="G44" s="12" t="n">
        <v>78</v>
      </c>
      <c r="H44" s="12" t="n">
        <v>127</v>
      </c>
      <c r="I44" s="12" t="n">
        <v>196</v>
      </c>
      <c r="J44" s="12" t="n">
        <v>292</v>
      </c>
      <c r="K44" s="12" t="n">
        <v>412</v>
      </c>
      <c r="L44" s="12" t="n">
        <v>555</v>
      </c>
      <c r="M44" s="12" t="n">
        <v>698</v>
      </c>
      <c r="N44" s="12" t="n">
        <v>841</v>
      </c>
      <c r="O44" s="12" t="n">
        <v>984</v>
      </c>
      <c r="P44" s="12" t="n">
        <v>1127</v>
      </c>
      <c r="Q44" s="12" t="n">
        <v>1269</v>
      </c>
      <c r="R44" s="12" t="n">
        <v>1412</v>
      </c>
      <c r="S44" s="12" t="n">
        <v>1555</v>
      </c>
      <c r="T44" s="12" t="n">
        <v>1698</v>
      </c>
      <c r="U44" s="12" t="n">
        <v>1715</v>
      </c>
      <c r="V44" s="12" t="n">
        <v>1715</v>
      </c>
      <c r="W44" s="12" t="n">
        <v>1715</v>
      </c>
      <c r="X44" s="12" t="n">
        <v>1715</v>
      </c>
      <c r="Y44" s="12" t="n">
        <v>1715</v>
      </c>
      <c r="Z44" s="12" t="n">
        <v>1715</v>
      </c>
      <c r="AA44" s="12" t="n">
        <v>1715</v>
      </c>
      <c r="AB44" s="12" t="n">
        <v>1715</v>
      </c>
      <c r="AC44" s="12" t="n">
        <v>1715</v>
      </c>
    </row>
    <row r="45" customFormat="false" ht="15.8" hidden="false" customHeight="false" outlineLevel="0" collapsed="false">
      <c r="A45" s="14" t="s">
        <v>41</v>
      </c>
      <c r="B45" s="20" t="n">
        <v>8019</v>
      </c>
      <c r="C45" s="7" t="n">
        <v>0</v>
      </c>
      <c r="D45" s="7" t="n">
        <v>71</v>
      </c>
      <c r="E45" s="21" t="n">
        <v>156</v>
      </c>
      <c r="F45" s="12" t="n">
        <v>255</v>
      </c>
      <c r="G45" s="12" t="n">
        <v>370</v>
      </c>
      <c r="H45" s="12" t="n">
        <v>505</v>
      </c>
      <c r="I45" s="12" t="n">
        <v>660</v>
      </c>
      <c r="J45" s="12" t="n">
        <v>839</v>
      </c>
      <c r="K45" s="12" t="n">
        <v>1013</v>
      </c>
      <c r="L45" s="12" t="n">
        <v>1203</v>
      </c>
      <c r="M45" s="12" t="n">
        <v>1408</v>
      </c>
      <c r="N45" s="12" t="n">
        <v>1626</v>
      </c>
      <c r="O45" s="12" t="n">
        <v>1852</v>
      </c>
      <c r="P45" s="12" t="n">
        <v>2084</v>
      </c>
      <c r="Q45" s="12" t="n">
        <v>2317</v>
      </c>
      <c r="R45" s="12" t="n">
        <v>2514</v>
      </c>
      <c r="S45" s="12" t="n">
        <v>2699</v>
      </c>
      <c r="T45" s="12" t="n">
        <v>2867</v>
      </c>
      <c r="U45" s="12" t="n">
        <v>3018</v>
      </c>
      <c r="V45" s="12" t="n">
        <v>3148</v>
      </c>
      <c r="W45" s="12" t="n">
        <v>3259</v>
      </c>
      <c r="X45" s="12" t="n">
        <v>3350</v>
      </c>
      <c r="Y45" s="12" t="n">
        <v>3412</v>
      </c>
      <c r="Z45" s="12" t="n">
        <v>3460</v>
      </c>
      <c r="AA45" s="12" t="n">
        <v>3495</v>
      </c>
      <c r="AB45" s="12" t="n">
        <v>3521</v>
      </c>
      <c r="AC45" s="12" t="n">
        <v>3538</v>
      </c>
    </row>
    <row r="46" customFormat="false" ht="15.8" hidden="false" customHeight="false" outlineLevel="0" collapsed="false">
      <c r="A46" s="14" t="s">
        <v>20</v>
      </c>
      <c r="B46" s="20" t="n">
        <v>10289</v>
      </c>
      <c r="C46" s="7" t="n">
        <v>0</v>
      </c>
      <c r="D46" s="7" t="n">
        <v>112</v>
      </c>
      <c r="E46" s="21" t="n">
        <v>246</v>
      </c>
      <c r="F46" s="12" t="n">
        <v>471</v>
      </c>
      <c r="G46" s="12" t="n">
        <v>622</v>
      </c>
      <c r="H46" s="12" t="n">
        <v>806</v>
      </c>
      <c r="I46" s="12" t="n">
        <v>1030</v>
      </c>
      <c r="J46" s="12" t="n">
        <v>1304</v>
      </c>
      <c r="K46" s="12" t="n">
        <v>1598</v>
      </c>
      <c r="L46" s="12" t="n">
        <v>1932</v>
      </c>
      <c r="M46" s="12" t="n">
        <v>2280</v>
      </c>
      <c r="N46" s="12" t="n">
        <v>2640</v>
      </c>
      <c r="O46" s="12" t="n">
        <v>3010</v>
      </c>
      <c r="P46" s="12" t="n">
        <v>3384</v>
      </c>
      <c r="Q46" s="12" t="n">
        <v>3760</v>
      </c>
      <c r="R46" s="12" t="n">
        <v>4100</v>
      </c>
      <c r="S46" s="12" t="n">
        <v>4428</v>
      </c>
      <c r="T46" s="12" t="n">
        <v>4740</v>
      </c>
      <c r="U46" s="12" t="n">
        <v>4907</v>
      </c>
      <c r="V46" s="12" t="n">
        <v>5037</v>
      </c>
      <c r="W46" s="12" t="n">
        <v>5148</v>
      </c>
      <c r="X46" s="12" t="n">
        <v>5239</v>
      </c>
      <c r="Y46" s="12" t="n">
        <v>5302</v>
      </c>
      <c r="Z46" s="12" t="n">
        <v>5349</v>
      </c>
      <c r="AA46" s="12" t="n">
        <v>5385</v>
      </c>
      <c r="AB46" s="12" t="n">
        <v>5410</v>
      </c>
      <c r="AC46" s="12" t="n">
        <v>5428</v>
      </c>
    </row>
    <row r="47" customFormat="false" ht="15.8" hidden="false" customHeight="false" outlineLevel="0" collapsed="false">
      <c r="A47" s="22"/>
      <c r="B47" s="7"/>
      <c r="C47" s="7"/>
      <c r="D47" s="7"/>
      <c r="E47" s="21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</row>
    <row r="48" customFormat="false" ht="15.8" hidden="false" customHeight="false" outlineLevel="0" collapsed="false">
      <c r="A48" s="1" t="s">
        <v>42</v>
      </c>
      <c r="B48" s="0" t="s">
        <v>43</v>
      </c>
      <c r="C48" s="2" t="n">
        <v>2024</v>
      </c>
      <c r="D48" s="2" t="n">
        <v>2025</v>
      </c>
      <c r="E48" s="0" t="n">
        <v>2026</v>
      </c>
      <c r="F48" s="0" t="n">
        <v>2027</v>
      </c>
      <c r="G48" s="0" t="n">
        <v>2028</v>
      </c>
      <c r="H48" s="0" t="n">
        <v>2029</v>
      </c>
      <c r="I48" s="0" t="n">
        <v>2030</v>
      </c>
      <c r="J48" s="0" t="n">
        <v>2031</v>
      </c>
      <c r="K48" s="0" t="n">
        <v>2032</v>
      </c>
      <c r="L48" s="0" t="n">
        <v>2033</v>
      </c>
      <c r="M48" s="0" t="n">
        <v>2034</v>
      </c>
      <c r="N48" s="0" t="n">
        <v>2035</v>
      </c>
      <c r="O48" s="0" t="n">
        <v>2036</v>
      </c>
      <c r="P48" s="0" t="n">
        <v>2037</v>
      </c>
      <c r="Q48" s="0" t="n">
        <v>2038</v>
      </c>
      <c r="R48" s="0" t="n">
        <v>2039</v>
      </c>
      <c r="S48" s="0" t="n">
        <v>2040</v>
      </c>
      <c r="T48" s="0" t="n">
        <v>2041</v>
      </c>
      <c r="U48" s="0" t="n">
        <v>2042</v>
      </c>
      <c r="V48" s="0" t="n">
        <v>2043</v>
      </c>
      <c r="W48" s="0" t="n">
        <v>2044</v>
      </c>
      <c r="X48" s="0" t="n">
        <v>2045</v>
      </c>
      <c r="Y48" s="0" t="n">
        <v>2046</v>
      </c>
      <c r="Z48" s="0" t="n">
        <v>2047</v>
      </c>
      <c r="AA48" s="0" t="n">
        <v>2048</v>
      </c>
      <c r="AB48" s="0" t="n">
        <v>2049</v>
      </c>
      <c r="AC48" s="0" t="n">
        <v>2050</v>
      </c>
    </row>
    <row r="49" customFormat="false" ht="15.8" hidden="false" customHeight="false" outlineLevel="0" collapsed="false">
      <c r="A49" s="1" t="s">
        <v>44</v>
      </c>
      <c r="B49" s="0" t="n">
        <v>66.585808657411</v>
      </c>
      <c r="C49" s="2" t="n">
        <v>0</v>
      </c>
      <c r="D49" s="2" t="n">
        <v>139.285360613484</v>
      </c>
      <c r="E49" s="0" t="n">
        <v>176.038101143103</v>
      </c>
      <c r="F49" s="0" t="n">
        <v>195.648218436108</v>
      </c>
      <c r="G49" s="0" t="n">
        <v>195.648218436108</v>
      </c>
      <c r="H49" s="0" t="n">
        <v>195.648218436108</v>
      </c>
      <c r="I49" s="0" t="n">
        <v>195.648218436108</v>
      </c>
      <c r="J49" s="0" t="n">
        <v>195.648218436108</v>
      </c>
      <c r="K49" s="0" t="n">
        <v>195.648218436108</v>
      </c>
      <c r="L49" s="0" t="n">
        <v>195.648218436108</v>
      </c>
      <c r="M49" s="0" t="n">
        <v>195.648218436108</v>
      </c>
      <c r="N49" s="0" t="n">
        <v>195.648218436108</v>
      </c>
      <c r="O49" s="0" t="n">
        <v>195.648218436108</v>
      </c>
      <c r="P49" s="0" t="n">
        <v>195.648218436108</v>
      </c>
      <c r="Q49" s="0" t="n">
        <v>195.648218436108</v>
      </c>
      <c r="R49" s="0" t="n">
        <v>195.648218436108</v>
      </c>
      <c r="S49" s="0" t="n">
        <v>195.648218436108</v>
      </c>
      <c r="T49" s="0" t="n">
        <v>195.648218436108</v>
      </c>
      <c r="U49" s="0" t="n">
        <v>195.648218436108</v>
      </c>
      <c r="V49" s="0" t="n">
        <v>195.648218436108</v>
      </c>
      <c r="W49" s="0" t="n">
        <v>195.648218436108</v>
      </c>
      <c r="X49" s="0" t="n">
        <v>195.648218436108</v>
      </c>
      <c r="Y49" s="0" t="n">
        <v>195.648218436108</v>
      </c>
      <c r="Z49" s="0" t="n">
        <v>195.648218436108</v>
      </c>
      <c r="AA49" s="0" t="n">
        <v>195.648218436108</v>
      </c>
      <c r="AB49" s="0" t="n">
        <v>195.648218436108</v>
      </c>
      <c r="AC49" s="0" t="n">
        <v>195.648218436108</v>
      </c>
    </row>
    <row r="50" customFormat="false" ht="15.8" hidden="false" customHeight="false" outlineLevel="0" collapsed="false">
      <c r="A50" s="1" t="s">
        <v>45</v>
      </c>
      <c r="B50" s="0" t="n">
        <v>8018.82390447805</v>
      </c>
      <c r="C50" s="2" t="n">
        <v>0</v>
      </c>
      <c r="D50" s="2" t="n">
        <v>71.367532749854</v>
      </c>
      <c r="E50" s="0" t="n">
        <v>155.629758315311</v>
      </c>
      <c r="F50" s="0" t="n">
        <v>254.668692032036</v>
      </c>
      <c r="G50" s="0" t="n">
        <v>370.472515785195</v>
      </c>
      <c r="H50" s="0" t="n">
        <v>505.078984762933</v>
      </c>
      <c r="I50" s="0" t="n">
        <v>660.497920436527</v>
      </c>
      <c r="J50" s="0" t="n">
        <v>838.614174587931</v>
      </c>
      <c r="K50" s="0" t="n">
        <v>1012.73159560191</v>
      </c>
      <c r="L50" s="0" t="n">
        <v>1203.13129771934</v>
      </c>
      <c r="M50" s="0" t="n">
        <v>1408.25361693662</v>
      </c>
      <c r="N50" s="0" t="n">
        <v>1625.69564796233</v>
      </c>
      <c r="O50" s="0" t="n">
        <v>1852.25201139368</v>
      </c>
      <c r="P50" s="0" t="n">
        <v>2084.04800561252</v>
      </c>
      <c r="Q50" s="0" t="n">
        <v>2316.76048161876</v>
      </c>
      <c r="R50" s="0" t="n">
        <v>2513.8245415951</v>
      </c>
      <c r="S50" s="0" t="n">
        <v>2698.5004288654</v>
      </c>
      <c r="T50" s="0" t="n">
        <v>2867.28277900919</v>
      </c>
      <c r="U50" s="0" t="n">
        <v>3017.6421757681</v>
      </c>
      <c r="V50" s="0" t="n">
        <v>3148.16375609061</v>
      </c>
      <c r="W50" s="0" t="n">
        <v>3258.55543028474</v>
      </c>
      <c r="X50" s="0" t="n">
        <v>3349.53464449342</v>
      </c>
      <c r="Y50" s="0" t="n">
        <v>3412.39041535977</v>
      </c>
      <c r="Z50" s="0" t="n">
        <v>3460.19027582661</v>
      </c>
      <c r="AA50" s="0" t="n">
        <v>3495.4765058389</v>
      </c>
      <c r="AB50" s="0" t="n">
        <v>3520.76647090852</v>
      </c>
      <c r="AC50" s="0" t="n">
        <v>3538.36934714801</v>
      </c>
    </row>
    <row r="51" customFormat="false" ht="15.8" hidden="false" customHeight="false" outlineLevel="0" collapsed="false">
      <c r="A51" s="1" t="s">
        <v>46</v>
      </c>
      <c r="B51" s="0" t="n">
        <v>8085.40971313546</v>
      </c>
      <c r="C51" s="2" t="n">
        <v>0</v>
      </c>
      <c r="D51" s="2" t="n">
        <v>210.652893363338</v>
      </c>
      <c r="E51" s="0" t="n">
        <v>331.667859458414</v>
      </c>
      <c r="F51" s="0" t="n">
        <v>450.316910468144</v>
      </c>
      <c r="G51" s="0" t="n">
        <v>566.120734221303</v>
      </c>
      <c r="H51" s="0" t="n">
        <v>700.727203199041</v>
      </c>
      <c r="I51" s="0" t="n">
        <v>856.146138872635</v>
      </c>
      <c r="J51" s="0" t="n">
        <v>1034.26239302404</v>
      </c>
      <c r="K51" s="0" t="n">
        <v>1208.37981403802</v>
      </c>
      <c r="L51" s="0" t="n">
        <v>1398.77951615545</v>
      </c>
      <c r="M51" s="0" t="n">
        <v>1603.90183537272</v>
      </c>
      <c r="N51" s="0" t="n">
        <v>1821.34386639844</v>
      </c>
      <c r="O51" s="0" t="n">
        <v>2047.90022982978</v>
      </c>
      <c r="P51" s="0" t="n">
        <v>2279.69622404862</v>
      </c>
      <c r="Q51" s="0" t="n">
        <v>2512.40870005486</v>
      </c>
      <c r="R51" s="0" t="n">
        <v>2709.47276003121</v>
      </c>
      <c r="S51" s="0" t="n">
        <v>2894.14864730151</v>
      </c>
      <c r="T51" s="0" t="n">
        <v>3062.9309974453</v>
      </c>
      <c r="U51" s="0" t="n">
        <v>3213.29039420421</v>
      </c>
      <c r="V51" s="0" t="n">
        <v>3343.81197452672</v>
      </c>
      <c r="W51" s="0" t="n">
        <v>3454.20364872085</v>
      </c>
      <c r="X51" s="0" t="n">
        <v>3545.18286292953</v>
      </c>
      <c r="Y51" s="0" t="n">
        <v>3608.03863379587</v>
      </c>
      <c r="Z51" s="0" t="n">
        <v>3655.83849426272</v>
      </c>
      <c r="AA51" s="0" t="n">
        <v>3691.12472427501</v>
      </c>
      <c r="AB51" s="0" t="n">
        <v>3716.41468934462</v>
      </c>
      <c r="AC51" s="0" t="n">
        <v>3734.01756558412</v>
      </c>
    </row>
    <row r="53" customFormat="false" ht="15.8" hidden="false" customHeight="false" outlineLevel="0" collapsed="false">
      <c r="A53" s="1" t="s">
        <v>32</v>
      </c>
      <c r="B53" s="0" t="n">
        <v>37.1677766150884</v>
      </c>
      <c r="C53" s="2" t="n">
        <v>0</v>
      </c>
      <c r="D53" s="2" t="n">
        <v>0</v>
      </c>
      <c r="E53" s="0" t="n">
        <v>8.86881980032928</v>
      </c>
      <c r="F53" s="0" t="n">
        <v>35.4752792013171</v>
      </c>
      <c r="G53" s="0" t="n">
        <v>35.4752792013171</v>
      </c>
      <c r="H53" s="0" t="n">
        <v>35.4752792013171</v>
      </c>
      <c r="I53" s="0" t="n">
        <v>35.4752792013171</v>
      </c>
      <c r="J53" s="0" t="n">
        <v>35.4752792013171</v>
      </c>
      <c r="K53" s="0" t="n">
        <v>35.4752792013171</v>
      </c>
      <c r="L53" s="0" t="n">
        <v>35.4752792013171</v>
      </c>
      <c r="M53" s="0" t="n">
        <v>35.4752792013171</v>
      </c>
      <c r="N53" s="0" t="n">
        <v>35.4752792013171</v>
      </c>
      <c r="O53" s="0" t="n">
        <v>35.4752792013171</v>
      </c>
      <c r="P53" s="0" t="n">
        <v>35.4752792013171</v>
      </c>
      <c r="Q53" s="0" t="n">
        <v>35.4752792013171</v>
      </c>
      <c r="R53" s="0" t="n">
        <v>35.4752792013171</v>
      </c>
      <c r="S53" s="0" t="n">
        <v>35.4752792013171</v>
      </c>
      <c r="T53" s="0" t="n">
        <v>35.4752792013171</v>
      </c>
      <c r="U53" s="0" t="n">
        <v>35.4752792013171</v>
      </c>
      <c r="V53" s="0" t="n">
        <v>35.4752792013171</v>
      </c>
      <c r="W53" s="0" t="n">
        <v>35.4752792013171</v>
      </c>
      <c r="X53" s="0" t="n">
        <v>35.4752792013171</v>
      </c>
      <c r="Y53" s="0" t="n">
        <v>35.4752792013171</v>
      </c>
      <c r="Z53" s="0" t="n">
        <v>35.4752792013171</v>
      </c>
      <c r="AA53" s="0" t="n">
        <v>35.4752792013171</v>
      </c>
      <c r="AB53" s="0" t="n">
        <v>35.4752792013171</v>
      </c>
      <c r="AC53" s="0" t="n">
        <v>35.4752792013171</v>
      </c>
    </row>
    <row r="54" customFormat="false" ht="15.8" hidden="false" customHeight="false" outlineLevel="0" collapsed="false">
      <c r="A54" s="1" t="s">
        <v>47</v>
      </c>
      <c r="B54" s="0" t="n">
        <v>190.77</v>
      </c>
      <c r="C54" s="2" t="n">
        <v>0</v>
      </c>
      <c r="D54" s="2" t="n">
        <v>0</v>
      </c>
      <c r="E54" s="0" t="n">
        <v>1.78683893865325</v>
      </c>
      <c r="F54" s="0" t="n">
        <v>4.28841345276785</v>
      </c>
      <c r="G54" s="0" t="n">
        <v>7.79061777252825</v>
      </c>
      <c r="H54" s="0" t="n">
        <v>12.6937038201928</v>
      </c>
      <c r="I54" s="0" t="n">
        <v>19.5580242869232</v>
      </c>
      <c r="J54" s="0" t="n">
        <v>29.1680729403458</v>
      </c>
      <c r="K54" s="0" t="n">
        <v>41.180633757124</v>
      </c>
      <c r="L54" s="0" t="n">
        <v>55.4753452663501</v>
      </c>
      <c r="M54" s="0" t="n">
        <v>69.7700567755763</v>
      </c>
      <c r="N54" s="0" t="n">
        <v>84.0647682848025</v>
      </c>
      <c r="O54" s="0" t="n">
        <v>98.3594797940286</v>
      </c>
      <c r="P54" s="0" t="n">
        <v>112.654191303255</v>
      </c>
      <c r="Q54" s="0" t="n">
        <v>126.948902812481</v>
      </c>
      <c r="R54" s="0" t="n">
        <v>141.243614321707</v>
      </c>
      <c r="S54" s="0" t="n">
        <v>155.538325830933</v>
      </c>
      <c r="T54" s="0" t="n">
        <v>169.833037340159</v>
      </c>
      <c r="U54" s="0" t="n">
        <v>171.536538110714</v>
      </c>
      <c r="V54" s="0" t="n">
        <v>171.536538110714</v>
      </c>
      <c r="W54" s="0" t="n">
        <v>171.536538110714</v>
      </c>
      <c r="X54" s="0" t="n">
        <v>171.536538110714</v>
      </c>
      <c r="Y54" s="0" t="n">
        <v>171.536538110714</v>
      </c>
      <c r="Z54" s="0" t="n">
        <v>171.536538110714</v>
      </c>
      <c r="AA54" s="0" t="n">
        <v>171.536538110714</v>
      </c>
      <c r="AB54" s="0" t="n">
        <v>171.536538110714</v>
      </c>
      <c r="AC54" s="0" t="n">
        <v>171.536538110714</v>
      </c>
    </row>
    <row r="55" customFormat="false" ht="15.8" hidden="false" customHeight="false" outlineLevel="0" collapsed="false">
      <c r="A55" s="1" t="s">
        <v>48</v>
      </c>
      <c r="B55" s="0" t="n">
        <v>227.937776615088</v>
      </c>
      <c r="C55" s="2" t="n">
        <v>0</v>
      </c>
      <c r="D55" s="2" t="n">
        <v>0</v>
      </c>
      <c r="E55" s="0" t="n">
        <v>10.6556587389825</v>
      </c>
      <c r="F55" s="0" t="n">
        <v>39.763692654085</v>
      </c>
      <c r="G55" s="0" t="n">
        <v>43.2658969738454</v>
      </c>
      <c r="H55" s="0" t="n">
        <v>48.16898302151</v>
      </c>
      <c r="I55" s="0" t="n">
        <v>55.0333034882404</v>
      </c>
      <c r="J55" s="0" t="n">
        <v>64.6433521416629</v>
      </c>
      <c r="K55" s="0" t="n">
        <v>76.6559129584412</v>
      </c>
      <c r="L55" s="0" t="n">
        <v>90.9506244676673</v>
      </c>
      <c r="M55" s="0" t="n">
        <v>105.245335976893</v>
      </c>
      <c r="N55" s="0" t="n">
        <v>119.54004748612</v>
      </c>
      <c r="O55" s="0" t="n">
        <v>133.834758995346</v>
      </c>
      <c r="P55" s="0" t="n">
        <v>148.129470504572</v>
      </c>
      <c r="Q55" s="0" t="n">
        <v>162.424182013798</v>
      </c>
      <c r="R55" s="0" t="n">
        <v>176.718893523024</v>
      </c>
      <c r="S55" s="0" t="n">
        <v>191.01360503225</v>
      </c>
      <c r="T55" s="0" t="n">
        <v>205.308316541477</v>
      </c>
      <c r="U55" s="0" t="n">
        <v>207.011817312031</v>
      </c>
      <c r="V55" s="0" t="n">
        <v>207.011817312031</v>
      </c>
      <c r="W55" s="0" t="n">
        <v>207.011817312031</v>
      </c>
      <c r="X55" s="0" t="n">
        <v>207.011817312031</v>
      </c>
      <c r="Y55" s="0" t="n">
        <v>207.011817312031</v>
      </c>
      <c r="Z55" s="0" t="n">
        <v>207.011817312031</v>
      </c>
      <c r="AA55" s="0" t="n">
        <v>207.011817312031</v>
      </c>
      <c r="AB55" s="0" t="n">
        <v>207.011817312031</v>
      </c>
      <c r="AC55" s="0" t="n">
        <v>207.011817312031</v>
      </c>
    </row>
    <row r="57" customFormat="false" ht="15.8" hidden="false" customHeight="false" outlineLevel="0" collapsed="false">
      <c r="A57" s="1" t="s">
        <v>33</v>
      </c>
      <c r="B57" s="0" t="n">
        <v>77.2925799636339</v>
      </c>
      <c r="C57" s="2" t="n">
        <v>0</v>
      </c>
      <c r="D57" s="2" t="n">
        <v>0</v>
      </c>
      <c r="E57" s="0" t="n">
        <v>18.4119582163372</v>
      </c>
      <c r="F57" s="0" t="n">
        <v>73.6478328653489</v>
      </c>
      <c r="G57" s="0" t="n">
        <v>73.6478328653489</v>
      </c>
      <c r="H57" s="0" t="n">
        <v>73.6478328653489</v>
      </c>
      <c r="I57" s="0" t="n">
        <v>73.6478328653489</v>
      </c>
      <c r="J57" s="0" t="n">
        <v>73.6478328653489</v>
      </c>
      <c r="K57" s="0" t="n">
        <v>73.6478328653489</v>
      </c>
      <c r="L57" s="0" t="n">
        <v>73.6478328653489</v>
      </c>
      <c r="M57" s="0" t="n">
        <v>73.6478328653489</v>
      </c>
      <c r="N57" s="0" t="n">
        <v>73.6478328653489</v>
      </c>
      <c r="O57" s="0" t="n">
        <v>73.6478328653489</v>
      </c>
      <c r="P57" s="0" t="n">
        <v>73.6478328653489</v>
      </c>
      <c r="Q57" s="0" t="n">
        <v>73.6478328653489</v>
      </c>
      <c r="R57" s="0" t="n">
        <v>73.6478328653489</v>
      </c>
      <c r="S57" s="0" t="n">
        <v>73.6478328653489</v>
      </c>
      <c r="T57" s="0" t="n">
        <v>73.6478328653489</v>
      </c>
      <c r="U57" s="0" t="n">
        <v>73.6478328653489</v>
      </c>
      <c r="V57" s="0" t="n">
        <v>73.6478328653489</v>
      </c>
      <c r="W57" s="0" t="n">
        <v>73.6478328653489</v>
      </c>
      <c r="X57" s="0" t="n">
        <v>73.6478328653489</v>
      </c>
      <c r="Y57" s="0" t="n">
        <v>73.6478328653489</v>
      </c>
      <c r="Z57" s="0" t="n">
        <v>73.6478328653489</v>
      </c>
      <c r="AA57" s="0" t="n">
        <v>73.6478328653489</v>
      </c>
      <c r="AB57" s="0" t="n">
        <v>73.6478328653489</v>
      </c>
      <c r="AC57" s="0" t="n">
        <v>73.6478328653489</v>
      </c>
    </row>
    <row r="58" customFormat="false" ht="15.8" hidden="false" customHeight="false" outlineLevel="0" collapsed="false">
      <c r="A58" s="1" t="s">
        <v>49</v>
      </c>
      <c r="B58" s="0" t="n">
        <v>1716.93</v>
      </c>
      <c r="C58" s="2" t="n">
        <v>0</v>
      </c>
      <c r="D58" s="2" t="n">
        <v>0</v>
      </c>
      <c r="E58" s="0" t="n">
        <v>16.0815504478793</v>
      </c>
      <c r="F58" s="0" t="n">
        <v>38.5957210749107</v>
      </c>
      <c r="G58" s="0" t="n">
        <v>70.1155599527543</v>
      </c>
      <c r="H58" s="0" t="n">
        <v>114.243334381735</v>
      </c>
      <c r="I58" s="0" t="n">
        <v>176.022218582309</v>
      </c>
      <c r="J58" s="0" t="n">
        <v>262.512656463112</v>
      </c>
      <c r="K58" s="0" t="n">
        <v>370.625703814116</v>
      </c>
      <c r="L58" s="0" t="n">
        <v>499.278107397151</v>
      </c>
      <c r="M58" s="0" t="n">
        <v>627.930510980187</v>
      </c>
      <c r="N58" s="0" t="n">
        <v>756.582914563222</v>
      </c>
      <c r="O58" s="0" t="n">
        <v>885.235318146258</v>
      </c>
      <c r="P58" s="0" t="n">
        <v>1013.88772172929</v>
      </c>
      <c r="Q58" s="0" t="n">
        <v>1142.54012531233</v>
      </c>
      <c r="R58" s="0" t="n">
        <v>1271.19252889536</v>
      </c>
      <c r="S58" s="0" t="n">
        <v>1399.8449324784</v>
      </c>
      <c r="T58" s="0" t="n">
        <v>1528.49733606144</v>
      </c>
      <c r="U58" s="0" t="n">
        <v>1543.82884299643</v>
      </c>
      <c r="V58" s="0" t="n">
        <v>1543.82884299643</v>
      </c>
      <c r="W58" s="0" t="n">
        <v>1543.82884299643</v>
      </c>
      <c r="X58" s="0" t="n">
        <v>1543.82884299643</v>
      </c>
      <c r="Y58" s="0" t="n">
        <v>1543.82884299643</v>
      </c>
      <c r="Z58" s="0" t="n">
        <v>1543.82884299643</v>
      </c>
      <c r="AA58" s="0" t="n">
        <v>1543.82884299643</v>
      </c>
      <c r="AB58" s="0" t="n">
        <v>1543.82884299643</v>
      </c>
      <c r="AC58" s="0" t="n">
        <v>1543.82884299643</v>
      </c>
    </row>
    <row r="59" customFormat="false" ht="15.8" hidden="false" customHeight="false" outlineLevel="0" collapsed="false">
      <c r="A59" s="1" t="s">
        <v>50</v>
      </c>
      <c r="B59" s="0" t="n">
        <v>1794.22257996363</v>
      </c>
      <c r="C59" s="2" t="n">
        <v>0</v>
      </c>
      <c r="D59" s="2" t="n">
        <v>0</v>
      </c>
      <c r="E59" s="0" t="n">
        <v>34.4935086642165</v>
      </c>
      <c r="F59" s="0" t="n">
        <v>112.24355394026</v>
      </c>
      <c r="G59" s="0" t="n">
        <v>143.763392818103</v>
      </c>
      <c r="H59" s="0" t="n">
        <v>187.891167247084</v>
      </c>
      <c r="I59" s="0" t="n">
        <v>249.670051447658</v>
      </c>
      <c r="J59" s="0" t="n">
        <v>336.160489328461</v>
      </c>
      <c r="K59" s="0" t="n">
        <v>444.273536679465</v>
      </c>
      <c r="L59" s="0" t="n">
        <v>572.9259402625</v>
      </c>
      <c r="M59" s="0" t="n">
        <v>701.578343845536</v>
      </c>
      <c r="N59" s="0" t="n">
        <v>830.230747428571</v>
      </c>
      <c r="O59" s="0" t="n">
        <v>958.883151011607</v>
      </c>
      <c r="P59" s="0" t="n">
        <v>1087.53555459464</v>
      </c>
      <c r="Q59" s="0" t="n">
        <v>1216.18795817768</v>
      </c>
      <c r="R59" s="0" t="n">
        <v>1344.84036176071</v>
      </c>
      <c r="S59" s="0" t="n">
        <v>1473.49276534375</v>
      </c>
      <c r="T59" s="0" t="n">
        <v>1602.14516892678</v>
      </c>
      <c r="U59" s="0" t="n">
        <v>1617.47667586177</v>
      </c>
      <c r="V59" s="0" t="n">
        <v>1617.47667586177</v>
      </c>
      <c r="W59" s="0" t="n">
        <v>1617.47667586177</v>
      </c>
      <c r="X59" s="0" t="n">
        <v>1617.47667586177</v>
      </c>
      <c r="Y59" s="0" t="n">
        <v>1617.47667586177</v>
      </c>
      <c r="Z59" s="0" t="n">
        <v>1617.47667586177</v>
      </c>
      <c r="AA59" s="0" t="n">
        <v>1617.47667586177</v>
      </c>
      <c r="AB59" s="0" t="n">
        <v>1617.47667586177</v>
      </c>
      <c r="AC59" s="0" t="n">
        <v>1617.47667586177</v>
      </c>
    </row>
    <row r="61" customFormat="false" ht="15.8" hidden="false" customHeight="false" outlineLevel="0" collapsed="false">
      <c r="A61" s="1" t="s">
        <v>51</v>
      </c>
      <c r="B61" s="0" t="n">
        <v>10107.5700697142</v>
      </c>
      <c r="C61" s="2" t="n">
        <v>0</v>
      </c>
      <c r="D61" s="2" t="n">
        <v>210.652893363338</v>
      </c>
      <c r="E61" s="0" t="n">
        <v>376.817026861613</v>
      </c>
      <c r="F61" s="0" t="n">
        <v>602.324157062488</v>
      </c>
      <c r="G61" s="0" t="n">
        <v>753.150024013252</v>
      </c>
      <c r="H61" s="0" t="n">
        <v>936.787353467635</v>
      </c>
      <c r="I61" s="0" t="n">
        <v>1160.84949380853</v>
      </c>
      <c r="J61" s="0" t="n">
        <v>1435.06623449416</v>
      </c>
      <c r="K61" s="0" t="n">
        <v>1729.30926367593</v>
      </c>
      <c r="L61" s="0" t="n">
        <v>2062.65608088561</v>
      </c>
      <c r="M61" s="0" t="n">
        <v>2410.72551519515</v>
      </c>
      <c r="N61" s="0" t="n">
        <v>2771.11466131313</v>
      </c>
      <c r="O61" s="0" t="n">
        <v>3140.61813983674</v>
      </c>
      <c r="P61" s="0" t="n">
        <v>3515.36124914784</v>
      </c>
      <c r="Q61" s="0" t="n">
        <v>3891.02084024634</v>
      </c>
      <c r="R61" s="0" t="n">
        <v>4231.03201531495</v>
      </c>
      <c r="S61" s="0" t="n">
        <v>4558.65501767751</v>
      </c>
      <c r="T61" s="0" t="n">
        <v>4870.38448291356</v>
      </c>
      <c r="U61" s="0" t="n">
        <v>5037.77888737801</v>
      </c>
      <c r="V61" s="0" t="n">
        <v>5168.30046770053</v>
      </c>
      <c r="W61" s="0" t="n">
        <v>5278.69214189465</v>
      </c>
      <c r="X61" s="0" t="n">
        <v>5369.67135610334</v>
      </c>
      <c r="Y61" s="0" t="n">
        <v>5432.52712696968</v>
      </c>
      <c r="Z61" s="0" t="n">
        <v>5480.32698743652</v>
      </c>
      <c r="AA61" s="0" t="n">
        <v>5515.61321744881</v>
      </c>
      <c r="AB61" s="0" t="n">
        <v>5540.90318251843</v>
      </c>
      <c r="AC61" s="0" t="n">
        <v>5558.50605875793</v>
      </c>
    </row>
    <row r="67" customFormat="false" ht="15.8" hidden="false" customHeight="false" outlineLevel="0" collapsed="false">
      <c r="A67" s="1" t="s">
        <v>52</v>
      </c>
      <c r="B67" s="21" t="s">
        <v>36</v>
      </c>
      <c r="C67" s="7" t="n">
        <v>2024</v>
      </c>
      <c r="D67" s="7" t="n">
        <v>2025</v>
      </c>
      <c r="E67" s="21" t="n">
        <v>2026</v>
      </c>
      <c r="F67" s="12" t="n">
        <v>2027</v>
      </c>
      <c r="G67" s="21" t="n">
        <v>2028</v>
      </c>
      <c r="H67" s="21" t="n">
        <v>2029</v>
      </c>
      <c r="I67" s="21" t="n">
        <v>2030</v>
      </c>
      <c r="J67" s="12" t="n">
        <v>2031</v>
      </c>
      <c r="K67" s="12" t="n">
        <v>2032</v>
      </c>
      <c r="L67" s="12" t="n">
        <v>2033</v>
      </c>
      <c r="M67" s="12" t="n">
        <v>2034</v>
      </c>
      <c r="N67" s="12" t="n">
        <v>2035</v>
      </c>
      <c r="O67" s="12" t="n">
        <v>2036</v>
      </c>
      <c r="P67" s="12" t="n">
        <v>2037</v>
      </c>
      <c r="Q67" s="12" t="n">
        <v>2038</v>
      </c>
      <c r="R67" s="12" t="n">
        <v>2039</v>
      </c>
      <c r="S67" s="12" t="n">
        <v>2040</v>
      </c>
      <c r="T67" s="12" t="n">
        <v>2041</v>
      </c>
      <c r="U67" s="12" t="n">
        <v>2042</v>
      </c>
      <c r="V67" s="12" t="n">
        <v>2043</v>
      </c>
      <c r="W67" s="12" t="n">
        <v>2044</v>
      </c>
      <c r="X67" s="12" t="n">
        <v>2045</v>
      </c>
      <c r="Y67" s="12" t="n">
        <v>2046</v>
      </c>
      <c r="Z67" s="12" t="n">
        <v>2047</v>
      </c>
      <c r="AA67" s="12" t="n">
        <v>2048</v>
      </c>
      <c r="AB67" s="12" t="n">
        <v>2049</v>
      </c>
      <c r="AC67" s="12" t="n">
        <v>2050</v>
      </c>
    </row>
    <row r="68" customFormat="false" ht="15.8" hidden="false" customHeight="false" outlineLevel="0" collapsed="false">
      <c r="A68" s="1" t="s">
        <v>37</v>
      </c>
      <c r="B68" s="7" t="n">
        <v>67</v>
      </c>
      <c r="C68" s="7" t="n">
        <v>0</v>
      </c>
      <c r="D68" s="7" t="n">
        <v>41</v>
      </c>
      <c r="E68" s="21" t="n">
        <v>45</v>
      </c>
      <c r="F68" s="12" t="n">
        <v>65</v>
      </c>
      <c r="G68" s="21" t="n">
        <v>65</v>
      </c>
      <c r="H68" s="21" t="n">
        <v>65</v>
      </c>
      <c r="I68" s="21" t="n">
        <v>65</v>
      </c>
      <c r="J68" s="12" t="n">
        <v>65</v>
      </c>
      <c r="K68" s="12" t="n">
        <v>65</v>
      </c>
      <c r="L68" s="12" t="n">
        <v>65</v>
      </c>
      <c r="M68" s="12" t="n">
        <v>65</v>
      </c>
      <c r="N68" s="12" t="n">
        <v>65</v>
      </c>
      <c r="O68" s="12" t="n">
        <v>65</v>
      </c>
      <c r="P68" s="12" t="n">
        <v>65</v>
      </c>
      <c r="Q68" s="12" t="n">
        <v>65</v>
      </c>
      <c r="R68" s="12" t="n">
        <v>65</v>
      </c>
      <c r="S68" s="12" t="n">
        <v>65</v>
      </c>
      <c r="T68" s="12" t="n">
        <v>65</v>
      </c>
      <c r="U68" s="12" t="n">
        <v>65</v>
      </c>
      <c r="V68" s="12" t="n">
        <v>65</v>
      </c>
      <c r="W68" s="12" t="n">
        <v>65</v>
      </c>
      <c r="X68" s="12" t="n">
        <v>65</v>
      </c>
      <c r="Y68" s="12" t="n">
        <v>65</v>
      </c>
      <c r="Z68" s="12" t="n">
        <v>65</v>
      </c>
      <c r="AA68" s="12" t="n">
        <v>65</v>
      </c>
      <c r="AB68" s="12" t="n">
        <v>65</v>
      </c>
      <c r="AC68" s="12" t="n">
        <v>65</v>
      </c>
    </row>
    <row r="69" customFormat="false" ht="15.8" hidden="false" customHeight="false" outlineLevel="0" collapsed="false">
      <c r="A69" s="1" t="s">
        <v>18</v>
      </c>
      <c r="B69" s="7" t="n">
        <v>114</v>
      </c>
      <c r="C69" s="7" t="n">
        <v>0</v>
      </c>
      <c r="D69" s="7" t="n">
        <v>0</v>
      </c>
      <c r="E69" s="21" t="n">
        <v>27</v>
      </c>
      <c r="F69" s="12" t="n">
        <v>109</v>
      </c>
      <c r="G69" s="21" t="n">
        <v>109</v>
      </c>
      <c r="H69" s="7" t="n">
        <v>109</v>
      </c>
      <c r="I69" s="7" t="n">
        <v>109</v>
      </c>
      <c r="J69" s="12" t="n">
        <v>109</v>
      </c>
      <c r="K69" s="12" t="n">
        <v>109</v>
      </c>
      <c r="L69" s="12" t="n">
        <v>109</v>
      </c>
      <c r="M69" s="12" t="n">
        <v>109</v>
      </c>
      <c r="N69" s="12" t="n">
        <v>109</v>
      </c>
      <c r="O69" s="12" t="n">
        <v>109</v>
      </c>
      <c r="P69" s="12" t="n">
        <v>109</v>
      </c>
      <c r="Q69" s="12" t="n">
        <v>109</v>
      </c>
      <c r="R69" s="12" t="n">
        <v>109</v>
      </c>
      <c r="S69" s="12" t="n">
        <v>109</v>
      </c>
      <c r="T69" s="12" t="n">
        <v>109</v>
      </c>
      <c r="U69" s="12" t="n">
        <v>109</v>
      </c>
      <c r="V69" s="12" t="n">
        <v>109</v>
      </c>
      <c r="W69" s="12" t="n">
        <v>109</v>
      </c>
      <c r="X69" s="12" t="n">
        <v>109</v>
      </c>
      <c r="Y69" s="12" t="n">
        <v>109</v>
      </c>
      <c r="Z69" s="12" t="n">
        <v>109</v>
      </c>
      <c r="AA69" s="12" t="n">
        <v>109</v>
      </c>
      <c r="AB69" s="12" t="n">
        <v>109</v>
      </c>
      <c r="AC69" s="12" t="n">
        <v>109</v>
      </c>
    </row>
    <row r="70" customFormat="false" ht="15.8" hidden="false" customHeight="false" outlineLevel="0" collapsed="false">
      <c r="A70" s="1" t="s">
        <v>38</v>
      </c>
      <c r="B70" s="21" t="n">
        <v>0</v>
      </c>
      <c r="C70" s="21" t="n">
        <v>0</v>
      </c>
      <c r="D70" s="21" t="n">
        <v>98</v>
      </c>
      <c r="E70" s="21" t="n">
        <v>131</v>
      </c>
      <c r="F70" s="12" t="n">
        <v>131</v>
      </c>
      <c r="G70" s="21" t="n">
        <v>131</v>
      </c>
      <c r="H70" s="7" t="n">
        <v>131</v>
      </c>
      <c r="I70" s="7" t="n">
        <v>131</v>
      </c>
      <c r="J70" s="12" t="n">
        <v>131</v>
      </c>
      <c r="K70" s="12" t="n">
        <v>131</v>
      </c>
      <c r="L70" s="12" t="n">
        <v>131</v>
      </c>
      <c r="M70" s="12" t="n">
        <v>131</v>
      </c>
      <c r="N70" s="12" t="n">
        <v>131</v>
      </c>
      <c r="O70" s="12" t="n">
        <v>131</v>
      </c>
      <c r="P70" s="12" t="n">
        <v>131</v>
      </c>
      <c r="Q70" s="12" t="n">
        <v>131</v>
      </c>
      <c r="R70" s="12" t="n">
        <v>131</v>
      </c>
      <c r="S70" s="12" t="n">
        <v>131</v>
      </c>
      <c r="T70" s="12" t="n">
        <v>131</v>
      </c>
      <c r="U70" s="12" t="n">
        <v>131</v>
      </c>
      <c r="V70" s="12" t="n">
        <v>131</v>
      </c>
      <c r="W70" s="12" t="n">
        <v>131</v>
      </c>
      <c r="X70" s="12" t="n">
        <v>131</v>
      </c>
      <c r="Y70" s="12" t="n">
        <v>131</v>
      </c>
      <c r="Z70" s="12" t="n">
        <v>131</v>
      </c>
      <c r="AA70" s="12" t="n">
        <v>131</v>
      </c>
      <c r="AB70" s="12" t="n">
        <v>131</v>
      </c>
      <c r="AC70" s="12" t="n">
        <v>131</v>
      </c>
    </row>
    <row r="71" customFormat="false" ht="15.8" hidden="false" customHeight="false" outlineLevel="0" collapsed="false">
      <c r="A71" s="1" t="s">
        <v>39</v>
      </c>
      <c r="B71" s="7" t="n">
        <v>181</v>
      </c>
      <c r="C71" s="21" t="n">
        <v>0</v>
      </c>
      <c r="D71" s="7" t="n">
        <v>41</v>
      </c>
      <c r="E71" s="21" t="n">
        <v>72</v>
      </c>
      <c r="F71" s="12" t="n">
        <v>174</v>
      </c>
      <c r="G71" s="21" t="n">
        <v>174</v>
      </c>
      <c r="H71" s="7" t="n">
        <v>174</v>
      </c>
      <c r="I71" s="7" t="n">
        <v>174</v>
      </c>
      <c r="J71" s="12" t="n">
        <v>174</v>
      </c>
      <c r="K71" s="12" t="n">
        <v>174</v>
      </c>
      <c r="L71" s="12" t="n">
        <v>174</v>
      </c>
      <c r="M71" s="12" t="n">
        <v>174</v>
      </c>
      <c r="N71" s="12" t="n">
        <v>174</v>
      </c>
      <c r="O71" s="12" t="n">
        <v>174</v>
      </c>
      <c r="P71" s="12" t="n">
        <v>174</v>
      </c>
      <c r="Q71" s="12" t="n">
        <v>174</v>
      </c>
      <c r="R71" s="12" t="n">
        <v>174</v>
      </c>
      <c r="S71" s="12" t="n">
        <v>174</v>
      </c>
      <c r="T71" s="12" t="n">
        <v>174</v>
      </c>
      <c r="U71" s="12" t="n">
        <v>174</v>
      </c>
      <c r="V71" s="12" t="n">
        <v>174</v>
      </c>
      <c r="W71" s="12" t="n">
        <v>174</v>
      </c>
      <c r="X71" s="12" t="n">
        <v>174</v>
      </c>
      <c r="Y71" s="12" t="n">
        <v>174</v>
      </c>
      <c r="Z71" s="12" t="n">
        <v>174</v>
      </c>
      <c r="AA71" s="12" t="n">
        <v>174</v>
      </c>
      <c r="AB71" s="12" t="n">
        <v>174</v>
      </c>
      <c r="AC71" s="12" t="n">
        <v>174</v>
      </c>
    </row>
    <row r="72" customFormat="false" ht="15.8" hidden="false" customHeight="false" outlineLevel="0" collapsed="false">
      <c r="A72" s="1" t="s">
        <v>40</v>
      </c>
      <c r="B72" s="7" t="n">
        <v>1908</v>
      </c>
      <c r="C72" s="7" t="n">
        <v>0</v>
      </c>
      <c r="D72" s="7" t="n">
        <v>0</v>
      </c>
      <c r="E72" s="21" t="n">
        <v>11</v>
      </c>
      <c r="F72" s="12" t="n">
        <v>24</v>
      </c>
      <c r="G72" s="7" t="n">
        <v>41</v>
      </c>
      <c r="H72" s="7" t="n">
        <v>62</v>
      </c>
      <c r="I72" s="7" t="n">
        <v>88</v>
      </c>
      <c r="J72" s="12" t="n">
        <v>121</v>
      </c>
      <c r="K72" s="12" t="n">
        <v>158</v>
      </c>
      <c r="L72" s="12" t="n">
        <v>202</v>
      </c>
      <c r="M72" s="12" t="n">
        <v>258</v>
      </c>
      <c r="N72" s="12" t="n">
        <v>323</v>
      </c>
      <c r="O72" s="12" t="n">
        <v>397</v>
      </c>
      <c r="P72" s="12" t="n">
        <v>482</v>
      </c>
      <c r="Q72" s="12" t="n">
        <v>581</v>
      </c>
      <c r="R72" s="12" t="n">
        <v>694</v>
      </c>
      <c r="S72" s="12" t="n">
        <v>824</v>
      </c>
      <c r="T72" s="12" t="n">
        <v>974</v>
      </c>
      <c r="U72" s="12" t="n">
        <v>1146</v>
      </c>
      <c r="V72" s="12" t="n">
        <v>1344</v>
      </c>
      <c r="W72" s="12" t="n">
        <v>1571</v>
      </c>
      <c r="X72" s="12" t="n">
        <v>1833</v>
      </c>
      <c r="Y72" s="12" t="n">
        <v>2004</v>
      </c>
      <c r="Z72" s="12" t="n">
        <v>2176</v>
      </c>
      <c r="AA72" s="12" t="n">
        <v>2348</v>
      </c>
      <c r="AB72" s="12" t="n">
        <v>1715</v>
      </c>
      <c r="AC72" s="12" t="n">
        <v>1715</v>
      </c>
    </row>
    <row r="73" customFormat="false" ht="15.8" hidden="false" customHeight="false" outlineLevel="0" collapsed="false">
      <c r="A73" s="1" t="s">
        <v>41</v>
      </c>
      <c r="B73" s="7" t="n">
        <v>8019</v>
      </c>
      <c r="C73" s="7" t="n">
        <v>0</v>
      </c>
      <c r="D73" s="7" t="n">
        <v>23</v>
      </c>
      <c r="E73" s="21" t="n">
        <v>49</v>
      </c>
      <c r="F73" s="12" t="n">
        <v>79</v>
      </c>
      <c r="G73" s="7" t="n">
        <v>112</v>
      </c>
      <c r="H73" s="7" t="n">
        <v>150</v>
      </c>
      <c r="I73" s="7" t="n">
        <v>194</v>
      </c>
      <c r="J73" s="12" t="n">
        <v>243</v>
      </c>
      <c r="K73" s="12" t="n">
        <v>298</v>
      </c>
      <c r="L73" s="12" t="n">
        <v>360</v>
      </c>
      <c r="M73" s="12" t="n">
        <v>430</v>
      </c>
      <c r="N73" s="12" t="n">
        <v>506</v>
      </c>
      <c r="O73" s="12" t="n">
        <v>590</v>
      </c>
      <c r="P73" s="12" t="n">
        <v>680</v>
      </c>
      <c r="Q73" s="12" t="n">
        <v>777</v>
      </c>
      <c r="R73" s="12" t="n">
        <v>879</v>
      </c>
      <c r="S73" s="12" t="n">
        <v>985</v>
      </c>
      <c r="T73" s="12" t="n">
        <v>1095</v>
      </c>
      <c r="U73" s="12" t="n">
        <v>1206</v>
      </c>
      <c r="V73" s="12" t="n">
        <v>1319</v>
      </c>
      <c r="W73" s="12" t="n">
        <v>1431</v>
      </c>
      <c r="X73" s="12" t="n">
        <v>1543</v>
      </c>
      <c r="Y73" s="12" t="n">
        <v>1652</v>
      </c>
      <c r="Z73" s="12" t="n">
        <v>1758</v>
      </c>
      <c r="AA73" s="12" t="n">
        <v>1861</v>
      </c>
      <c r="AB73" s="12" t="n">
        <v>1961</v>
      </c>
      <c r="AC73" s="12" t="n">
        <v>2056</v>
      </c>
    </row>
    <row r="74" customFormat="false" ht="15.8" hidden="false" customHeight="false" outlineLevel="0" collapsed="false">
      <c r="A74" s="1" t="s">
        <v>20</v>
      </c>
      <c r="B74" s="7" t="n">
        <v>10289</v>
      </c>
      <c r="C74" s="7" t="n">
        <v>0</v>
      </c>
      <c r="D74" s="7" t="n">
        <v>204</v>
      </c>
      <c r="E74" s="21" t="n">
        <v>336</v>
      </c>
      <c r="F74" s="12" t="n">
        <v>582</v>
      </c>
      <c r="G74" s="7" t="n">
        <v>632</v>
      </c>
      <c r="H74" s="7" t="n">
        <v>691</v>
      </c>
      <c r="I74" s="7" t="n">
        <v>760</v>
      </c>
      <c r="J74" s="12" t="n">
        <v>842</v>
      </c>
      <c r="K74" s="12" t="n">
        <v>935</v>
      </c>
      <c r="L74" s="12" t="n">
        <v>1041</v>
      </c>
      <c r="M74" s="12" t="n">
        <v>1166</v>
      </c>
      <c r="N74" s="12" t="n">
        <v>1307</v>
      </c>
      <c r="O74" s="12" t="n">
        <v>1465</v>
      </c>
      <c r="P74" s="12" t="n">
        <v>1641</v>
      </c>
      <c r="Q74" s="12" t="n">
        <v>1836</v>
      </c>
      <c r="R74" s="12" t="n">
        <v>2051</v>
      </c>
      <c r="S74" s="12" t="n">
        <v>2288</v>
      </c>
      <c r="T74" s="12" t="n">
        <v>2547</v>
      </c>
      <c r="U74" s="12" t="n">
        <v>2831</v>
      </c>
      <c r="V74" s="12" t="n">
        <v>3141</v>
      </c>
      <c r="W74" s="12" t="n">
        <v>3481</v>
      </c>
      <c r="X74" s="12" t="n">
        <v>3854</v>
      </c>
      <c r="Y74" s="12" t="n">
        <v>4135</v>
      </c>
      <c r="Z74" s="12" t="n">
        <v>4413</v>
      </c>
      <c r="AA74" s="12" t="n">
        <v>4688</v>
      </c>
      <c r="AB74" s="12" t="n">
        <v>4155</v>
      </c>
      <c r="AC74" s="12" t="n">
        <v>4250</v>
      </c>
    </row>
    <row r="75" customFormat="false" ht="15.8" hidden="false" customHeight="false" outlineLevel="0" collapsed="false">
      <c r="B75" s="7"/>
      <c r="C75" s="7"/>
      <c r="D75" s="7"/>
      <c r="E75" s="21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</row>
    <row r="76" customFormat="false" ht="28.35" hidden="false" customHeight="false" outlineLevel="0" collapsed="false">
      <c r="A76" s="1" t="s">
        <v>53</v>
      </c>
      <c r="B76" s="23" t="s">
        <v>36</v>
      </c>
      <c r="C76" s="7" t="n">
        <v>2024</v>
      </c>
      <c r="D76" s="7" t="n">
        <v>2025</v>
      </c>
      <c r="E76" s="21" t="n">
        <v>2026</v>
      </c>
      <c r="F76" s="12" t="n">
        <v>2027</v>
      </c>
      <c r="G76" s="12" t="n">
        <v>2028</v>
      </c>
      <c r="H76" s="12" t="n">
        <v>2029</v>
      </c>
      <c r="I76" s="12" t="n">
        <v>2030</v>
      </c>
      <c r="J76" s="12" t="n">
        <v>2031</v>
      </c>
      <c r="K76" s="12" t="n">
        <v>2032</v>
      </c>
      <c r="L76" s="12" t="n">
        <v>2033</v>
      </c>
      <c r="M76" s="12" t="n">
        <v>2034</v>
      </c>
      <c r="N76" s="12" t="n">
        <v>2035</v>
      </c>
      <c r="O76" s="12" t="n">
        <v>2036</v>
      </c>
      <c r="P76" s="12" t="n">
        <v>2037</v>
      </c>
      <c r="Q76" s="12" t="n">
        <v>2038</v>
      </c>
      <c r="R76" s="12" t="n">
        <v>2039</v>
      </c>
      <c r="S76" s="12" t="n">
        <v>2040</v>
      </c>
      <c r="T76" s="12" t="n">
        <v>2041</v>
      </c>
      <c r="U76" s="12" t="n">
        <v>2042</v>
      </c>
      <c r="V76" s="12" t="n">
        <v>2043</v>
      </c>
      <c r="W76" s="12" t="n">
        <v>2044</v>
      </c>
      <c r="X76" s="12" t="n">
        <v>2045</v>
      </c>
      <c r="Y76" s="12" t="n">
        <v>2046</v>
      </c>
      <c r="Z76" s="12" t="n">
        <v>2047</v>
      </c>
      <c r="AA76" s="12" t="n">
        <v>2048</v>
      </c>
      <c r="AB76" s="12" t="n">
        <v>2049</v>
      </c>
      <c r="AC76" s="12" t="n">
        <v>2050</v>
      </c>
    </row>
    <row r="77" customFormat="false" ht="15.8" hidden="false" customHeight="false" outlineLevel="0" collapsed="false">
      <c r="A77" s="1" t="s">
        <v>37</v>
      </c>
      <c r="B77" s="21" t="n">
        <v>67</v>
      </c>
      <c r="C77" s="7" t="n">
        <v>0</v>
      </c>
      <c r="D77" s="7" t="n">
        <v>41</v>
      </c>
      <c r="E77" s="21" t="n">
        <v>45</v>
      </c>
      <c r="F77" s="12" t="n">
        <v>65</v>
      </c>
      <c r="G77" s="12" t="n">
        <v>65</v>
      </c>
      <c r="H77" s="12" t="n">
        <v>65</v>
      </c>
      <c r="I77" s="12" t="n">
        <v>65</v>
      </c>
      <c r="J77" s="12" t="n">
        <v>65</v>
      </c>
      <c r="K77" s="12" t="n">
        <v>65</v>
      </c>
      <c r="L77" s="12" t="n">
        <v>65</v>
      </c>
      <c r="M77" s="12" t="n">
        <v>65</v>
      </c>
      <c r="N77" s="12" t="n">
        <v>65</v>
      </c>
      <c r="O77" s="12" t="n">
        <v>65</v>
      </c>
      <c r="P77" s="12" t="n">
        <v>65</v>
      </c>
      <c r="Q77" s="12" t="n">
        <v>65</v>
      </c>
      <c r="R77" s="12" t="n">
        <v>65</v>
      </c>
      <c r="S77" s="12" t="n">
        <v>65</v>
      </c>
      <c r="T77" s="12" t="n">
        <v>65</v>
      </c>
      <c r="U77" s="12" t="n">
        <v>65</v>
      </c>
      <c r="V77" s="12" t="n">
        <v>65</v>
      </c>
      <c r="W77" s="12" t="n">
        <v>65</v>
      </c>
      <c r="X77" s="12" t="n">
        <v>65</v>
      </c>
      <c r="Y77" s="12" t="n">
        <v>65</v>
      </c>
      <c r="Z77" s="12" t="n">
        <v>65</v>
      </c>
      <c r="AA77" s="12" t="n">
        <v>65</v>
      </c>
      <c r="AB77" s="12" t="n">
        <v>65</v>
      </c>
      <c r="AC77" s="12" t="n">
        <v>65</v>
      </c>
    </row>
    <row r="78" customFormat="false" ht="15.8" hidden="false" customHeight="false" outlineLevel="0" collapsed="false">
      <c r="A78" s="10" t="s">
        <v>18</v>
      </c>
      <c r="B78" s="21" t="n">
        <v>114</v>
      </c>
      <c r="C78" s="21" t="n">
        <v>0</v>
      </c>
      <c r="D78" s="21" t="n">
        <v>0</v>
      </c>
      <c r="E78" s="21" t="n">
        <v>27</v>
      </c>
      <c r="F78" s="12" t="n">
        <v>109</v>
      </c>
      <c r="G78" s="12" t="n">
        <v>109</v>
      </c>
      <c r="H78" s="12" t="n">
        <v>109</v>
      </c>
      <c r="I78" s="12" t="n">
        <v>109</v>
      </c>
      <c r="J78" s="12" t="n">
        <v>109</v>
      </c>
      <c r="K78" s="12" t="n">
        <v>109</v>
      </c>
      <c r="L78" s="12" t="n">
        <v>109</v>
      </c>
      <c r="M78" s="12" t="n">
        <v>109</v>
      </c>
      <c r="N78" s="12" t="n">
        <v>109</v>
      </c>
      <c r="O78" s="12" t="n">
        <v>109</v>
      </c>
      <c r="P78" s="12" t="n">
        <v>109</v>
      </c>
      <c r="Q78" s="12" t="n">
        <v>109</v>
      </c>
      <c r="R78" s="12" t="n">
        <v>109</v>
      </c>
      <c r="S78" s="12" t="n">
        <v>109</v>
      </c>
      <c r="T78" s="12" t="n">
        <v>109</v>
      </c>
      <c r="U78" s="12" t="n">
        <v>109</v>
      </c>
      <c r="V78" s="12" t="n">
        <v>109</v>
      </c>
      <c r="W78" s="12" t="n">
        <v>109</v>
      </c>
      <c r="X78" s="12" t="n">
        <v>109</v>
      </c>
      <c r="Y78" s="12" t="n">
        <v>109</v>
      </c>
      <c r="Z78" s="12" t="n">
        <v>109</v>
      </c>
      <c r="AA78" s="12" t="n">
        <v>109</v>
      </c>
      <c r="AB78" s="12" t="n">
        <v>109</v>
      </c>
      <c r="AC78" s="12" t="n">
        <v>109</v>
      </c>
    </row>
    <row r="79" customFormat="false" ht="15.8" hidden="false" customHeight="false" outlineLevel="0" collapsed="false">
      <c r="A79" s="10" t="s">
        <v>38</v>
      </c>
      <c r="B79" s="21" t="n">
        <v>0</v>
      </c>
      <c r="C79" s="21" t="n">
        <v>0</v>
      </c>
      <c r="D79" s="21" t="n">
        <v>98</v>
      </c>
      <c r="E79" s="21" t="n">
        <v>131</v>
      </c>
      <c r="F79" s="12" t="n">
        <v>131</v>
      </c>
      <c r="G79" s="12" t="n">
        <v>131</v>
      </c>
      <c r="H79" s="12" t="n">
        <v>131</v>
      </c>
      <c r="I79" s="12" t="n">
        <v>131</v>
      </c>
      <c r="J79" s="12" t="n">
        <v>131</v>
      </c>
      <c r="K79" s="12" t="n">
        <v>131</v>
      </c>
      <c r="L79" s="12" t="n">
        <v>131</v>
      </c>
      <c r="M79" s="12" t="n">
        <v>131</v>
      </c>
      <c r="N79" s="12" t="n">
        <v>131</v>
      </c>
      <c r="O79" s="12" t="n">
        <v>131</v>
      </c>
      <c r="P79" s="12" t="n">
        <v>131</v>
      </c>
      <c r="Q79" s="12" t="n">
        <v>131</v>
      </c>
      <c r="R79" s="12" t="n">
        <v>131</v>
      </c>
      <c r="S79" s="12" t="n">
        <v>131</v>
      </c>
      <c r="T79" s="12" t="n">
        <v>131</v>
      </c>
      <c r="U79" s="12" t="n">
        <v>131</v>
      </c>
      <c r="V79" s="12" t="n">
        <v>131</v>
      </c>
      <c r="W79" s="12" t="n">
        <v>131</v>
      </c>
      <c r="X79" s="12" t="n">
        <v>131</v>
      </c>
      <c r="Y79" s="12" t="n">
        <v>131</v>
      </c>
      <c r="Z79" s="12" t="n">
        <v>131</v>
      </c>
      <c r="AA79" s="12" t="n">
        <v>131</v>
      </c>
      <c r="AB79" s="12" t="n">
        <v>131</v>
      </c>
      <c r="AC79" s="12" t="n">
        <v>131</v>
      </c>
    </row>
    <row r="80" customFormat="false" ht="15.8" hidden="false" customHeight="false" outlineLevel="0" collapsed="false">
      <c r="A80" s="10" t="s">
        <v>39</v>
      </c>
      <c r="B80" s="12" t="n">
        <v>181</v>
      </c>
      <c r="C80" s="21" t="n">
        <v>0</v>
      </c>
      <c r="D80" s="21" t="n">
        <v>41</v>
      </c>
      <c r="E80" s="12" t="n">
        <v>72</v>
      </c>
      <c r="F80" s="12" t="n">
        <v>174</v>
      </c>
      <c r="G80" s="12" t="n">
        <v>174</v>
      </c>
      <c r="H80" s="12" t="n">
        <v>174</v>
      </c>
      <c r="I80" s="12" t="n">
        <v>174</v>
      </c>
      <c r="J80" s="12" t="n">
        <v>174</v>
      </c>
      <c r="K80" s="12" t="n">
        <v>174</v>
      </c>
      <c r="L80" s="12" t="n">
        <v>174</v>
      </c>
      <c r="M80" s="12" t="n">
        <v>174</v>
      </c>
      <c r="N80" s="12" t="n">
        <v>174</v>
      </c>
      <c r="O80" s="12" t="n">
        <v>174</v>
      </c>
      <c r="P80" s="12" t="n">
        <v>174</v>
      </c>
      <c r="Q80" s="12" t="n">
        <v>174</v>
      </c>
      <c r="R80" s="12" t="n">
        <v>174</v>
      </c>
      <c r="S80" s="12" t="n">
        <v>174</v>
      </c>
      <c r="T80" s="12" t="n">
        <v>174</v>
      </c>
      <c r="U80" s="12" t="n">
        <v>174</v>
      </c>
      <c r="V80" s="12" t="n">
        <v>174</v>
      </c>
      <c r="W80" s="12" t="n">
        <v>174</v>
      </c>
      <c r="X80" s="12" t="n">
        <v>174</v>
      </c>
      <c r="Y80" s="12" t="n">
        <v>174</v>
      </c>
      <c r="Z80" s="12" t="n">
        <v>174</v>
      </c>
      <c r="AA80" s="12" t="n">
        <v>174</v>
      </c>
      <c r="AB80" s="12" t="n">
        <v>174</v>
      </c>
      <c r="AC80" s="12" t="n">
        <v>174</v>
      </c>
    </row>
    <row r="81" customFormat="false" ht="15.8" hidden="false" customHeight="false" outlineLevel="0" collapsed="false">
      <c r="A81" s="1" t="s">
        <v>40</v>
      </c>
      <c r="B81" s="12" t="n">
        <v>1908</v>
      </c>
      <c r="C81" s="7" t="n">
        <v>0</v>
      </c>
      <c r="D81" s="7" t="n">
        <v>0</v>
      </c>
      <c r="E81" s="12" t="n">
        <v>7</v>
      </c>
      <c r="F81" s="12" t="n">
        <v>16</v>
      </c>
      <c r="G81" s="12" t="n">
        <v>29</v>
      </c>
      <c r="H81" s="12" t="n">
        <v>42</v>
      </c>
      <c r="I81" s="12" t="n">
        <v>58</v>
      </c>
      <c r="J81" s="12" t="n">
        <v>77</v>
      </c>
      <c r="K81" s="12" t="n">
        <v>98</v>
      </c>
      <c r="L81" s="12" t="n">
        <v>122</v>
      </c>
      <c r="M81" s="12" t="n">
        <v>154</v>
      </c>
      <c r="N81" s="12" t="n">
        <v>190</v>
      </c>
      <c r="O81" s="12" t="n">
        <v>232</v>
      </c>
      <c r="P81" s="12" t="n">
        <v>280</v>
      </c>
      <c r="Q81" s="12" t="n">
        <v>335</v>
      </c>
      <c r="R81" s="12" t="n">
        <v>399</v>
      </c>
      <c r="S81" s="12" t="n">
        <v>472</v>
      </c>
      <c r="T81" s="12" t="n">
        <v>556</v>
      </c>
      <c r="U81" s="12" t="n">
        <v>652</v>
      </c>
      <c r="V81" s="12" t="n">
        <v>763</v>
      </c>
      <c r="W81" s="12" t="n">
        <v>891</v>
      </c>
      <c r="X81" s="12" t="n">
        <v>1038</v>
      </c>
      <c r="Y81" s="12" t="n">
        <v>1207</v>
      </c>
      <c r="Z81" s="12" t="n">
        <v>1401</v>
      </c>
      <c r="AA81" s="12" t="n">
        <v>1625</v>
      </c>
      <c r="AB81" s="12" t="n">
        <v>1796</v>
      </c>
      <c r="AC81" s="12" t="n">
        <v>1968</v>
      </c>
    </row>
    <row r="82" customFormat="false" ht="15.8" hidden="false" customHeight="false" outlineLevel="0" collapsed="false">
      <c r="A82" s="1" t="s">
        <v>41</v>
      </c>
      <c r="B82" s="12" t="n">
        <v>8019</v>
      </c>
      <c r="C82" s="7" t="n">
        <v>0</v>
      </c>
      <c r="D82" s="7" t="n">
        <v>17</v>
      </c>
      <c r="E82" s="12" t="n">
        <v>36</v>
      </c>
      <c r="F82" s="12" t="n">
        <v>57</v>
      </c>
      <c r="G82" s="12" t="n">
        <v>82</v>
      </c>
      <c r="H82" s="12" t="n">
        <v>110</v>
      </c>
      <c r="I82" s="12" t="n">
        <v>142</v>
      </c>
      <c r="J82" s="12" t="n">
        <v>180</v>
      </c>
      <c r="K82" s="12" t="n">
        <v>222</v>
      </c>
      <c r="L82" s="12" t="n">
        <v>271</v>
      </c>
      <c r="M82" s="12" t="n">
        <v>326</v>
      </c>
      <c r="N82" s="12" t="n">
        <v>388</v>
      </c>
      <c r="O82" s="12" t="n">
        <v>457</v>
      </c>
      <c r="P82" s="12" t="n">
        <v>533</v>
      </c>
      <c r="Q82" s="12" t="n">
        <v>617</v>
      </c>
      <c r="R82" s="12" t="n">
        <v>707</v>
      </c>
      <c r="S82" s="12" t="n">
        <v>804</v>
      </c>
      <c r="T82" s="12" t="n">
        <v>905</v>
      </c>
      <c r="U82" s="12" t="n">
        <v>1012</v>
      </c>
      <c r="V82" s="12" t="n">
        <v>1121</v>
      </c>
      <c r="W82" s="12" t="n">
        <v>1232</v>
      </c>
      <c r="X82" s="12" t="n">
        <v>1344</v>
      </c>
      <c r="Y82" s="12" t="n">
        <v>1456</v>
      </c>
      <c r="Z82" s="12" t="n">
        <v>1566</v>
      </c>
      <c r="AA82" s="12" t="n">
        <v>1675</v>
      </c>
      <c r="AB82" s="12" t="n">
        <v>1780</v>
      </c>
      <c r="AC82" s="12" t="n">
        <v>1882</v>
      </c>
    </row>
    <row r="83" customFormat="false" ht="15.8" hidden="false" customHeight="false" outlineLevel="0" collapsed="false">
      <c r="A83" s="1" t="s">
        <v>20</v>
      </c>
      <c r="B83" s="12" t="n">
        <v>10289</v>
      </c>
      <c r="C83" s="7" t="n">
        <v>0</v>
      </c>
      <c r="D83" s="7" t="n">
        <v>197</v>
      </c>
      <c r="E83" s="12" t="n">
        <v>319</v>
      </c>
      <c r="F83" s="12" t="n">
        <v>552</v>
      </c>
      <c r="G83" s="12" t="n">
        <v>589</v>
      </c>
      <c r="H83" s="12" t="n">
        <v>631</v>
      </c>
      <c r="I83" s="12" t="n">
        <v>679</v>
      </c>
      <c r="J83" s="12" t="n">
        <v>735</v>
      </c>
      <c r="K83" s="12" t="n">
        <v>799</v>
      </c>
      <c r="L83" s="12" t="n">
        <v>872</v>
      </c>
      <c r="M83" s="12" t="n">
        <v>958</v>
      </c>
      <c r="N83" s="12" t="n">
        <v>1056</v>
      </c>
      <c r="O83" s="12" t="n">
        <v>1167</v>
      </c>
      <c r="P83" s="12" t="n">
        <v>1292</v>
      </c>
      <c r="Q83" s="12" t="n">
        <v>1431</v>
      </c>
      <c r="R83" s="12" t="n">
        <v>1584</v>
      </c>
      <c r="S83" s="12" t="n">
        <v>1754</v>
      </c>
      <c r="T83" s="12" t="n">
        <v>1940</v>
      </c>
      <c r="U83" s="12" t="n">
        <v>2143</v>
      </c>
      <c r="V83" s="12" t="n">
        <v>2363</v>
      </c>
      <c r="W83" s="12" t="n">
        <v>2602</v>
      </c>
      <c r="X83" s="12" t="n">
        <v>2861</v>
      </c>
      <c r="Y83" s="12" t="n">
        <v>3142</v>
      </c>
      <c r="Z83" s="12" t="n">
        <v>3447</v>
      </c>
      <c r="AA83" s="12" t="n">
        <v>3778</v>
      </c>
      <c r="AB83" s="12" t="n">
        <v>4055</v>
      </c>
      <c r="AC83" s="12" t="n">
        <v>4329</v>
      </c>
    </row>
    <row r="84" customFormat="false" ht="15.8" hidden="false" customHeight="false" outlineLevel="0" collapsed="false">
      <c r="A84" s="0"/>
      <c r="C84" s="0"/>
      <c r="D84" s="0"/>
    </row>
    <row r="85" customFormat="false" ht="15.8" hidden="false" customHeight="false" outlineLevel="0" collapsed="false">
      <c r="A85" s="0"/>
      <c r="C85" s="0"/>
      <c r="D85" s="0"/>
    </row>
    <row r="86" customFormat="false" ht="15.8" hidden="false" customHeight="false" outlineLevel="0" collapsed="false">
      <c r="A86" s="0"/>
      <c r="C86" s="0"/>
      <c r="D86" s="0"/>
    </row>
    <row r="87" customFormat="false" ht="15.8" hidden="false" customHeight="false" outlineLevel="0" collapsed="false">
      <c r="A87" s="0"/>
      <c r="C87" s="0"/>
      <c r="D87" s="0"/>
    </row>
    <row r="88" customFormat="false" ht="15.8" hidden="false" customHeight="false" outlineLevel="0" collapsed="false">
      <c r="A88" s="0"/>
      <c r="C88" s="0"/>
      <c r="D88" s="0"/>
    </row>
    <row r="89" customFormat="false" ht="15.8" hidden="false" customHeight="false" outlineLevel="0" collapsed="false">
      <c r="A89" s="0"/>
      <c r="C89" s="0"/>
      <c r="D89" s="0"/>
    </row>
    <row r="90" customFormat="false" ht="15.8" hidden="false" customHeight="false" outlineLevel="0" collapsed="false">
      <c r="A90" s="0"/>
      <c r="C90" s="0"/>
      <c r="D90" s="0"/>
    </row>
    <row r="91" customFormat="false" ht="15.8" hidden="false" customHeight="false" outlineLevel="0" collapsed="false">
      <c r="A91" s="0"/>
      <c r="C91" s="0"/>
      <c r="D91" s="0"/>
    </row>
    <row r="92" customFormat="false" ht="15.8" hidden="false" customHeight="false" outlineLevel="0" collapsed="false">
      <c r="A92" s="0"/>
      <c r="C92" s="0"/>
      <c r="D92" s="0"/>
    </row>
    <row r="93" customFormat="false" ht="15.8" hidden="false" customHeight="false" outlineLevel="0" collapsed="false">
      <c r="A93" s="0"/>
      <c r="C93" s="0"/>
      <c r="D93" s="0"/>
    </row>
    <row r="94" customFormat="false" ht="15.8" hidden="false" customHeight="false" outlineLevel="0" collapsed="false">
      <c r="A94" s="0"/>
      <c r="C94" s="0"/>
      <c r="D94" s="0"/>
    </row>
    <row r="95" customFormat="false" ht="15.8" hidden="false" customHeight="false" outlineLevel="0" collapsed="false">
      <c r="A95" s="0"/>
      <c r="C95" s="0"/>
      <c r="D95" s="0"/>
    </row>
    <row r="96" customFormat="false" ht="15.8" hidden="false" customHeight="false" outlineLevel="0" collapsed="false">
      <c r="A96" s="0"/>
      <c r="C96" s="0"/>
      <c r="D96" s="0"/>
    </row>
    <row r="97" customFormat="false" ht="15.8" hidden="false" customHeight="false" outlineLevel="0" collapsed="false">
      <c r="A97" s="0"/>
      <c r="C97" s="0"/>
      <c r="D97" s="0"/>
    </row>
    <row r="98" customFormat="false" ht="15.8" hidden="false" customHeight="false" outlineLevel="0" collapsed="false">
      <c r="A98" s="0"/>
      <c r="C98" s="0"/>
      <c r="D98" s="0"/>
    </row>
    <row r="99" customFormat="false" ht="15.8" hidden="false" customHeight="false" outlineLevel="0" collapsed="false">
      <c r="A99" s="0"/>
      <c r="C99" s="0"/>
      <c r="D99" s="0"/>
    </row>
    <row r="100" customFormat="false" ht="15.8" hidden="false" customHeight="false" outlineLevel="0" collapsed="false">
      <c r="A100" s="0"/>
      <c r="C100" s="0"/>
      <c r="D100" s="0"/>
    </row>
    <row r="101" customFormat="false" ht="15.8" hidden="false" customHeight="false" outlineLevel="0" collapsed="false">
      <c r="A101" s="0"/>
      <c r="C101" s="0"/>
      <c r="D101" s="0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48"/>
  <sheetViews>
    <sheetView showFormulas="false" showGridLines="true" showRowColHeaders="true" showZeros="true" rightToLeft="false" tabSelected="false" showOutlineSymbols="true" defaultGridColor="true" view="normal" topLeftCell="A118" colorId="64" zoomScale="100" zoomScaleNormal="100" zoomScalePageLayoutView="100" workbookViewId="0">
      <selection pane="topLeft" activeCell="A83" activeCellId="1" sqref="B3:D14 A83"/>
    </sheetView>
  </sheetViews>
  <sheetFormatPr defaultColWidth="12.8046875" defaultRowHeight="12.8" zeroHeight="false" outlineLevelRow="0" outlineLevelCol="0"/>
  <cols>
    <col collapsed="false" customWidth="true" hidden="false" outlineLevel="0" max="1" min="1" style="1" width="22.07"/>
    <col collapsed="false" customWidth="true" hidden="false" outlineLevel="0" max="2" min="2" style="1" width="21.3"/>
    <col collapsed="false" customWidth="true" hidden="false" outlineLevel="0" max="3" min="3" style="10" width="40.91"/>
    <col collapsed="false" customWidth="true" hidden="false" outlineLevel="0" max="4" min="4" style="10" width="25.62"/>
    <col collapsed="false" customWidth="true" hidden="false" outlineLevel="0" max="8" min="8" style="0" width="18.83"/>
    <col collapsed="false" customWidth="true" hidden="false" outlineLevel="0" max="9" min="9" style="10" width="41.99"/>
    <col collapsed="false" customWidth="true" hidden="false" outlineLevel="0" max="11" min="11" style="0" width="22.38"/>
  </cols>
  <sheetData>
    <row r="1" customFormat="false" ht="12.8" hidden="false" customHeight="false" outlineLevel="0" collapsed="false">
      <c r="A1" s="33" t="s">
        <v>542</v>
      </c>
      <c r="B1" s="34"/>
      <c r="C1" s="35"/>
      <c r="D1" s="35"/>
      <c r="E1" s="35"/>
      <c r="F1" s="35"/>
      <c r="G1" s="35"/>
      <c r="J1" s="2"/>
    </row>
    <row r="2" customFormat="false" ht="36.55" hidden="false" customHeight="false" outlineLevel="0" collapsed="false">
      <c r="A2" s="36" t="s">
        <v>98</v>
      </c>
      <c r="B2" s="37" t="n">
        <v>2900000</v>
      </c>
      <c r="C2" s="35" t="s">
        <v>543</v>
      </c>
      <c r="D2" s="38" t="n">
        <v>1500000</v>
      </c>
      <c r="E2" s="35"/>
      <c r="F2" s="35"/>
      <c r="G2" s="35"/>
      <c r="J2" s="2"/>
    </row>
    <row r="3" customFormat="false" ht="35.05" hidden="false" customHeight="false" outlineLevel="0" collapsed="false">
      <c r="A3" s="39" t="s">
        <v>99</v>
      </c>
      <c r="B3" s="37" t="n">
        <v>25000</v>
      </c>
      <c r="C3" s="35" t="s">
        <v>544</v>
      </c>
      <c r="D3" s="35"/>
      <c r="E3" s="35"/>
      <c r="F3" s="35"/>
      <c r="G3" s="40" t="n">
        <v>9249556.32</v>
      </c>
      <c r="J3" s="2"/>
    </row>
    <row r="4" customFormat="false" ht="35.05" hidden="false" customHeight="false" outlineLevel="0" collapsed="false">
      <c r="A4" s="39" t="s">
        <v>100</v>
      </c>
      <c r="B4" s="39" t="n">
        <v>500000</v>
      </c>
      <c r="C4" s="35" t="s">
        <v>545</v>
      </c>
      <c r="D4" s="35" t="s">
        <v>546</v>
      </c>
      <c r="E4" s="35"/>
      <c r="F4" s="35"/>
      <c r="G4" s="38" t="n">
        <v>2900000</v>
      </c>
      <c r="J4" s="2"/>
    </row>
    <row r="5" customFormat="false" ht="23.85" hidden="false" customHeight="false" outlineLevel="0" collapsed="false">
      <c r="A5" s="39" t="s">
        <v>101</v>
      </c>
      <c r="B5" s="39" t="n">
        <v>8500000</v>
      </c>
      <c r="C5" s="35" t="s">
        <v>547</v>
      </c>
      <c r="D5" s="35"/>
      <c r="E5" s="35"/>
      <c r="F5" s="35"/>
      <c r="G5" s="35"/>
      <c r="J5" s="2"/>
    </row>
    <row r="6" customFormat="false" ht="12.8" hidden="false" customHeight="false" outlineLevel="0" collapsed="false">
      <c r="A6" s="39" t="s">
        <v>102</v>
      </c>
      <c r="B6" s="39" t="n">
        <v>501000</v>
      </c>
      <c r="C6" s="35" t="s">
        <v>548</v>
      </c>
      <c r="D6" s="35"/>
      <c r="E6" s="35"/>
      <c r="F6" s="35"/>
      <c r="G6" s="35"/>
      <c r="J6" s="2"/>
    </row>
    <row r="7" customFormat="false" ht="12.8" hidden="false" customHeight="false" outlineLevel="0" collapsed="false">
      <c r="A7" s="39" t="s">
        <v>103</v>
      </c>
      <c r="B7" s="39" t="n">
        <v>337000</v>
      </c>
      <c r="C7" s="35" t="s">
        <v>549</v>
      </c>
      <c r="D7" s="35"/>
      <c r="E7" s="35"/>
      <c r="F7" s="35"/>
      <c r="G7" s="35"/>
      <c r="J7" s="2"/>
    </row>
    <row r="8" customFormat="false" ht="12.8" hidden="false" customHeight="false" outlineLevel="0" collapsed="false">
      <c r="A8" s="39" t="s">
        <v>104</v>
      </c>
      <c r="B8" s="39" t="n">
        <f aca="false">SUM(B2:B7)*0.1</f>
        <v>1276300</v>
      </c>
      <c r="C8" s="35" t="s">
        <v>550</v>
      </c>
      <c r="D8" s="35"/>
      <c r="E8" s="35"/>
      <c r="F8" s="35"/>
      <c r="G8" s="35"/>
      <c r="J8" s="2"/>
    </row>
    <row r="9" customFormat="false" ht="12.8" hidden="false" customHeight="false" outlineLevel="0" collapsed="false">
      <c r="A9" s="39" t="s">
        <v>105</v>
      </c>
      <c r="B9" s="39" t="n">
        <f aca="false">SUM(B2:B8)</f>
        <v>14039300</v>
      </c>
      <c r="C9" s="38" t="n">
        <v>14039300</v>
      </c>
      <c r="D9" s="35"/>
      <c r="E9" s="35"/>
      <c r="F9" s="35"/>
      <c r="G9" s="35"/>
      <c r="J9" s="2"/>
    </row>
    <row r="10" customFormat="false" ht="35.05" hidden="false" customHeight="false" outlineLevel="0" collapsed="false">
      <c r="A10" s="41" t="s">
        <v>106</v>
      </c>
      <c r="B10" s="42" t="s">
        <v>107</v>
      </c>
      <c r="C10" s="42" t="s">
        <v>108</v>
      </c>
      <c r="D10" s="42" t="s">
        <v>109</v>
      </c>
      <c r="E10" s="42" t="s">
        <v>110</v>
      </c>
      <c r="F10" s="42" t="s">
        <v>111</v>
      </c>
      <c r="G10" s="43" t="s">
        <v>20</v>
      </c>
      <c r="I10" s="44" t="s">
        <v>112</v>
      </c>
      <c r="J10" s="45" t="s">
        <v>27</v>
      </c>
      <c r="L10" s="0" t="s">
        <v>113</v>
      </c>
    </row>
    <row r="11" customFormat="false" ht="12.8" hidden="false" customHeight="false" outlineLevel="0" collapsed="false">
      <c r="A11" s="46" t="s">
        <v>114</v>
      </c>
      <c r="B11" s="47" t="n">
        <v>1319</v>
      </c>
      <c r="C11" s="47" t="n">
        <v>1365</v>
      </c>
      <c r="D11" s="47" t="n">
        <v>1413</v>
      </c>
      <c r="E11" s="47" t="n">
        <v>1462</v>
      </c>
      <c r="F11" s="47" t="n">
        <v>1514</v>
      </c>
      <c r="G11" s="48" t="n">
        <v>7073</v>
      </c>
      <c r="I11" s="49" t="s">
        <v>115</v>
      </c>
      <c r="J11" s="50"/>
      <c r="L11" s="0" t="s">
        <v>38</v>
      </c>
    </row>
    <row r="12" customFormat="false" ht="12.8" hidden="false" customHeight="false" outlineLevel="0" collapsed="false">
      <c r="A12" s="46" t="s">
        <v>116</v>
      </c>
      <c r="B12" s="47" t="n">
        <v>139</v>
      </c>
      <c r="C12" s="47" t="n">
        <v>374</v>
      </c>
      <c r="D12" s="47" t="n">
        <v>191</v>
      </c>
      <c r="E12" s="47" t="n">
        <v>505</v>
      </c>
      <c r="F12" s="47" t="n">
        <v>1681</v>
      </c>
      <c r="G12" s="48" t="n">
        <v>2890</v>
      </c>
      <c r="I12" s="51" t="s">
        <v>117</v>
      </c>
      <c r="J12" s="50" t="n">
        <v>1647</v>
      </c>
      <c r="L12" s="0" t="s">
        <v>118</v>
      </c>
    </row>
    <row r="13" customFormat="false" ht="12.8" hidden="false" customHeight="false" outlineLevel="0" collapsed="false">
      <c r="A13" s="46" t="s">
        <v>119</v>
      </c>
      <c r="B13" s="47" t="n">
        <v>0</v>
      </c>
      <c r="C13" s="47" t="n">
        <v>0</v>
      </c>
      <c r="D13" s="47" t="n">
        <v>112</v>
      </c>
      <c r="E13" s="47" t="n">
        <v>266</v>
      </c>
      <c r="F13" s="47" t="n">
        <v>387</v>
      </c>
      <c r="G13" s="48" t="n">
        <v>765</v>
      </c>
      <c r="I13" s="51" t="s">
        <v>120</v>
      </c>
      <c r="J13" s="50" t="n">
        <v>1272</v>
      </c>
      <c r="L13" s="0" t="s">
        <v>121</v>
      </c>
    </row>
    <row r="14" customFormat="false" ht="12.8" hidden="false" customHeight="false" outlineLevel="0" collapsed="false">
      <c r="A14" s="46" t="s">
        <v>122</v>
      </c>
      <c r="B14" s="47" t="n">
        <v>4318</v>
      </c>
      <c r="C14" s="47" t="n">
        <v>20</v>
      </c>
      <c r="D14" s="47" t="n">
        <v>20</v>
      </c>
      <c r="E14" s="47" t="n">
        <v>20</v>
      </c>
      <c r="F14" s="47" t="n">
        <v>20</v>
      </c>
      <c r="G14" s="48" t="n">
        <v>4398</v>
      </c>
      <c r="I14" s="51" t="s">
        <v>123</v>
      </c>
      <c r="J14" s="50" t="n">
        <v>59</v>
      </c>
      <c r="L14" s="0" t="s">
        <v>124</v>
      </c>
    </row>
    <row r="15" customFormat="false" ht="12.8" hidden="false" customHeight="false" outlineLevel="0" collapsed="false">
      <c r="A15" s="46" t="s">
        <v>125</v>
      </c>
      <c r="B15" s="47" t="n">
        <v>30297</v>
      </c>
      <c r="C15" s="1" t="n">
        <v>0</v>
      </c>
      <c r="D15" s="1" t="n">
        <v>0</v>
      </c>
      <c r="E15" s="1" t="n">
        <v>0</v>
      </c>
      <c r="F15" s="1" t="n">
        <v>0</v>
      </c>
      <c r="G15" s="50" t="n">
        <f aca="false">SUM(B15)</f>
        <v>30297</v>
      </c>
      <c r="I15" s="51" t="s">
        <v>126</v>
      </c>
      <c r="J15" s="50" t="n">
        <v>110</v>
      </c>
    </row>
    <row r="16" customFormat="false" ht="12.8" hidden="false" customHeight="false" outlineLevel="0" collapsed="false">
      <c r="A16" s="46" t="s">
        <v>127</v>
      </c>
      <c r="B16" s="50" t="n">
        <f aca="false">SUM(B11:B15)</f>
        <v>36073</v>
      </c>
      <c r="C16" s="50" t="n">
        <f aca="false">SUM(C11:C15)</f>
        <v>1759</v>
      </c>
      <c r="D16" s="50" t="n">
        <f aca="false">SUM(D11:D15)</f>
        <v>1736</v>
      </c>
      <c r="E16" s="50" t="n">
        <f aca="false">SUM(E11:E15)</f>
        <v>2253</v>
      </c>
      <c r="F16" s="50" t="n">
        <f aca="false">SUM(F11:F15)</f>
        <v>3602</v>
      </c>
      <c r="G16" s="50" t="n">
        <f aca="false">SUM(G11:G15)</f>
        <v>45423</v>
      </c>
      <c r="I16" s="51" t="s">
        <v>128</v>
      </c>
      <c r="J16" s="50" t="n">
        <v>3127</v>
      </c>
    </row>
    <row r="17" customFormat="false" ht="12.8" hidden="false" customHeight="false" outlineLevel="0" collapsed="false">
      <c r="A17" s="51"/>
      <c r="C17" s="1"/>
      <c r="D17" s="1"/>
      <c r="E17" s="1"/>
      <c r="F17" s="1"/>
      <c r="G17" s="52"/>
      <c r="I17" s="51" t="s">
        <v>129</v>
      </c>
      <c r="J17" s="50" t="n">
        <f aca="false">SUM(J12:J16)</f>
        <v>6215</v>
      </c>
    </row>
    <row r="18" customFormat="false" ht="35.05" hidden="false" customHeight="false" outlineLevel="0" collapsed="false">
      <c r="A18" s="46" t="s">
        <v>130</v>
      </c>
      <c r="B18" s="35" t="s">
        <v>107</v>
      </c>
      <c r="C18" s="35" t="s">
        <v>108</v>
      </c>
      <c r="D18" s="35" t="s">
        <v>109</v>
      </c>
      <c r="E18" s="35" t="s">
        <v>110</v>
      </c>
      <c r="F18" s="35" t="s">
        <v>111</v>
      </c>
      <c r="G18" s="53" t="s">
        <v>20</v>
      </c>
      <c r="I18" s="51" t="s">
        <v>131</v>
      </c>
      <c r="J18" s="50" t="n">
        <f aca="false">J17*1.206</f>
        <v>7495.29</v>
      </c>
    </row>
    <row r="19" customFormat="false" ht="12.8" hidden="false" customHeight="false" outlineLevel="0" collapsed="false">
      <c r="A19" s="46" t="s">
        <v>114</v>
      </c>
      <c r="B19" s="47" t="n">
        <v>998</v>
      </c>
      <c r="C19" s="47" t="n">
        <v>1033</v>
      </c>
      <c r="D19" s="47" t="n">
        <v>1069</v>
      </c>
      <c r="E19" s="47" t="n">
        <v>1107</v>
      </c>
      <c r="F19" s="47" t="n">
        <v>1145</v>
      </c>
      <c r="G19" s="48" t="n">
        <v>5352</v>
      </c>
      <c r="I19" s="51" t="s">
        <v>132</v>
      </c>
      <c r="J19" s="52" t="n">
        <v>10</v>
      </c>
    </row>
    <row r="20" customFormat="false" ht="12.8" hidden="false" customHeight="false" outlineLevel="0" collapsed="false">
      <c r="A20" s="46" t="s">
        <v>116</v>
      </c>
      <c r="B20" s="47" t="n">
        <v>233</v>
      </c>
      <c r="C20" s="47" t="n">
        <v>659</v>
      </c>
      <c r="D20" s="47" t="n">
        <v>358</v>
      </c>
      <c r="E20" s="47" t="n">
        <v>2107</v>
      </c>
      <c r="F20" s="47" t="n">
        <v>2145</v>
      </c>
      <c r="G20" s="48" t="n">
        <v>5502</v>
      </c>
      <c r="I20" s="49" t="s">
        <v>133</v>
      </c>
      <c r="J20" s="50" t="n">
        <f aca="false">J19*J18</f>
        <v>74952.9</v>
      </c>
    </row>
    <row r="21" customFormat="false" ht="12.8" hidden="false" customHeight="false" outlineLevel="0" collapsed="false">
      <c r="A21" s="46" t="s">
        <v>119</v>
      </c>
      <c r="B21" s="47" t="n">
        <v>0</v>
      </c>
      <c r="C21" s="47" t="n">
        <v>0</v>
      </c>
      <c r="D21" s="47" t="n">
        <v>126</v>
      </c>
      <c r="E21" s="47" t="n">
        <v>298</v>
      </c>
      <c r="F21" s="47" t="n">
        <v>433</v>
      </c>
      <c r="G21" s="48" t="n">
        <v>857</v>
      </c>
      <c r="I21" s="51"/>
      <c r="J21" s="50"/>
    </row>
    <row r="22" customFormat="false" ht="12.8" hidden="false" customHeight="false" outlineLevel="0" collapsed="false">
      <c r="A22" s="46" t="s">
        <v>122</v>
      </c>
      <c r="B22" s="47" t="n">
        <v>6964</v>
      </c>
      <c r="C22" s="47" t="n">
        <v>20</v>
      </c>
      <c r="D22" s="47" t="n">
        <v>20</v>
      </c>
      <c r="E22" s="47" t="n">
        <v>20</v>
      </c>
      <c r="F22" s="47" t="n">
        <v>20</v>
      </c>
      <c r="G22" s="48" t="n">
        <v>7044</v>
      </c>
      <c r="I22" s="51" t="s">
        <v>134</v>
      </c>
      <c r="J22" s="50" t="n">
        <f aca="false">J18*0.3</f>
        <v>2248.587</v>
      </c>
    </row>
    <row r="23" customFormat="false" ht="12.8" hidden="false" customHeight="false" outlineLevel="0" collapsed="false">
      <c r="A23" s="46" t="s">
        <v>125</v>
      </c>
      <c r="B23" s="54" t="n">
        <v>49995</v>
      </c>
      <c r="C23" s="1" t="n">
        <v>0</v>
      </c>
      <c r="D23" s="1" t="n">
        <v>0</v>
      </c>
      <c r="E23" s="1" t="n">
        <v>0</v>
      </c>
      <c r="F23" s="1" t="n">
        <v>0</v>
      </c>
      <c r="G23" s="50" t="n">
        <f aca="false">SUM(B23)</f>
        <v>49995</v>
      </c>
      <c r="I23" s="51" t="s">
        <v>135</v>
      </c>
      <c r="J23" s="50" t="n">
        <f aca="false">J18-J22</f>
        <v>5246.703</v>
      </c>
    </row>
    <row r="24" customFormat="false" ht="12.8" hidden="false" customHeight="false" outlineLevel="0" collapsed="false">
      <c r="A24" s="46" t="s">
        <v>127</v>
      </c>
      <c r="B24" s="55" t="n">
        <f aca="false">SUM(B19:B23)</f>
        <v>58190</v>
      </c>
      <c r="C24" s="55" t="n">
        <f aca="false">SUM(C19:C23)</f>
        <v>1712</v>
      </c>
      <c r="D24" s="55" t="n">
        <f aca="false">SUM(D19:D23)</f>
        <v>1573</v>
      </c>
      <c r="E24" s="55" t="n">
        <f aca="false">SUM(E19:E23)</f>
        <v>3532</v>
      </c>
      <c r="F24" s="55" t="n">
        <f aca="false">SUM(F19:F23)</f>
        <v>3743</v>
      </c>
      <c r="G24" s="55" t="n">
        <f aca="false">SUM(G19:G23)</f>
        <v>68750</v>
      </c>
      <c r="I24" s="49" t="s">
        <v>136</v>
      </c>
      <c r="J24" s="56" t="n">
        <f aca="false">J23*J19</f>
        <v>52467.03</v>
      </c>
    </row>
    <row r="25" customFormat="false" ht="12.8" hidden="false" customHeight="false" outlineLevel="0" collapsed="false">
      <c r="A25" s="46"/>
      <c r="C25" s="10" t="s">
        <v>137</v>
      </c>
      <c r="G25" s="57"/>
      <c r="I25" s="49" t="s">
        <v>138</v>
      </c>
      <c r="J25" s="56"/>
    </row>
    <row r="26" customFormat="false" ht="12.8" hidden="false" customHeight="false" outlineLevel="0" collapsed="false">
      <c r="A26" s="46" t="s">
        <v>139</v>
      </c>
      <c r="B26" s="2" t="n">
        <f aca="false">8*B16</f>
        <v>288584</v>
      </c>
      <c r="C26" s="58" t="n">
        <f aca="false">B15*8</f>
        <v>242376</v>
      </c>
      <c r="G26" s="57"/>
      <c r="I26" s="51"/>
      <c r="J26" s="50"/>
    </row>
    <row r="27" customFormat="false" ht="12.8" hidden="false" customHeight="false" outlineLevel="0" collapsed="false">
      <c r="A27" s="46" t="s">
        <v>140</v>
      </c>
      <c r="B27" s="2" t="n">
        <f aca="false">2*G24</f>
        <v>137500</v>
      </c>
      <c r="C27" s="58" t="n">
        <f aca="false">B23*2</f>
        <v>99990</v>
      </c>
      <c r="G27" s="57"/>
      <c r="I27" s="49" t="s">
        <v>141</v>
      </c>
      <c r="J27" s="50"/>
    </row>
    <row r="28" customFormat="false" ht="12.8" hidden="false" customHeight="false" outlineLevel="0" collapsed="false">
      <c r="A28" s="59" t="s">
        <v>142</v>
      </c>
      <c r="B28" s="60" t="n">
        <f aca="false">SUM(B26:B27)</f>
        <v>426084</v>
      </c>
      <c r="C28" s="61" t="n">
        <f aca="false">SUM(C26:C27)</f>
        <v>342366</v>
      </c>
      <c r="D28" s="62"/>
      <c r="E28" s="62"/>
      <c r="F28" s="62"/>
      <c r="G28" s="63"/>
      <c r="I28" s="51" t="s">
        <v>117</v>
      </c>
      <c r="J28" s="50" t="n">
        <v>11760</v>
      </c>
    </row>
    <row r="29" customFormat="false" ht="12.8" hidden="false" customHeight="false" outlineLevel="0" collapsed="false">
      <c r="A29" s="35"/>
      <c r="I29" s="51" t="s">
        <v>120</v>
      </c>
      <c r="J29" s="50" t="n">
        <v>16380</v>
      </c>
    </row>
    <row r="30" customFormat="false" ht="12.8" hidden="false" customHeight="false" outlineLevel="0" collapsed="false">
      <c r="A30" s="64"/>
      <c r="B30" s="65"/>
      <c r="C30" s="66"/>
      <c r="D30" s="67"/>
      <c r="E30" s="68"/>
      <c r="F30" s="2"/>
      <c r="G30" s="2"/>
      <c r="I30" s="51" t="s">
        <v>123</v>
      </c>
      <c r="J30" s="50" t="n">
        <v>105</v>
      </c>
    </row>
    <row r="31" customFormat="false" ht="12.8" hidden="false" customHeight="false" outlineLevel="0" collapsed="false">
      <c r="A31" s="64" t="s">
        <v>143</v>
      </c>
      <c r="B31" s="65"/>
      <c r="C31" s="66"/>
      <c r="D31" s="67"/>
      <c r="E31" s="68"/>
      <c r="F31" s="2"/>
      <c r="G31" s="2"/>
      <c r="I31" s="51" t="s">
        <v>126</v>
      </c>
      <c r="J31" s="50" t="n">
        <v>67</v>
      </c>
    </row>
    <row r="32" customFormat="false" ht="12.8" hidden="false" customHeight="false" outlineLevel="0" collapsed="false">
      <c r="A32" s="69" t="s">
        <v>144</v>
      </c>
      <c r="B32" s="69" t="s">
        <v>145</v>
      </c>
      <c r="C32" s="70"/>
      <c r="D32" s="70" t="s">
        <v>146</v>
      </c>
      <c r="E32" s="70"/>
      <c r="F32" s="2"/>
      <c r="G32" s="2"/>
      <c r="I32" s="51" t="s">
        <v>128</v>
      </c>
      <c r="J32" s="50" t="n">
        <v>75000</v>
      </c>
    </row>
    <row r="33" customFormat="false" ht="12.8" hidden="false" customHeight="false" outlineLevel="0" collapsed="false">
      <c r="A33" s="71"/>
      <c r="B33" s="71"/>
      <c r="C33" s="72"/>
      <c r="D33" s="72"/>
      <c r="E33" s="72"/>
      <c r="F33" s="2"/>
      <c r="G33" s="2"/>
      <c r="I33" s="51" t="s">
        <v>129</v>
      </c>
      <c r="J33" s="50" t="n">
        <f aca="false">SUM(J28:J32)</f>
        <v>103312</v>
      </c>
    </row>
    <row r="34" customFormat="false" ht="12.8" hidden="false" customHeight="false" outlineLevel="0" collapsed="false">
      <c r="A34" s="71"/>
      <c r="B34" s="71"/>
      <c r="C34" s="72"/>
      <c r="D34" s="72"/>
      <c r="E34" s="72"/>
      <c r="F34" s="2"/>
      <c r="G34" s="2"/>
      <c r="I34" s="51" t="s">
        <v>131</v>
      </c>
      <c r="J34" s="50" t="n">
        <f aca="false">J33*1.206</f>
        <v>124594.272</v>
      </c>
    </row>
    <row r="35" customFormat="false" ht="12.8" hidden="false" customHeight="false" outlineLevel="0" collapsed="false">
      <c r="A35" s="71"/>
      <c r="B35" s="71"/>
      <c r="C35" s="72"/>
      <c r="D35" s="72"/>
      <c r="E35" s="72"/>
      <c r="F35" s="2"/>
      <c r="G35" s="2"/>
      <c r="I35" s="51" t="s">
        <v>147</v>
      </c>
      <c r="J35" s="52" t="n">
        <v>3</v>
      </c>
    </row>
    <row r="36" customFormat="false" ht="17.35" hidden="false" customHeight="true" outlineLevel="0" collapsed="false">
      <c r="A36" s="73" t="s">
        <v>148</v>
      </c>
      <c r="B36" s="73"/>
      <c r="C36" s="73"/>
      <c r="D36" s="73"/>
      <c r="E36" s="73"/>
      <c r="F36" s="2"/>
      <c r="G36" s="2"/>
      <c r="I36" s="49" t="s">
        <v>133</v>
      </c>
      <c r="J36" s="50" t="n">
        <f aca="false">J35*J34</f>
        <v>373782.816</v>
      </c>
    </row>
    <row r="37" customFormat="false" ht="12.8" hidden="false" customHeight="false" outlineLevel="0" collapsed="false">
      <c r="A37" s="74"/>
      <c r="B37" s="74"/>
      <c r="C37" s="72"/>
      <c r="D37" s="72"/>
      <c r="E37" s="72"/>
      <c r="F37" s="2"/>
      <c r="G37" s="2"/>
      <c r="I37" s="51"/>
      <c r="J37" s="50"/>
    </row>
    <row r="38" customFormat="false" ht="12.8" hidden="false" customHeight="false" outlineLevel="0" collapsed="false">
      <c r="A38" s="75" t="s">
        <v>149</v>
      </c>
      <c r="B38" s="74"/>
      <c r="C38" s="76"/>
      <c r="D38" s="76" t="s">
        <v>150</v>
      </c>
      <c r="E38" s="72"/>
      <c r="F38" s="2"/>
      <c r="G38" s="2"/>
      <c r="I38" s="51" t="s">
        <v>134</v>
      </c>
      <c r="J38" s="50" t="n">
        <f aca="false">100000*0.3</f>
        <v>30000</v>
      </c>
    </row>
    <row r="39" customFormat="false" ht="12.8" hidden="false" customHeight="false" outlineLevel="0" collapsed="false">
      <c r="A39" s="71"/>
      <c r="B39" s="77"/>
      <c r="C39" s="78"/>
      <c r="D39" s="78"/>
      <c r="E39" s="72"/>
      <c r="F39" s="2"/>
      <c r="G39" s="2"/>
      <c r="I39" s="51" t="s">
        <v>135</v>
      </c>
      <c r="J39" s="50" t="n">
        <f aca="false">J34-J38</f>
        <v>94594.272</v>
      </c>
    </row>
    <row r="40" customFormat="false" ht="12.8" hidden="false" customHeight="false" outlineLevel="0" collapsed="false">
      <c r="A40" s="79" t="s">
        <v>151</v>
      </c>
      <c r="B40" s="77" t="s">
        <v>152</v>
      </c>
      <c r="C40" s="80"/>
      <c r="D40" s="81" t="n">
        <v>11475</v>
      </c>
      <c r="E40" s="72"/>
      <c r="F40" s="2"/>
      <c r="G40" s="2"/>
      <c r="I40" s="49" t="s">
        <v>136</v>
      </c>
      <c r="J40" s="56" t="n">
        <f aca="false">J39*J35</f>
        <v>283782.816</v>
      </c>
    </row>
    <row r="41" customFormat="false" ht="12.8" hidden="false" customHeight="false" outlineLevel="0" collapsed="false">
      <c r="A41" s="71"/>
      <c r="B41" s="77"/>
      <c r="C41" s="78"/>
      <c r="D41" s="82"/>
      <c r="E41" s="72"/>
      <c r="F41" s="2"/>
      <c r="G41" s="2"/>
      <c r="I41" s="51"/>
      <c r="J41" s="50"/>
    </row>
    <row r="42" customFormat="false" ht="12.8" hidden="false" customHeight="false" outlineLevel="0" collapsed="false">
      <c r="A42" s="79" t="s">
        <v>153</v>
      </c>
      <c r="B42" s="77" t="s">
        <v>154</v>
      </c>
      <c r="C42" s="80"/>
      <c r="D42" s="81" t="n">
        <v>1371300</v>
      </c>
      <c r="E42" s="72"/>
      <c r="F42" s="2"/>
      <c r="G42" s="2"/>
      <c r="I42" s="83" t="s">
        <v>155</v>
      </c>
      <c r="J42" s="84" t="n">
        <f aca="false">J40+J24</f>
        <v>336249.846</v>
      </c>
    </row>
    <row r="43" customFormat="false" ht="12.8" hidden="false" customHeight="false" outlineLevel="0" collapsed="false">
      <c r="A43" s="71"/>
      <c r="B43" s="77"/>
      <c r="C43" s="78"/>
      <c r="D43" s="82"/>
      <c r="E43" s="72"/>
      <c r="F43" s="2"/>
      <c r="G43" s="2"/>
    </row>
    <row r="44" customFormat="false" ht="12.8" hidden="false" customHeight="false" outlineLevel="0" collapsed="false">
      <c r="A44" s="79" t="s">
        <v>156</v>
      </c>
      <c r="B44" s="77" t="s">
        <v>157</v>
      </c>
      <c r="C44" s="80"/>
      <c r="D44" s="81" t="n">
        <v>341080</v>
      </c>
      <c r="E44" s="72"/>
      <c r="F44" s="2"/>
      <c r="G44" s="2"/>
    </row>
    <row r="45" customFormat="false" ht="12.8" hidden="false" customHeight="false" outlineLevel="0" collapsed="false">
      <c r="A45" s="71"/>
      <c r="B45" s="77"/>
      <c r="C45" s="78"/>
      <c r="D45" s="82"/>
      <c r="E45" s="72"/>
      <c r="F45" s="2"/>
      <c r="G45" s="2"/>
    </row>
    <row r="46" customFormat="false" ht="12.8" hidden="false" customHeight="false" outlineLevel="0" collapsed="false">
      <c r="A46" s="79" t="s">
        <v>158</v>
      </c>
      <c r="B46" s="77" t="s">
        <v>159</v>
      </c>
      <c r="C46" s="80"/>
      <c r="D46" s="81" t="n">
        <v>4156431</v>
      </c>
      <c r="E46" s="72"/>
      <c r="F46" s="2"/>
      <c r="G46" s="2"/>
    </row>
    <row r="47" customFormat="false" ht="12.8" hidden="false" customHeight="false" outlineLevel="0" collapsed="false">
      <c r="A47" s="71"/>
      <c r="B47" s="77"/>
      <c r="C47" s="78"/>
      <c r="D47" s="82"/>
      <c r="E47" s="72"/>
    </row>
    <row r="48" customFormat="false" ht="12.8" hidden="false" customHeight="false" outlineLevel="0" collapsed="false">
      <c r="A48" s="79" t="s">
        <v>160</v>
      </c>
      <c r="B48" s="77" t="s">
        <v>161</v>
      </c>
      <c r="C48" s="80"/>
      <c r="D48" s="81" t="n">
        <v>78000</v>
      </c>
      <c r="E48" s="72"/>
    </row>
    <row r="49" customFormat="false" ht="12.8" hidden="false" customHeight="false" outlineLevel="0" collapsed="false">
      <c r="A49" s="71"/>
      <c r="B49" s="77"/>
      <c r="C49" s="78"/>
      <c r="D49" s="82"/>
      <c r="E49" s="72"/>
    </row>
    <row r="50" customFormat="false" ht="12.8" hidden="false" customHeight="false" outlineLevel="0" collapsed="false">
      <c r="A50" s="79" t="s">
        <v>162</v>
      </c>
      <c r="B50" s="77"/>
      <c r="C50" s="80"/>
      <c r="D50" s="81" t="n">
        <v>58217</v>
      </c>
      <c r="E50" s="72"/>
    </row>
    <row r="51" customFormat="false" ht="12.8" hidden="false" customHeight="false" outlineLevel="0" collapsed="false">
      <c r="A51" s="71"/>
      <c r="B51" s="77"/>
      <c r="C51" s="78"/>
      <c r="D51" s="82"/>
      <c r="E51" s="72"/>
    </row>
    <row r="52" customFormat="false" ht="12.8" hidden="false" customHeight="false" outlineLevel="0" collapsed="false">
      <c r="A52" s="79" t="s">
        <v>163</v>
      </c>
      <c r="B52" s="77"/>
      <c r="C52" s="80"/>
      <c r="D52" s="81"/>
      <c r="E52" s="72"/>
    </row>
    <row r="53" customFormat="false" ht="12.8" hidden="false" customHeight="false" outlineLevel="0" collapsed="false">
      <c r="A53" s="71"/>
      <c r="B53" s="77"/>
      <c r="C53" s="78"/>
      <c r="D53" s="82"/>
      <c r="E53" s="72"/>
    </row>
    <row r="54" customFormat="false" ht="12.8" hidden="false" customHeight="false" outlineLevel="0" collapsed="false">
      <c r="A54" s="71" t="s">
        <v>164</v>
      </c>
      <c r="B54" s="77"/>
      <c r="C54" s="78"/>
      <c r="D54" s="82" t="n">
        <v>350000</v>
      </c>
      <c r="E54" s="72"/>
    </row>
    <row r="55" customFormat="false" ht="12.8" hidden="false" customHeight="false" outlineLevel="0" collapsed="false">
      <c r="A55" s="71"/>
      <c r="B55" s="77"/>
      <c r="C55" s="78"/>
      <c r="D55" s="82"/>
      <c r="E55" s="72"/>
    </row>
    <row r="56" customFormat="false" ht="12.8" hidden="false" customHeight="false" outlineLevel="0" collapsed="false">
      <c r="A56" s="79" t="s">
        <v>165</v>
      </c>
      <c r="B56" s="77"/>
      <c r="C56" s="80"/>
      <c r="D56" s="81" t="n">
        <v>279453</v>
      </c>
      <c r="E56" s="72"/>
    </row>
    <row r="57" customFormat="false" ht="12.8" hidden="false" customHeight="false" outlineLevel="0" collapsed="false">
      <c r="A57" s="79"/>
      <c r="B57" s="77"/>
      <c r="C57" s="80"/>
      <c r="D57" s="80"/>
      <c r="E57" s="72"/>
    </row>
    <row r="58" customFormat="false" ht="12.8" hidden="false" customHeight="false" outlineLevel="0" collapsed="false">
      <c r="A58" s="79" t="s">
        <v>166</v>
      </c>
      <c r="B58" s="77"/>
      <c r="C58" s="80"/>
      <c r="D58" s="81" t="n">
        <f aca="false">SUM(D40:D56)</f>
        <v>6645956</v>
      </c>
      <c r="E58" s="72"/>
    </row>
    <row r="59" customFormat="false" ht="12.8" hidden="false" customHeight="false" outlineLevel="0" collapsed="false">
      <c r="A59" s="79"/>
      <c r="B59" s="77"/>
      <c r="C59" s="80"/>
      <c r="D59" s="80"/>
      <c r="E59" s="72"/>
    </row>
    <row r="60" customFormat="false" ht="12.8" hidden="false" customHeight="false" outlineLevel="0" collapsed="false">
      <c r="A60" s="79" t="s">
        <v>167</v>
      </c>
      <c r="B60" s="77"/>
      <c r="C60" s="85" t="n">
        <v>0.04</v>
      </c>
      <c r="D60" s="80" t="n">
        <f aca="false">SUM(C60*D58)</f>
        <v>265838.24</v>
      </c>
      <c r="E60" s="72"/>
    </row>
    <row r="61" customFormat="false" ht="12.8" hidden="false" customHeight="false" outlineLevel="0" collapsed="false">
      <c r="A61" s="79"/>
      <c r="B61" s="77"/>
      <c r="C61" s="80"/>
      <c r="D61" s="80"/>
      <c r="E61" s="72"/>
    </row>
    <row r="62" customFormat="false" ht="12.8" hidden="false" customHeight="false" outlineLevel="0" collapsed="false">
      <c r="A62" s="79" t="s">
        <v>168</v>
      </c>
      <c r="B62" s="77"/>
      <c r="C62" s="85" t="n">
        <v>0.045</v>
      </c>
      <c r="D62" s="80" t="n">
        <f aca="false">SUM(D58+D60)*C62</f>
        <v>311030.7408</v>
      </c>
      <c r="E62" s="72"/>
    </row>
    <row r="63" customFormat="false" ht="12.8" hidden="false" customHeight="false" outlineLevel="0" collapsed="false">
      <c r="A63" s="86"/>
      <c r="B63" s="87"/>
      <c r="C63" s="88"/>
      <c r="D63" s="88"/>
      <c r="E63" s="89"/>
    </row>
    <row r="64" customFormat="false" ht="12.8" hidden="false" customHeight="false" outlineLevel="0" collapsed="false">
      <c r="A64" s="71"/>
      <c r="B64" s="77"/>
      <c r="C64" s="72"/>
      <c r="D64" s="72"/>
      <c r="E64" s="72"/>
    </row>
    <row r="65" customFormat="false" ht="12.8" hidden="false" customHeight="false" outlineLevel="0" collapsed="false">
      <c r="A65" s="90" t="s">
        <v>169</v>
      </c>
      <c r="B65" s="91"/>
      <c r="C65" s="92"/>
      <c r="D65" s="92" t="n">
        <f aca="false">SUM(D58:D62)</f>
        <v>7222824.9808</v>
      </c>
      <c r="E65" s="93"/>
    </row>
    <row r="66" customFormat="false" ht="12.8" hidden="false" customHeight="false" outlineLevel="0" collapsed="false">
      <c r="A66" s="94"/>
      <c r="B66" s="77"/>
      <c r="C66" s="95"/>
      <c r="D66" s="95"/>
      <c r="E66" s="72"/>
    </row>
    <row r="67" customFormat="false" ht="12.8" hidden="false" customHeight="false" outlineLevel="0" collapsed="false">
      <c r="A67" s="79" t="s">
        <v>170</v>
      </c>
      <c r="B67" s="77"/>
      <c r="C67" s="96" t="n">
        <v>0.075</v>
      </c>
      <c r="D67" s="95" t="n">
        <f aca="false">SUM(C67*D65)</f>
        <v>541711.87356</v>
      </c>
      <c r="E67" s="72"/>
    </row>
    <row r="68" customFormat="false" ht="12.8" hidden="false" customHeight="false" outlineLevel="0" collapsed="false">
      <c r="A68" s="77"/>
      <c r="B68" s="77"/>
      <c r="C68" s="72"/>
      <c r="D68" s="72"/>
      <c r="E68" s="72"/>
    </row>
    <row r="69" customFormat="false" ht="12.8" hidden="false" customHeight="false" outlineLevel="0" collapsed="false">
      <c r="A69" s="97" t="s">
        <v>171</v>
      </c>
      <c r="B69" s="98"/>
      <c r="C69" s="99" t="n">
        <v>0.05</v>
      </c>
      <c r="D69" s="100" t="n">
        <f aca="false">SUM(D65*C69)</f>
        <v>361141.24904</v>
      </c>
      <c r="E69" s="72"/>
    </row>
    <row r="70" customFormat="false" ht="12.8" hidden="false" customHeight="false" outlineLevel="0" collapsed="false">
      <c r="A70" s="97"/>
      <c r="B70" s="98"/>
      <c r="C70" s="72"/>
      <c r="D70" s="72"/>
      <c r="E70" s="72"/>
    </row>
    <row r="71" customFormat="false" ht="12.8" hidden="false" customHeight="false" outlineLevel="0" collapsed="false">
      <c r="A71" s="90" t="s">
        <v>172</v>
      </c>
      <c r="B71" s="91"/>
      <c r="C71" s="93"/>
      <c r="D71" s="40" t="n">
        <f aca="false">SUM(D65:D69)</f>
        <v>8125678.1034</v>
      </c>
      <c r="E71" s="93"/>
    </row>
    <row r="72" customFormat="false" ht="12.8" hidden="false" customHeight="false" outlineLevel="0" collapsed="false">
      <c r="D72" s="58" t="n">
        <f aca="false">D71</f>
        <v>8125678.1034</v>
      </c>
    </row>
    <row r="80" customFormat="false" ht="12.8" hidden="false" customHeight="true" outlineLevel="0" collapsed="false">
      <c r="A80" s="102" t="s">
        <v>54</v>
      </c>
      <c r="B80" s="102"/>
      <c r="C80" s="102"/>
      <c r="D80" s="102"/>
      <c r="E80" s="102"/>
      <c r="F80" s="102"/>
      <c r="G80" s="102"/>
      <c r="H80" s="102"/>
    </row>
    <row r="81" customFormat="false" ht="23.85" hidden="false" customHeight="false" outlineLevel="0" collapsed="false">
      <c r="A81" s="103" t="s">
        <v>55</v>
      </c>
      <c r="B81" s="103" t="s">
        <v>56</v>
      </c>
      <c r="C81" s="103" t="s">
        <v>57</v>
      </c>
      <c r="D81" s="103" t="s">
        <v>58</v>
      </c>
      <c r="E81" s="103" t="s">
        <v>59</v>
      </c>
      <c r="F81" s="103" t="s">
        <v>60</v>
      </c>
      <c r="G81" s="103" t="s">
        <v>61</v>
      </c>
      <c r="H81" s="103" t="s">
        <v>62</v>
      </c>
    </row>
    <row r="82" customFormat="false" ht="15.8" hidden="false" customHeight="false" outlineLevel="0" collapsed="false">
      <c r="A82" s="103" t="s">
        <v>63</v>
      </c>
      <c r="B82" s="103" t="s">
        <v>64</v>
      </c>
      <c r="C82" s="104" t="n">
        <f aca="false">'Town Building Statistics'!B17</f>
        <v>15787.2</v>
      </c>
      <c r="D82" s="104" t="n">
        <f aca="false">'Town Building Statistics'!C17</f>
        <v>15787.2</v>
      </c>
      <c r="E82" s="104" t="n">
        <f aca="false">'Town Building Statistics'!D17</f>
        <v>15787.2</v>
      </c>
      <c r="F82" s="104" t="n">
        <f aca="false">'Town Building Statistics'!E17</f>
        <v>15787.2</v>
      </c>
      <c r="G82" s="104" t="n">
        <f aca="false">'Town Building Statistics'!F17</f>
        <v>15787.2</v>
      </c>
      <c r="H82" s="104" t="n">
        <f aca="false">SUM(C82:G82)</f>
        <v>78936</v>
      </c>
    </row>
    <row r="83" customFormat="false" ht="25.35" hidden="false" customHeight="false" outlineLevel="0" collapsed="false">
      <c r="A83" s="103"/>
      <c r="B83" s="103" t="s">
        <v>65</v>
      </c>
      <c r="C83" s="104" t="n">
        <f aca="false">'Town Building Statistics'!B16-'Town Building Statistics'!B17</f>
        <v>26000</v>
      </c>
      <c r="D83" s="104" t="n">
        <f aca="false">'Town Building Statistics'!C16-'Town Building Statistics'!C17</f>
        <v>26000</v>
      </c>
      <c r="E83" s="104" t="n">
        <f aca="false">'Town Building Statistics'!D16-'Town Building Statistics'!D17</f>
        <v>26000</v>
      </c>
      <c r="F83" s="104" t="n">
        <f aca="false">'Town Building Statistics'!E16-'Town Building Statistics'!E17</f>
        <v>26000</v>
      </c>
      <c r="G83" s="104" t="n">
        <f aca="false">'Town Building Statistics'!F16-'Town Building Statistics'!F17</f>
        <v>26000</v>
      </c>
      <c r="H83" s="104" t="n">
        <f aca="false">SUM(C83:G83)</f>
        <v>130000</v>
      </c>
    </row>
    <row r="84" customFormat="false" ht="25.35" hidden="false" customHeight="false" outlineLevel="0" collapsed="false">
      <c r="A84" s="103"/>
      <c r="B84" s="103"/>
      <c r="C84" s="104"/>
      <c r="D84" s="104"/>
      <c r="E84" s="104"/>
      <c r="F84" s="104"/>
      <c r="G84" s="104"/>
      <c r="H84" s="104"/>
    </row>
    <row r="85" customFormat="false" ht="23.85" hidden="false" customHeight="false" outlineLevel="0" collapsed="false">
      <c r="A85" s="104"/>
      <c r="B85" s="103" t="s">
        <v>66</v>
      </c>
      <c r="C85" s="103" t="n">
        <f aca="false">SUM(C82:C84)</f>
        <v>41787.2</v>
      </c>
      <c r="D85" s="103" t="n">
        <f aca="false">SUM(D82:D84)</f>
        <v>41787.2</v>
      </c>
      <c r="E85" s="103" t="n">
        <f aca="false">SUM(E82:E84)</f>
        <v>41787.2</v>
      </c>
      <c r="F85" s="103" t="n">
        <f aca="false">SUM(F82:F84)</f>
        <v>41787.2</v>
      </c>
      <c r="G85" s="103" t="n">
        <f aca="false">SUM(G82:G84)</f>
        <v>41787.2</v>
      </c>
      <c r="H85" s="103" t="n">
        <f aca="false">SUM(H82:H84)</f>
        <v>208936</v>
      </c>
    </row>
    <row r="86" customFormat="false" ht="23.85" hidden="false" customHeight="false" outlineLevel="0" collapsed="false">
      <c r="A86" s="103" t="s">
        <v>67</v>
      </c>
      <c r="B86" s="104"/>
      <c r="C86" s="104"/>
      <c r="D86" s="104"/>
      <c r="E86" s="104"/>
      <c r="F86" s="104"/>
      <c r="G86" s="104"/>
      <c r="H86" s="104"/>
    </row>
    <row r="87" customFormat="false" ht="12.8" hidden="false" customHeight="false" outlineLevel="0" collapsed="false">
      <c r="A87" s="104"/>
      <c r="B87" s="103" t="s">
        <v>69</v>
      </c>
      <c r="C87" s="103" t="n">
        <v>0</v>
      </c>
      <c r="D87" s="103" t="n">
        <v>0</v>
      </c>
      <c r="E87" s="103" t="n">
        <v>0</v>
      </c>
      <c r="F87" s="103" t="n">
        <v>0</v>
      </c>
      <c r="G87" s="103" t="n">
        <v>0</v>
      </c>
      <c r="H87" s="103" t="n">
        <v>0</v>
      </c>
    </row>
    <row r="88" customFormat="false" ht="12.8" hidden="false" customHeight="false" outlineLevel="0" collapsed="false">
      <c r="A88" s="103" t="s">
        <v>175</v>
      </c>
      <c r="B88" s="104"/>
      <c r="C88" s="104"/>
      <c r="D88" s="104"/>
      <c r="E88" s="104"/>
      <c r="F88" s="104"/>
      <c r="G88" s="104"/>
      <c r="H88" s="104"/>
    </row>
    <row r="89" customFormat="false" ht="12.8" hidden="false" customHeight="false" outlineLevel="0" collapsed="false">
      <c r="A89" s="104"/>
      <c r="B89" s="103" t="s">
        <v>176</v>
      </c>
      <c r="C89" s="103" t="n">
        <v>0</v>
      </c>
      <c r="D89" s="103" t="n">
        <v>0</v>
      </c>
      <c r="E89" s="103" t="n">
        <v>0</v>
      </c>
      <c r="F89" s="103" t="n">
        <v>0</v>
      </c>
      <c r="G89" s="103" t="n">
        <v>0</v>
      </c>
      <c r="H89" s="103" t="n">
        <v>0</v>
      </c>
    </row>
    <row r="90" customFormat="false" ht="12.8" hidden="false" customHeight="false" outlineLevel="0" collapsed="false">
      <c r="A90" s="103" t="s">
        <v>70</v>
      </c>
      <c r="B90" s="0"/>
      <c r="C90" s="0"/>
      <c r="D90" s="0"/>
    </row>
    <row r="91" customFormat="false" ht="23.85" hidden="false" customHeight="false" outlineLevel="0" collapsed="false">
      <c r="A91" s="104"/>
      <c r="B91" s="103" t="s">
        <v>71</v>
      </c>
      <c r="C91" s="103" t="n">
        <f aca="false">(B15*8)*(1+D141+D142+D143)</f>
        <v>271266.019239496</v>
      </c>
      <c r="D91" s="103" t="n">
        <v>0</v>
      </c>
      <c r="E91" s="103" t="n">
        <v>0</v>
      </c>
      <c r="F91" s="103" t="n">
        <v>0</v>
      </c>
      <c r="G91" s="103" t="n">
        <v>0</v>
      </c>
      <c r="H91" s="103" t="n">
        <v>242376</v>
      </c>
    </row>
    <row r="92" customFormat="false" ht="23.85" hidden="false" customHeight="false" outlineLevel="0" collapsed="false">
      <c r="A92" s="104"/>
      <c r="B92" s="103" t="s">
        <v>72</v>
      </c>
      <c r="C92" s="103" t="n">
        <f aca="false">(B23*2)*(1+D141+D142+D143)</f>
        <v>111908.312967279</v>
      </c>
      <c r="D92" s="103" t="n">
        <v>0</v>
      </c>
      <c r="E92" s="103" t="n">
        <v>0</v>
      </c>
      <c r="F92" s="103" t="n">
        <v>0</v>
      </c>
      <c r="G92" s="103" t="n">
        <v>0</v>
      </c>
      <c r="H92" s="103" t="n">
        <v>99990</v>
      </c>
    </row>
    <row r="93" customFormat="false" ht="12.8" hidden="false" customHeight="false" outlineLevel="0" collapsed="false">
      <c r="A93" s="104"/>
      <c r="B93" s="104"/>
      <c r="C93" s="104"/>
      <c r="D93" s="104"/>
      <c r="E93" s="104"/>
      <c r="F93" s="104"/>
      <c r="G93" s="104"/>
      <c r="H93" s="104"/>
    </row>
    <row r="94" customFormat="false" ht="23.85" hidden="false" customHeight="false" outlineLevel="0" collapsed="false">
      <c r="A94" s="104"/>
      <c r="B94" s="103" t="s">
        <v>73</v>
      </c>
      <c r="C94" s="104" t="n">
        <f aca="false">SUM(C90:C92)</f>
        <v>383174.332206775</v>
      </c>
      <c r="D94" s="104" t="n">
        <f aca="false">SUM(D90:D92)</f>
        <v>0</v>
      </c>
      <c r="E94" s="104" t="n">
        <f aca="false">SUM(E90:E92)</f>
        <v>0</v>
      </c>
      <c r="F94" s="104" t="n">
        <f aca="false">SUM(F90:F92)</f>
        <v>0</v>
      </c>
      <c r="G94" s="104" t="n">
        <f aca="false">SUM(G90:G92)</f>
        <v>0</v>
      </c>
      <c r="H94" s="104" t="n">
        <f aca="false">SUM(H90:H92)</f>
        <v>342366</v>
      </c>
    </row>
    <row r="95" customFormat="false" ht="12.8" hidden="false" customHeight="false" outlineLevel="0" collapsed="false">
      <c r="A95" s="103"/>
      <c r="B95" s="106"/>
      <c r="C95" s="106"/>
      <c r="D95" s="106"/>
      <c r="E95" s="106"/>
      <c r="F95" s="106"/>
      <c r="G95" s="106"/>
      <c r="H95" s="106"/>
    </row>
    <row r="96" customFormat="false" ht="12.8" hidden="false" customHeight="false" outlineLevel="0" collapsed="false">
      <c r="A96" s="103"/>
      <c r="B96" s="106"/>
      <c r="C96" s="106"/>
      <c r="D96" s="106"/>
      <c r="E96" s="106"/>
      <c r="F96" s="106"/>
      <c r="G96" s="106"/>
      <c r="H96" s="106"/>
    </row>
    <row r="97" customFormat="false" ht="12.8" hidden="false" customHeight="true" outlineLevel="0" collapsed="false">
      <c r="A97" s="103" t="s">
        <v>54</v>
      </c>
      <c r="B97" s="103"/>
      <c r="C97" s="103"/>
      <c r="D97" s="103"/>
      <c r="E97" s="103"/>
      <c r="F97" s="103"/>
      <c r="G97" s="103"/>
      <c r="H97" s="103"/>
    </row>
    <row r="98" customFormat="false" ht="23.85" hidden="false" customHeight="false" outlineLevel="0" collapsed="false">
      <c r="A98" s="103" t="s">
        <v>55</v>
      </c>
      <c r="B98" s="103" t="s">
        <v>56</v>
      </c>
      <c r="C98" s="103" t="s">
        <v>57</v>
      </c>
      <c r="D98" s="103" t="s">
        <v>58</v>
      </c>
      <c r="E98" s="103" t="s">
        <v>59</v>
      </c>
      <c r="F98" s="103" t="s">
        <v>60</v>
      </c>
      <c r="G98" s="103" t="s">
        <v>61</v>
      </c>
      <c r="H98" s="103" t="s">
        <v>62</v>
      </c>
    </row>
    <row r="99" customFormat="false" ht="12.8" hidden="false" customHeight="false" outlineLevel="0" collapsed="false">
      <c r="A99" s="103" t="s">
        <v>177</v>
      </c>
      <c r="B99" s="104"/>
      <c r="C99" s="104"/>
      <c r="D99" s="104"/>
      <c r="E99" s="104"/>
      <c r="F99" s="104"/>
      <c r="G99" s="104"/>
      <c r="H99" s="104"/>
    </row>
    <row r="100" customFormat="false" ht="12.8" hidden="false" customHeight="false" outlineLevel="0" collapsed="false">
      <c r="A100" s="104"/>
      <c r="B100" s="104"/>
      <c r="C100" s="104"/>
      <c r="D100" s="104"/>
      <c r="E100" s="104"/>
      <c r="F100" s="104"/>
      <c r="G100" s="104"/>
      <c r="H100" s="104"/>
    </row>
    <row r="101" customFormat="false" ht="12.8" hidden="false" customHeight="false" outlineLevel="0" collapsed="false">
      <c r="A101" s="104"/>
      <c r="B101" s="103" t="s">
        <v>178</v>
      </c>
      <c r="C101" s="103" t="n">
        <v>0</v>
      </c>
      <c r="D101" s="103" t="n">
        <v>0</v>
      </c>
      <c r="E101" s="103" t="n">
        <v>0</v>
      </c>
      <c r="F101" s="103" t="n">
        <v>0</v>
      </c>
      <c r="G101" s="103" t="n">
        <v>0</v>
      </c>
      <c r="H101" s="103" t="n">
        <v>0</v>
      </c>
    </row>
    <row r="102" customFormat="false" ht="12.8" hidden="false" customHeight="false" outlineLevel="0" collapsed="false">
      <c r="A102" s="103" t="s">
        <v>74</v>
      </c>
      <c r="B102" s="104"/>
      <c r="C102" s="104"/>
      <c r="D102" s="104"/>
      <c r="E102" s="104"/>
      <c r="F102" s="104"/>
      <c r="G102" s="104"/>
      <c r="H102" s="103" t="s">
        <v>75</v>
      </c>
    </row>
    <row r="103" customFormat="false" ht="49.25" hidden="false" customHeight="false" outlineLevel="0" collapsed="false">
      <c r="A103" s="104"/>
      <c r="B103" s="103" t="s">
        <v>179</v>
      </c>
      <c r="C103" s="112" t="n">
        <f aca="false">'Town Building Statistics'!D7*0.5</f>
        <v>29777.5</v>
      </c>
      <c r="D103" s="112" t="n">
        <v>0</v>
      </c>
      <c r="E103" s="112" t="n">
        <v>0</v>
      </c>
      <c r="F103" s="112" t="n">
        <v>0</v>
      </c>
      <c r="G103" s="112" t="n">
        <v>0</v>
      </c>
      <c r="H103" s="103" t="n">
        <v>25000</v>
      </c>
    </row>
    <row r="104" customFormat="false" ht="63.4" hidden="false" customHeight="true" outlineLevel="0" collapsed="false">
      <c r="A104" s="104"/>
      <c r="B104" s="103" t="s">
        <v>77</v>
      </c>
      <c r="C104" s="112" t="n">
        <f aca="false">D67</f>
        <v>541711.87356</v>
      </c>
      <c r="D104" s="112" t="n">
        <f aca="false">D72-D67</f>
        <v>7583966.22984</v>
      </c>
      <c r="E104" s="112" t="n">
        <v>0</v>
      </c>
      <c r="F104" s="112" t="n">
        <v>0</v>
      </c>
      <c r="G104" s="112" t="n">
        <v>0</v>
      </c>
      <c r="H104" s="103" t="n">
        <f aca="false">SUM(C104:G104)</f>
        <v>8125678.1034</v>
      </c>
    </row>
    <row r="105" customFormat="false" ht="63.4" hidden="false" customHeight="true" outlineLevel="0" collapsed="false">
      <c r="A105" s="104"/>
      <c r="B105" s="103" t="s">
        <v>78</v>
      </c>
      <c r="C105" s="185" t="n">
        <v>69476</v>
      </c>
      <c r="D105" s="112" t="n">
        <v>972662.48</v>
      </c>
      <c r="E105" s="112" t="n">
        <v>0</v>
      </c>
      <c r="F105" s="112" t="n">
        <v>0</v>
      </c>
      <c r="G105" s="112" t="n">
        <v>0</v>
      </c>
      <c r="H105" s="103" t="n">
        <f aca="false">SUM(C105:G105)</f>
        <v>1042138.48</v>
      </c>
    </row>
    <row r="106" customFormat="false" ht="47.75" hidden="false" customHeight="false" outlineLevel="0" collapsed="false">
      <c r="A106" s="104"/>
      <c r="B106" s="103" t="s">
        <v>79</v>
      </c>
      <c r="C106" s="101" t="n">
        <v>0</v>
      </c>
      <c r="D106" s="101" t="n">
        <v>52470</v>
      </c>
      <c r="E106" s="112" t="n">
        <v>0</v>
      </c>
      <c r="F106" s="112" t="n">
        <v>0</v>
      </c>
      <c r="G106" s="112" t="n">
        <v>0</v>
      </c>
      <c r="H106" s="103" t="n">
        <f aca="false">SUM(C106:G106)</f>
        <v>52470</v>
      </c>
      <c r="L106" s="101"/>
    </row>
    <row r="107" customFormat="false" ht="47.75" hidden="false" customHeight="false" outlineLevel="0" collapsed="false">
      <c r="A107" s="104"/>
      <c r="B107" s="103" t="s">
        <v>80</v>
      </c>
      <c r="C107" s="101" t="n">
        <f aca="false">'EV Chargers'!B31</f>
        <v>472971.36</v>
      </c>
      <c r="D107" s="112" t="n">
        <v>0</v>
      </c>
      <c r="E107" s="112" t="n">
        <v>0</v>
      </c>
      <c r="F107" s="112" t="n">
        <v>0</v>
      </c>
      <c r="G107" s="112" t="n">
        <v>0</v>
      </c>
      <c r="H107" s="103" t="n">
        <f aca="false">SUM(C107:G107)</f>
        <v>472971.36</v>
      </c>
      <c r="L107" s="101"/>
    </row>
    <row r="108" customFormat="false" ht="47.75" hidden="false" customHeight="false" outlineLevel="0" collapsed="false">
      <c r="A108" s="104"/>
      <c r="B108" s="103" t="s">
        <v>81</v>
      </c>
      <c r="C108" s="185" t="n">
        <f aca="false">'Cost Efficency'!E18</f>
        <v>142978.723404255</v>
      </c>
      <c r="D108" s="112" t="n">
        <f aca="false">'Cost Efficency'!E5+'Cost Efficency'!E11</f>
        <v>185287.686158287</v>
      </c>
      <c r="E108" s="112" t="n">
        <v>0</v>
      </c>
      <c r="F108" s="112" t="n">
        <v>0</v>
      </c>
      <c r="G108" s="112" t="n">
        <v>0</v>
      </c>
      <c r="H108" s="103" t="n">
        <f aca="false">SUM(C108:G108)</f>
        <v>328266.409562543</v>
      </c>
      <c r="L108" s="101"/>
    </row>
    <row r="109" customFormat="false" ht="47.75" hidden="false" customHeight="false" outlineLevel="0" collapsed="false">
      <c r="A109" s="104"/>
      <c r="B109" s="103" t="s">
        <v>82</v>
      </c>
      <c r="C109" s="104" t="n">
        <v>0</v>
      </c>
      <c r="D109" s="103" t="n">
        <f aca="false">'Cost Efficency'!E22-(C108+D108)</f>
        <v>358286.890871654</v>
      </c>
      <c r="E109" s="103" t="n">
        <f aca="false">SUM(E98:E101)</f>
        <v>0</v>
      </c>
      <c r="F109" s="103" t="n">
        <f aca="false">SUM(F98:F101)</f>
        <v>0</v>
      </c>
      <c r="G109" s="103" t="n">
        <f aca="false">SUM(G98:G101)</f>
        <v>0</v>
      </c>
      <c r="H109" s="103" t="n">
        <f aca="false">SUM(C109:G109)</f>
        <v>358286.890871654</v>
      </c>
      <c r="L109" s="101"/>
    </row>
    <row r="110" customFormat="false" ht="47.75" hidden="false" customHeight="false" outlineLevel="0" collapsed="false">
      <c r="A110" s="104"/>
      <c r="B110" s="103" t="s">
        <v>551</v>
      </c>
      <c r="C110" s="104" t="n">
        <v>100000</v>
      </c>
      <c r="D110" s="104" t="n">
        <v>100000</v>
      </c>
      <c r="E110" s="104" t="n">
        <v>100000</v>
      </c>
      <c r="F110" s="104" t="n">
        <v>100000</v>
      </c>
      <c r="G110" s="104" t="n">
        <v>100000</v>
      </c>
      <c r="H110" s="103" t="n">
        <f aca="false">SUM(C110:G110)</f>
        <v>500000</v>
      </c>
      <c r="L110" s="101"/>
    </row>
    <row r="111" customFormat="false" ht="47.75" hidden="false" customHeight="false" outlineLevel="0" collapsed="false">
      <c r="A111" s="104"/>
      <c r="B111" s="186" t="s">
        <v>83</v>
      </c>
      <c r="C111" s="104" t="n">
        <v>200000</v>
      </c>
      <c r="D111" s="103" t="n">
        <v>0</v>
      </c>
      <c r="E111" s="103" t="n">
        <v>0</v>
      </c>
      <c r="F111" s="103" t="n">
        <v>0</v>
      </c>
      <c r="G111" s="103" t="n">
        <v>0</v>
      </c>
      <c r="H111" s="103" t="n">
        <f aca="false">SUM(C111:G111)</f>
        <v>200000</v>
      </c>
      <c r="L111" s="101"/>
    </row>
    <row r="112" customFormat="false" ht="36.55" hidden="false" customHeight="false" outlineLevel="0" collapsed="false">
      <c r="A112" s="104"/>
      <c r="B112" s="186" t="s">
        <v>84</v>
      </c>
      <c r="C112" s="104"/>
      <c r="D112" s="103" t="n">
        <f aca="false">'Cost Efficency'!G26</f>
        <v>1115949.71519138</v>
      </c>
      <c r="E112" s="103" t="n">
        <v>0</v>
      </c>
      <c r="F112" s="103" t="n">
        <v>0</v>
      </c>
      <c r="G112" s="103" t="n">
        <v>0</v>
      </c>
      <c r="H112" s="103" t="n">
        <f aca="false">SUM(C112:G112)</f>
        <v>1115949.71519138</v>
      </c>
      <c r="L112" s="101"/>
    </row>
    <row r="113" customFormat="false" ht="36.55" hidden="false" customHeight="false" outlineLevel="0" collapsed="false">
      <c r="A113" s="104"/>
      <c r="B113" s="186" t="s">
        <v>85</v>
      </c>
      <c r="C113" s="104" t="n">
        <f aca="false">'Cost Efficency'!G25</f>
        <v>400408.007680046</v>
      </c>
      <c r="D113" s="103"/>
      <c r="E113" s="103"/>
      <c r="F113" s="103"/>
      <c r="G113" s="103"/>
      <c r="H113" s="103"/>
      <c r="L113" s="101"/>
    </row>
    <row r="114" customFormat="false" ht="25.35" hidden="false" customHeight="false" outlineLevel="0" collapsed="false">
      <c r="A114" s="104"/>
      <c r="B114" s="103" t="s">
        <v>86</v>
      </c>
      <c r="C114" s="103" t="n">
        <f aca="false">SUM(C103:C112)</f>
        <v>1556915.45696426</v>
      </c>
      <c r="D114" s="103" t="n">
        <f aca="false">SUM(D103:D112)</f>
        <v>10368623.0020613</v>
      </c>
      <c r="E114" s="103" t="n">
        <f aca="false">SUM(E103:E112)</f>
        <v>100000</v>
      </c>
      <c r="F114" s="103" t="n">
        <f aca="false">SUM(F103:F112)</f>
        <v>100000</v>
      </c>
      <c r="G114" s="103" t="n">
        <f aca="false">SUM(G103:G112)</f>
        <v>100000</v>
      </c>
      <c r="H114" s="103" t="n">
        <f aca="false">SUM(H103:H112)</f>
        <v>12220760.9590256</v>
      </c>
    </row>
    <row r="115" customFormat="false" ht="14.65" hidden="false" customHeight="false" outlineLevel="0" collapsed="false">
      <c r="A115" s="103" t="s">
        <v>87</v>
      </c>
      <c r="B115" s="104"/>
      <c r="C115" s="104"/>
      <c r="D115" s="104"/>
      <c r="E115" s="104"/>
      <c r="F115" s="104"/>
      <c r="G115" s="104"/>
      <c r="H115" s="103"/>
      <c r="L115" s="101"/>
    </row>
    <row r="116" customFormat="false" ht="47.75" hidden="false" customHeight="false" outlineLevel="0" collapsed="false">
      <c r="A116" s="104"/>
      <c r="B116" s="103" t="s">
        <v>88</v>
      </c>
      <c r="C116" s="103" t="n">
        <f aca="false">(B16-B15)*8</f>
        <v>46208</v>
      </c>
      <c r="D116" s="103" t="n">
        <f aca="false">(C16-C15)*8</f>
        <v>14072</v>
      </c>
      <c r="E116" s="103" t="n">
        <f aca="false">(D16-D15)*8</f>
        <v>13888</v>
      </c>
      <c r="F116" s="103" t="n">
        <f aca="false">(E16-E15)*8</f>
        <v>18024</v>
      </c>
      <c r="G116" s="103" t="n">
        <f aca="false">(F16-F15)*8</f>
        <v>28816</v>
      </c>
      <c r="H116" s="103" t="n">
        <f aca="false">(G16-G15)*8</f>
        <v>121008</v>
      </c>
      <c r="L116" s="101"/>
    </row>
    <row r="117" customFormat="false" ht="47.75" hidden="false" customHeight="false" outlineLevel="0" collapsed="false">
      <c r="A117" s="103"/>
      <c r="B117" s="103" t="s">
        <v>89</v>
      </c>
      <c r="C117" s="103" t="n">
        <f aca="false">(B24-B23)*2</f>
        <v>16390</v>
      </c>
      <c r="D117" s="103" t="n">
        <f aca="false">(C24-C23)*2</f>
        <v>3424</v>
      </c>
      <c r="E117" s="103" t="n">
        <f aca="false">(D24-D23)*2</f>
        <v>3146</v>
      </c>
      <c r="F117" s="103" t="n">
        <f aca="false">(E24-E23)*2</f>
        <v>7064</v>
      </c>
      <c r="G117" s="103" t="n">
        <f aca="false">(F24-F23)*2</f>
        <v>7486</v>
      </c>
      <c r="H117" s="103" t="n">
        <f aca="false">(G24-G23)*2</f>
        <v>37510</v>
      </c>
      <c r="I117" s="58" t="n">
        <f aca="false">H111+H110+H103</f>
        <v>725000</v>
      </c>
    </row>
    <row r="118" customFormat="false" ht="14.65" hidden="false" customHeight="false" outlineLevel="0" collapsed="false">
      <c r="A118" s="103"/>
      <c r="B118" s="187"/>
      <c r="C118" s="106"/>
      <c r="D118" s="106"/>
      <c r="E118" s="106"/>
      <c r="F118" s="106"/>
      <c r="G118" s="106"/>
      <c r="H118" s="106"/>
      <c r="I118" s="58" t="n">
        <v>1276300</v>
      </c>
    </row>
    <row r="119" customFormat="false" ht="12.8" hidden="false" customHeight="true" outlineLevel="0" collapsed="false">
      <c r="A119" s="103" t="s">
        <v>180</v>
      </c>
      <c r="B119" s="103"/>
      <c r="C119" s="103"/>
      <c r="D119" s="103"/>
      <c r="E119" s="103"/>
      <c r="F119" s="103"/>
      <c r="G119" s="103"/>
      <c r="H119" s="103"/>
    </row>
    <row r="120" customFormat="false" ht="23.85" hidden="false" customHeight="false" outlineLevel="0" collapsed="false">
      <c r="A120" s="103" t="s">
        <v>55</v>
      </c>
      <c r="B120" s="103" t="s">
        <v>56</v>
      </c>
      <c r="C120" s="103" t="s">
        <v>57</v>
      </c>
      <c r="D120" s="103" t="s">
        <v>58</v>
      </c>
      <c r="E120" s="103" t="s">
        <v>59</v>
      </c>
      <c r="F120" s="103" t="s">
        <v>60</v>
      </c>
      <c r="G120" s="103" t="s">
        <v>61</v>
      </c>
      <c r="H120" s="103" t="s">
        <v>62</v>
      </c>
    </row>
    <row r="121" customFormat="false" ht="58.95" hidden="false" customHeight="false" outlineLevel="0" collapsed="false">
      <c r="A121" s="104"/>
      <c r="B121" s="103" t="s">
        <v>90</v>
      </c>
      <c r="C121" s="104" t="n">
        <v>245747</v>
      </c>
      <c r="D121" s="103" t="n">
        <v>0</v>
      </c>
      <c r="E121" s="103" t="n">
        <v>0</v>
      </c>
      <c r="F121" s="103" t="n">
        <v>0</v>
      </c>
      <c r="G121" s="103" t="n">
        <v>0</v>
      </c>
      <c r="H121" s="103" t="n">
        <f aca="false">SUM(C121:G121)</f>
        <v>245747</v>
      </c>
      <c r="I121" s="58" t="n">
        <f aca="false">(((H118+H117+H116+H114+H101+H94+H127)-(H104+H105))*0.05)</f>
        <v>177691.418781279</v>
      </c>
    </row>
    <row r="122" customFormat="false" ht="14.65" hidden="false" customHeight="false" outlineLevel="0" collapsed="false">
      <c r="A122" s="104"/>
      <c r="B122" s="103" t="s">
        <v>91</v>
      </c>
      <c r="C122" s="104" t="n">
        <f aca="false">(C117+C116+C114+C101+C94+C89+C87+C85)*(D143)</f>
        <v>49448.2854305873</v>
      </c>
      <c r="D122" s="104" t="n">
        <f aca="false">(D117+D116+D114+D101+D94+D89+D87+D85)*(D144+D143)</f>
        <v>494625.832091755</v>
      </c>
      <c r="E122" s="104" t="n">
        <f aca="false">(E117+E116+E114+E101+E94+E89+E87+E85)*(D144+D143+D145)</f>
        <v>11112.4811322</v>
      </c>
      <c r="F122" s="104" t="n">
        <f aca="false">(F117+F116+F114+F101+F94+F89+F87+F85)*(D143+D144+D145+D146)</f>
        <v>15360.39490944</v>
      </c>
      <c r="G122" s="104" t="n">
        <f aca="false">(G117+G116+G114+G101+G94+G89+G87+G85)*(D143+D144+D145+D146+D147)</f>
        <v>20275.59789136</v>
      </c>
      <c r="H122" s="103" t="n">
        <f aca="false">SUM(C122:G122)</f>
        <v>590822.591455342</v>
      </c>
      <c r="I122" s="58"/>
    </row>
    <row r="123" customFormat="false" ht="14.65" hidden="false" customHeight="false" outlineLevel="0" collapsed="false">
      <c r="A123" s="104"/>
      <c r="B123" s="103"/>
      <c r="C123" s="104"/>
      <c r="D123" s="104"/>
      <c r="E123" s="104"/>
      <c r="F123" s="104"/>
      <c r="G123" s="104"/>
      <c r="H123" s="103"/>
      <c r="I123" s="58"/>
    </row>
    <row r="124" customFormat="false" ht="14.65" hidden="false" customHeight="false" outlineLevel="0" collapsed="false">
      <c r="A124" s="104"/>
      <c r="B124" s="103" t="s">
        <v>92</v>
      </c>
      <c r="C124" s="103" t="n">
        <f aca="false">SUM(C116:C118)</f>
        <v>62598</v>
      </c>
      <c r="D124" s="103" t="n">
        <f aca="false">SUM(D116:D118)</f>
        <v>17496</v>
      </c>
      <c r="E124" s="103" t="n">
        <f aca="false">SUM(E116:E118)</f>
        <v>17034</v>
      </c>
      <c r="F124" s="103" t="n">
        <f aca="false">SUM(F116:F118)</f>
        <v>25088</v>
      </c>
      <c r="G124" s="103" t="n">
        <f aca="false">SUM(G116:G118)</f>
        <v>36302</v>
      </c>
      <c r="H124" s="103" t="n">
        <f aca="false">SUM(H116:H118)+H121+H122</f>
        <v>995087.591455342</v>
      </c>
    </row>
    <row r="125" customFormat="false" ht="23.85" hidden="false" customHeight="false" outlineLevel="0" collapsed="false">
      <c r="A125" s="103" t="s">
        <v>93</v>
      </c>
      <c r="B125" s="104"/>
      <c r="C125" s="104"/>
      <c r="D125" s="104"/>
      <c r="E125" s="104"/>
      <c r="F125" s="104"/>
      <c r="G125" s="104"/>
      <c r="H125" s="104"/>
    </row>
    <row r="126" customFormat="false" ht="35.05" hidden="false" customHeight="false" outlineLevel="0" collapsed="false">
      <c r="A126" s="104"/>
      <c r="B126" s="103"/>
      <c r="C126" s="103"/>
      <c r="D126" s="103"/>
      <c r="E126" s="103"/>
      <c r="F126" s="103"/>
      <c r="G126" s="103"/>
      <c r="H126" s="103"/>
    </row>
    <row r="127" customFormat="false" ht="12.8" hidden="false" customHeight="false" outlineLevel="0" collapsed="false">
      <c r="A127" s="104"/>
      <c r="B127" s="103" t="s">
        <v>95</v>
      </c>
      <c r="C127" s="103" t="n">
        <v>0</v>
      </c>
      <c r="D127" s="103" t="n">
        <v>0</v>
      </c>
      <c r="E127" s="103" t="n">
        <v>0</v>
      </c>
      <c r="F127" s="103" t="n">
        <v>0</v>
      </c>
      <c r="G127" s="103" t="n">
        <v>0</v>
      </c>
      <c r="H127" s="103" t="n">
        <v>0</v>
      </c>
    </row>
    <row r="128" customFormat="false" ht="35.05" hidden="false" customHeight="false" outlineLevel="0" collapsed="false">
      <c r="A128" s="104"/>
      <c r="B128" s="103" t="s">
        <v>96</v>
      </c>
      <c r="C128" s="103" t="n">
        <f aca="false">C124+C114+C101+C94+C127</f>
        <v>2002687.78917103</v>
      </c>
      <c r="D128" s="103" t="n">
        <f aca="false">D124+D114+D101+D94+D127</f>
        <v>10386119.0020613</v>
      </c>
      <c r="E128" s="103" t="n">
        <f aca="false">E124+E114+E101+E94+E127</f>
        <v>117034</v>
      </c>
      <c r="F128" s="103" t="n">
        <f aca="false">F124+F114+F101+F94+F127</f>
        <v>125088</v>
      </c>
      <c r="G128" s="103" t="n">
        <f aca="false">G124+G114+G101+G94+G127</f>
        <v>136302</v>
      </c>
      <c r="H128" s="103" t="n">
        <f aca="false">H124+H114+H101+H94+H127+H89+H87+H85</f>
        <v>13767150.5504809</v>
      </c>
    </row>
    <row r="129" customFormat="false" ht="12.8" hidden="false" customHeight="false" outlineLevel="0" collapsed="false">
      <c r="H129" s="101" t="n">
        <f aca="false">C9-H128</f>
        <v>272149.449519079</v>
      </c>
    </row>
    <row r="139" customFormat="false" ht="12.8" hidden="false" customHeight="false" outlineLevel="0" collapsed="false">
      <c r="A139" s="1" t="s">
        <v>183</v>
      </c>
      <c r="B139" s="2"/>
      <c r="C139" s="10" t="s">
        <v>184</v>
      </c>
      <c r="D139" s="10" t="s">
        <v>185</v>
      </c>
    </row>
    <row r="140" customFormat="false" ht="12.8" hidden="false" customHeight="false" outlineLevel="0" collapsed="false">
      <c r="A140" s="0" t="n">
        <v>2022</v>
      </c>
      <c r="B140" s="2" t="n">
        <v>1000</v>
      </c>
      <c r="C140" s="10" t="s">
        <v>186</v>
      </c>
      <c r="D140" s="0"/>
    </row>
    <row r="141" customFormat="false" ht="12.8" hidden="false" customHeight="false" outlineLevel="0" collapsed="false">
      <c r="A141" s="1" t="n">
        <v>2023</v>
      </c>
      <c r="B141" s="112" t="n">
        <v>1064.1</v>
      </c>
      <c r="C141" s="10" t="s">
        <v>187</v>
      </c>
      <c r="D141" s="10" t="n">
        <f aca="false">(B141-B140)/B140</f>
        <v>0.0640999999999999</v>
      </c>
    </row>
    <row r="142" customFormat="false" ht="12.8" hidden="false" customHeight="false" outlineLevel="0" collapsed="false">
      <c r="A142" s="1" t="n">
        <v>2024</v>
      </c>
      <c r="B142" s="112" t="n">
        <v>1096.99</v>
      </c>
      <c r="C142" s="10" t="s">
        <v>187</v>
      </c>
      <c r="D142" s="10" t="n">
        <f aca="false">(1096.99-1064.1)/1064.1</f>
        <v>0.030908749177709</v>
      </c>
    </row>
    <row r="143" customFormat="false" ht="12.8" hidden="false" customHeight="false" outlineLevel="0" collapsed="false">
      <c r="A143" s="1" t="n">
        <v>2025</v>
      </c>
      <c r="B143" s="2" t="n">
        <f aca="false">B142*(D143+1)</f>
        <v>1123.522129237</v>
      </c>
      <c r="C143" s="10" t="s">
        <v>188</v>
      </c>
      <c r="D143" s="10" t="n">
        <v>0.0241863</v>
      </c>
    </row>
    <row r="144" customFormat="false" ht="12.8" hidden="false" customHeight="false" outlineLevel="0" collapsed="false">
      <c r="A144" s="1" t="n">
        <v>2026</v>
      </c>
      <c r="B144" s="2" t="n">
        <f aca="false">B143*(D144+1)</f>
        <v>1149.64019876652</v>
      </c>
      <c r="C144" s="10" t="s">
        <v>189</v>
      </c>
      <c r="D144" s="10" t="n">
        <v>0.0232466</v>
      </c>
    </row>
    <row r="145" customFormat="false" ht="14.65" hidden="false" customHeight="false" outlineLevel="0" collapsed="false">
      <c r="A145" s="1" t="n">
        <v>2027</v>
      </c>
      <c r="B145" s="2" t="n">
        <f aca="false">B144*(D145+1)</f>
        <v>1175.54803042984</v>
      </c>
      <c r="C145" s="10" t="s">
        <v>190</v>
      </c>
      <c r="D145" s="10" t="n">
        <v>0.0225356</v>
      </c>
    </row>
    <row r="146" customFormat="false" ht="14.65" hidden="false" customHeight="false" outlineLevel="0" collapsed="false">
      <c r="A146" s="1" t="n">
        <v>2028</v>
      </c>
      <c r="B146" s="2" t="n">
        <f aca="false">B145*(D146+1)</f>
        <v>1201.5026027293</v>
      </c>
      <c r="C146" s="10" t="s">
        <v>191</v>
      </c>
      <c r="D146" s="10" t="n">
        <v>0.0220787</v>
      </c>
    </row>
    <row r="147" customFormat="false" ht="14.65" hidden="false" customHeight="false" outlineLevel="0" collapsed="false">
      <c r="A147" s="1" t="n">
        <v>2029</v>
      </c>
      <c r="B147" s="2" t="n">
        <f aca="false">B146*(D147+1)</f>
        <v>1227.69968487816</v>
      </c>
      <c r="C147" s="10" t="s">
        <v>192</v>
      </c>
      <c r="D147" s="10" t="n">
        <v>0.0218036</v>
      </c>
    </row>
    <row r="148" customFormat="false" ht="14.65" hidden="false" customHeight="false" outlineLevel="0" collapsed="false"/>
  </sheetData>
  <mergeCells count="4">
    <mergeCell ref="A36:E36"/>
    <mergeCell ref="A80:H80"/>
    <mergeCell ref="A97:H97"/>
    <mergeCell ref="A119:H119"/>
  </mergeCells>
  <hyperlinks>
    <hyperlink ref="I10" r:id="rId1" display="Item (Source)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8" activeCellId="1" sqref="B3:D14 B18"/>
    </sheetView>
  </sheetViews>
  <sheetFormatPr defaultColWidth="12.8046875" defaultRowHeight="12.8" zeroHeight="false" outlineLevelRow="0" outlineLevelCol="0"/>
  <sheetData>
    <row r="1" customFormat="false" ht="28.35" hidden="false" customHeight="false" outlineLevel="0" collapsed="false">
      <c r="A1" s="188" t="s">
        <v>552</v>
      </c>
      <c r="B1" s="8" t="s">
        <v>553</v>
      </c>
      <c r="C1" s="8" t="s">
        <v>554</v>
      </c>
      <c r="D1" s="8" t="s">
        <v>555</v>
      </c>
    </row>
    <row r="2" customFormat="false" ht="28.35" hidden="false" customHeight="false" outlineLevel="0" collapsed="false">
      <c r="A2" s="8" t="s">
        <v>556</v>
      </c>
      <c r="B2" s="8" t="s">
        <v>557</v>
      </c>
      <c r="C2" s="8" t="n">
        <v>31</v>
      </c>
      <c r="D2" s="8" t="n">
        <v>39465</v>
      </c>
    </row>
    <row r="3" customFormat="false" ht="15.8" hidden="false" customHeight="false" outlineLevel="0" collapsed="false">
      <c r="A3" s="8" t="s">
        <v>558</v>
      </c>
      <c r="B3" s="8" t="s">
        <v>559</v>
      </c>
      <c r="C3" s="8" t="n">
        <v>31</v>
      </c>
      <c r="D3" s="8" t="n">
        <v>2000</v>
      </c>
    </row>
    <row r="4" customFormat="false" ht="28.35" hidden="false" customHeight="false" outlineLevel="0" collapsed="false">
      <c r="A4" s="8" t="s">
        <v>235</v>
      </c>
      <c r="B4" s="8" t="s">
        <v>560</v>
      </c>
      <c r="C4" s="8" t="n">
        <v>31</v>
      </c>
      <c r="D4" s="8" t="n">
        <v>7070</v>
      </c>
    </row>
    <row r="5" customFormat="false" ht="15.8" hidden="false" customHeight="false" outlineLevel="0" collapsed="false">
      <c r="A5" s="8" t="s">
        <v>561</v>
      </c>
      <c r="B5" s="8" t="s">
        <v>562</v>
      </c>
      <c r="C5" s="8" t="n">
        <v>31</v>
      </c>
      <c r="D5" s="8" t="n">
        <v>5270</v>
      </c>
    </row>
    <row r="6" customFormat="false" ht="28.35" hidden="false" customHeight="false" outlineLevel="0" collapsed="false">
      <c r="A6" s="8" t="s">
        <v>563</v>
      </c>
      <c r="B6" s="8" t="s">
        <v>564</v>
      </c>
      <c r="C6" s="8" t="n">
        <v>31</v>
      </c>
      <c r="D6" s="8" t="n">
        <v>5750</v>
      </c>
    </row>
    <row r="7" customFormat="false" ht="15.8" hidden="false" customHeight="false" outlineLevel="0" collapsed="false">
      <c r="D7" s="0" t="n">
        <f aca="false">SUM(D2:D6)</f>
        <v>59555</v>
      </c>
    </row>
    <row r="13" customFormat="false" ht="12.8" hidden="false" customHeight="false" outlineLevel="0" collapsed="false">
      <c r="A13" s="0" t="s">
        <v>565</v>
      </c>
      <c r="B13" s="0" t="n">
        <v>20.09</v>
      </c>
    </row>
    <row r="14" customFormat="false" ht="12.8" hidden="false" customHeight="false" outlineLevel="0" collapsed="false">
      <c r="A14" s="0" t="s">
        <v>566</v>
      </c>
      <c r="B14" s="0" t="n">
        <v>12.5</v>
      </c>
    </row>
    <row r="15" customFormat="false" ht="15.8" hidden="false" customHeight="false" outlineLevel="0" collapsed="false"/>
    <row r="16" customFormat="false" ht="15.8" hidden="false" customHeight="false" outlineLevel="0" collapsed="false">
      <c r="A16" s="0" t="s">
        <v>567</v>
      </c>
      <c r="B16" s="0" t="n">
        <f aca="false">2080*$B13</f>
        <v>41787.2</v>
      </c>
      <c r="C16" s="0" t="n">
        <f aca="false">2080*$B13</f>
        <v>41787.2</v>
      </c>
      <c r="D16" s="0" t="n">
        <f aca="false">2080*$B13</f>
        <v>41787.2</v>
      </c>
      <c r="E16" s="0" t="n">
        <f aca="false">2080*$B13</f>
        <v>41787.2</v>
      </c>
      <c r="F16" s="0" t="n">
        <f aca="false">2080*$B13</f>
        <v>41787.2</v>
      </c>
    </row>
    <row r="17" customFormat="false" ht="15.8" hidden="false" customHeight="false" outlineLevel="0" collapsed="false">
      <c r="A17" s="0" t="s">
        <v>568</v>
      </c>
      <c r="B17" s="0" t="n">
        <f aca="false">B16-($B14*2080)</f>
        <v>15787.2</v>
      </c>
      <c r="C17" s="0" t="n">
        <f aca="false">C16-($B14*2080)</f>
        <v>15787.2</v>
      </c>
      <c r="D17" s="0" t="n">
        <f aca="false">D16-($B14*2080)</f>
        <v>15787.2</v>
      </c>
      <c r="E17" s="0" t="n">
        <f aca="false">E16-($B14*2080)</f>
        <v>15787.2</v>
      </c>
      <c r="F17" s="0" t="n">
        <f aca="false">F16-($B14*2080)</f>
        <v>15787.2</v>
      </c>
    </row>
    <row r="18" customFormat="false" ht="15.8" hidden="false" customHeight="false" outlineLevel="0" collapsed="false">
      <c r="A18" s="0" t="s">
        <v>569</v>
      </c>
      <c r="B18" s="0" t="n">
        <f aca="false">863.2*12</f>
        <v>10358.4</v>
      </c>
      <c r="C18" s="0" t="n">
        <f aca="false">863.2*12</f>
        <v>10358.4</v>
      </c>
      <c r="D18" s="0" t="n">
        <f aca="false">863.2*12</f>
        <v>10358.4</v>
      </c>
      <c r="E18" s="0" t="n">
        <f aca="false">863.2*12</f>
        <v>10358.4</v>
      </c>
      <c r="F18" s="0" t="n">
        <f aca="false">863.2*12</f>
        <v>10358.4</v>
      </c>
    </row>
    <row r="19" customFormat="false" ht="12.8" hidden="false" customHeight="false" outlineLevel="0" collapsed="false">
      <c r="A19" s="0" t="s">
        <v>570</v>
      </c>
    </row>
    <row r="20" customFormat="false" ht="12.8" hidden="false" customHeight="false" outlineLevel="0" collapsed="false">
      <c r="A20" s="0" t="s">
        <v>571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D3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83" activeCellId="1" sqref="B3:D14 D83"/>
    </sheetView>
  </sheetViews>
  <sheetFormatPr defaultColWidth="12.8046875" defaultRowHeight="12.8" zeroHeight="false" outlineLevelRow="0" outlineLevelCol="0"/>
  <cols>
    <col collapsed="false" customWidth="true" hidden="false" outlineLevel="0" max="1" min="1" style="1" width="54.96"/>
    <col collapsed="false" customWidth="true" hidden="false" outlineLevel="0" max="2" min="2" style="1" width="23.93"/>
    <col collapsed="false" customWidth="true" hidden="false" outlineLevel="0" max="4" min="4" style="1" width="35.04"/>
    <col collapsed="false" customWidth="true" hidden="false" outlineLevel="0" max="7" min="7" style="10" width="13.89"/>
  </cols>
  <sheetData>
    <row r="1" customFormat="false" ht="22.35" hidden="false" customHeight="true" outlineLevel="0" collapsed="false">
      <c r="A1" s="1" t="s">
        <v>223</v>
      </c>
      <c r="B1" s="1" t="s">
        <v>27</v>
      </c>
      <c r="C1" s="1" t="s">
        <v>224</v>
      </c>
      <c r="D1" s="1" t="s">
        <v>225</v>
      </c>
      <c r="F1" s="114" t="s">
        <v>226</v>
      </c>
      <c r="G1" s="115" t="s">
        <v>227</v>
      </c>
      <c r="H1" s="116" t="s">
        <v>228</v>
      </c>
    </row>
    <row r="2" customFormat="false" ht="12.8" hidden="false" customHeight="false" outlineLevel="0" collapsed="false">
      <c r="A2" s="1" t="s">
        <v>229</v>
      </c>
      <c r="B2" s="2" t="n">
        <v>1189.49</v>
      </c>
      <c r="C2" s="117" t="n">
        <v>6880</v>
      </c>
      <c r="D2" s="1" t="n">
        <f aca="false">C2*12</f>
        <v>82560</v>
      </c>
      <c r="F2" s="118" t="s">
        <v>230</v>
      </c>
      <c r="G2" s="119" t="n">
        <v>0.406631839034269</v>
      </c>
      <c r="H2" s="120" t="n">
        <f aca="false">$G2*$B$16</f>
        <v>53.0678947850063</v>
      </c>
    </row>
    <row r="3" customFormat="false" ht="23.85" hidden="false" customHeight="false" outlineLevel="0" collapsed="false">
      <c r="A3" s="1" t="s">
        <v>231</v>
      </c>
      <c r="B3" s="2" t="n">
        <v>1292.01</v>
      </c>
      <c r="C3" s="121" t="n">
        <v>2250</v>
      </c>
      <c r="D3" s="1" t="n">
        <f aca="false">C3*12</f>
        <v>27000</v>
      </c>
      <c r="F3" s="118" t="s">
        <v>232</v>
      </c>
      <c r="G3" s="119" t="n">
        <v>0.0410004218452327</v>
      </c>
      <c r="H3" s="120" t="n">
        <f aca="false">$G3*$B$16</f>
        <v>5.35080105333394</v>
      </c>
    </row>
    <row r="4" customFormat="false" ht="12.8" hidden="false" customHeight="false" outlineLevel="0" collapsed="false">
      <c r="A4" s="1" t="s">
        <v>233</v>
      </c>
      <c r="B4" s="2" t="n">
        <f aca="false">525.58*2</f>
        <v>1051.16</v>
      </c>
      <c r="C4" s="121" t="n">
        <v>2720</v>
      </c>
      <c r="D4" s="1" t="n">
        <f aca="false">C4*12</f>
        <v>32640</v>
      </c>
      <c r="F4" s="122" t="s">
        <v>234</v>
      </c>
      <c r="G4" s="123" t="n">
        <v>0</v>
      </c>
      <c r="H4" s="120" t="n">
        <f aca="false">$G4*$B$16</f>
        <v>0</v>
      </c>
    </row>
    <row r="5" customFormat="false" ht="12.8" hidden="false" customHeight="false" outlineLevel="0" collapsed="false">
      <c r="A5" s="1" t="s">
        <v>235</v>
      </c>
      <c r="B5" s="2" t="n">
        <v>351.07</v>
      </c>
      <c r="C5" s="121" t="n">
        <v>5367</v>
      </c>
      <c r="D5" s="1" t="n">
        <f aca="false">C5*12</f>
        <v>64404</v>
      </c>
    </row>
    <row r="6" customFormat="false" ht="12.8" hidden="false" customHeight="false" outlineLevel="0" collapsed="false">
      <c r="A6" s="1" t="s">
        <v>236</v>
      </c>
      <c r="B6" s="2" t="n">
        <v>602.56</v>
      </c>
      <c r="C6" s="121" t="n">
        <v>6240</v>
      </c>
      <c r="D6" s="1" t="n">
        <f aca="false">C6*12</f>
        <v>74880</v>
      </c>
    </row>
    <row r="7" customFormat="false" ht="12.8" hidden="false" customHeight="false" outlineLevel="0" collapsed="false">
      <c r="A7" s="1" t="s">
        <v>20</v>
      </c>
      <c r="B7" s="2" t="n">
        <f aca="false">SUM(B2:B6)</f>
        <v>4486.29</v>
      </c>
      <c r="C7" s="1" t="n">
        <f aca="false">SUM(C2:C6)</f>
        <v>23457</v>
      </c>
      <c r="D7" s="1" t="n">
        <f aca="false">C7*12</f>
        <v>281484</v>
      </c>
    </row>
    <row r="8" customFormat="false" ht="12.8" hidden="false" customHeight="false" outlineLevel="0" collapsed="false">
      <c r="A8" s="1" t="s">
        <v>237</v>
      </c>
      <c r="B8" s="1" t="n">
        <f aca="false">(D7/1000)</f>
        <v>281.484</v>
      </c>
    </row>
    <row r="9" customFormat="false" ht="12.8" hidden="false" customHeight="false" outlineLevel="0" collapsed="false">
      <c r="A9" s="1" t="s">
        <v>238</v>
      </c>
      <c r="B9" s="1" t="n">
        <f aca="false">C10</f>
        <v>0.406631839034269</v>
      </c>
      <c r="C9" s="2"/>
    </row>
    <row r="10" customFormat="false" ht="17.15" hidden="false" customHeight="true" outlineLevel="0" collapsed="false">
      <c r="A10" s="1" t="s">
        <v>239</v>
      </c>
      <c r="B10" s="1" t="n">
        <f aca="false">B9*B8</f>
        <v>114.460356578722</v>
      </c>
      <c r="C10" s="1" t="n">
        <f aca="false">204.4/502.666</f>
        <v>0.406631839034269</v>
      </c>
    </row>
    <row r="12" customFormat="false" ht="12.8" hidden="false" customHeight="false" outlineLevel="0" collapsed="false">
      <c r="A12" s="1" t="s">
        <v>240</v>
      </c>
      <c r="D12" s="10"/>
      <c r="F12" s="1"/>
    </row>
    <row r="13" customFormat="false" ht="12.8" hidden="false" customHeight="false" outlineLevel="0" collapsed="false">
      <c r="A13" s="1" t="s">
        <v>229</v>
      </c>
      <c r="B13" s="2" t="n">
        <f aca="false">1189.49*0.3</f>
        <v>356.847</v>
      </c>
      <c r="C13" s="4" t="n">
        <f aca="false">(C2+C6+C4)*0.3</f>
        <v>4752</v>
      </c>
      <c r="D13" s="5" t="n">
        <f aca="false">C13*12</f>
        <v>57024</v>
      </c>
      <c r="E13" s="2" t="n">
        <f aca="false">F13*19.3</f>
        <v>125.549075975359</v>
      </c>
      <c r="F13" s="2" t="n">
        <f aca="false">C13/730.5</f>
        <v>6.50513347022587</v>
      </c>
    </row>
    <row r="14" customFormat="false" ht="12.8" hidden="false" customHeight="false" outlineLevel="0" collapsed="false">
      <c r="A14" s="1" t="s">
        <v>231</v>
      </c>
      <c r="B14" s="2" t="n">
        <f aca="false">1292.01*0.5</f>
        <v>646.005</v>
      </c>
      <c r="C14" s="4" t="n">
        <f aca="false">(C5+C2)*0.5</f>
        <v>6123.5</v>
      </c>
      <c r="D14" s="5" t="n">
        <f aca="false">C14*12</f>
        <v>73482</v>
      </c>
      <c r="F14" s="2" t="n">
        <f aca="false">(F13*4.7)*1000</f>
        <v>30574.1273100616</v>
      </c>
    </row>
    <row r="15" customFormat="false" ht="12.8" hidden="false" customHeight="false" outlineLevel="0" collapsed="false">
      <c r="A15" s="1" t="s">
        <v>20</v>
      </c>
      <c r="B15" s="2" t="n">
        <f aca="false">SUM(B13:B14)</f>
        <v>1002.852</v>
      </c>
      <c r="C15" s="4" t="n">
        <f aca="false">C13+C14</f>
        <v>10875.5</v>
      </c>
      <c r="D15" s="5" t="n">
        <f aca="false">C15*12</f>
        <v>130506</v>
      </c>
      <c r="F15" s="2" t="n">
        <f aca="false">F14*(4/3)</f>
        <v>40765.5030800821</v>
      </c>
    </row>
    <row r="16" customFormat="false" ht="12.8" hidden="false" customHeight="false" outlineLevel="0" collapsed="false">
      <c r="A16" s="1" t="s">
        <v>241</v>
      </c>
      <c r="B16" s="1" t="n">
        <f aca="false">D15/1000</f>
        <v>130.506</v>
      </c>
    </row>
    <row r="17" customFormat="false" ht="12.8" hidden="false" customHeight="false" outlineLevel="0" collapsed="false">
      <c r="A17" s="1" t="s">
        <v>238</v>
      </c>
      <c r="B17" s="10" t="n">
        <v>0.0410004218452327</v>
      </c>
      <c r="C17" s="10" t="n">
        <f aca="false">(0.09038953*1000)/2204.6</f>
        <v>0.0410004218452327</v>
      </c>
    </row>
    <row r="18" customFormat="false" ht="35.05" hidden="false" customHeight="false" outlineLevel="0" collapsed="false">
      <c r="A18" s="1" t="s">
        <v>239</v>
      </c>
      <c r="B18" s="1" t="n">
        <f aca="false">B17*B16</f>
        <v>5.35080105333394</v>
      </c>
      <c r="D18" s="2"/>
    </row>
    <row r="20" customFormat="false" ht="12.8" hidden="false" customHeight="false" outlineLevel="0" collapsed="false">
      <c r="A20" s="1" t="s">
        <v>242</v>
      </c>
      <c r="B20" s="155" t="n">
        <f aca="false">B10-B18</f>
        <v>109.109555525388</v>
      </c>
    </row>
    <row r="22" customFormat="false" ht="12.8" hidden="false" customHeight="false" outlineLevel="0" collapsed="false">
      <c r="D22" s="125" t="s">
        <v>243</v>
      </c>
      <c r="E22" s="126" t="n">
        <f aca="false">31568*1000000</f>
        <v>31568000000</v>
      </c>
    </row>
    <row r="23" customFormat="false" ht="12.8" hidden="false" customHeight="false" outlineLevel="0" collapsed="false">
      <c r="D23" s="83" t="s">
        <v>244</v>
      </c>
      <c r="E23" s="127" t="n">
        <f aca="false">(E22)/1800717</f>
        <v>17530.7946778978</v>
      </c>
    </row>
    <row r="24" customFormat="false" ht="12.8" hidden="false" customHeight="false" outlineLevel="0" collapsed="false">
      <c r="A24" s="1" t="s">
        <v>245</v>
      </c>
    </row>
    <row r="25" customFormat="false" ht="12.8" hidden="false" customHeight="false" outlineLevel="0" collapsed="false">
      <c r="A25" s="1" t="s">
        <v>246</v>
      </c>
      <c r="B25" s="1" t="n">
        <v>8</v>
      </c>
    </row>
    <row r="26" customFormat="false" ht="12.8" hidden="false" customHeight="false" outlineLevel="0" collapsed="false">
      <c r="A26" s="1" t="s">
        <v>247</v>
      </c>
      <c r="B26" s="1" t="n">
        <f aca="false">E23</f>
        <v>17530.7946778978</v>
      </c>
    </row>
    <row r="27" customFormat="false" ht="12.8" hidden="false" customHeight="false" outlineLevel="0" collapsed="false">
      <c r="A27" s="1" t="s">
        <v>248</v>
      </c>
      <c r="B27" s="1" t="n">
        <v>373</v>
      </c>
    </row>
    <row r="28" customFormat="false" ht="12.8" hidden="false" customHeight="false" outlineLevel="0" collapsed="false">
      <c r="A28" s="1" t="s">
        <v>249</v>
      </c>
      <c r="B28" s="1" t="n">
        <f aca="false">(B26*B27)/1000000</f>
        <v>6.53898641485586</v>
      </c>
    </row>
    <row r="30" customFormat="false" ht="12.8" hidden="false" customHeight="false" outlineLevel="0" collapsed="false">
      <c r="A30" s="1" t="s">
        <v>250</v>
      </c>
      <c r="B30" s="1" t="n">
        <v>8</v>
      </c>
    </row>
    <row r="31" customFormat="false" ht="12.8" hidden="false" customHeight="false" outlineLevel="0" collapsed="false">
      <c r="A31" s="1" t="s">
        <v>247</v>
      </c>
      <c r="B31" s="1" t="n">
        <f aca="false">E23</f>
        <v>17530.7946778978</v>
      </c>
    </row>
    <row r="32" customFormat="false" ht="12.8" hidden="false" customHeight="false" outlineLevel="0" collapsed="false">
      <c r="A32" s="1" t="s">
        <v>251</v>
      </c>
      <c r="B32" s="1" t="n">
        <v>126</v>
      </c>
    </row>
    <row r="33" customFormat="false" ht="12.8" hidden="false" customHeight="false" outlineLevel="0" collapsed="false">
      <c r="A33" s="1" t="s">
        <v>249</v>
      </c>
      <c r="B33" s="1" t="n">
        <f aca="false">(B31*B32)/1000000</f>
        <v>2.20888012941512</v>
      </c>
    </row>
    <row r="35" customFormat="false" ht="12.8" hidden="false" customHeight="false" outlineLevel="0" collapsed="false">
      <c r="A35" s="1" t="s">
        <v>259</v>
      </c>
      <c r="B35" s="1" t="n">
        <f aca="false">B25*(B28-B33)</f>
        <v>34.640850283526</v>
      </c>
    </row>
    <row r="36" customFormat="false" ht="17.35" hidden="false" customHeight="false" outlineLevel="0" collapsed="false"/>
    <row r="38" customFormat="false" ht="12.8" hidden="false" customHeight="false" outlineLevel="0" collapsed="false">
      <c r="A38" s="1" t="s">
        <v>255</v>
      </c>
    </row>
    <row r="39" customFormat="false" ht="12.8" hidden="false" customHeight="false" outlineLevel="0" collapsed="false">
      <c r="A39" s="1" t="s">
        <v>256</v>
      </c>
      <c r="B39" s="1" t="n">
        <v>2</v>
      </c>
    </row>
    <row r="40" customFormat="false" ht="12.8" hidden="false" customHeight="false" outlineLevel="0" collapsed="false">
      <c r="A40" s="1" t="s">
        <v>247</v>
      </c>
      <c r="B40" s="1" t="n">
        <f aca="false">$E$23</f>
        <v>17530.7946778978</v>
      </c>
    </row>
    <row r="41" customFormat="false" ht="12.8" hidden="false" customHeight="false" outlineLevel="0" collapsed="false">
      <c r="A41" s="1" t="s">
        <v>248</v>
      </c>
      <c r="B41" s="1" t="n">
        <v>543</v>
      </c>
    </row>
    <row r="42" customFormat="false" ht="12.8" hidden="false" customHeight="false" outlineLevel="0" collapsed="false">
      <c r="A42" s="1" t="s">
        <v>257</v>
      </c>
      <c r="B42" s="1" t="n">
        <f aca="false">(B40*B41)/1000000</f>
        <v>9.51922151009848</v>
      </c>
    </row>
    <row r="44" customFormat="false" ht="12.8" hidden="false" customHeight="false" outlineLevel="0" collapsed="false">
      <c r="A44" s="1" t="s">
        <v>258</v>
      </c>
      <c r="B44" s="1" t="n">
        <v>2</v>
      </c>
    </row>
    <row r="45" customFormat="false" ht="12.8" hidden="false" customHeight="false" outlineLevel="0" collapsed="false">
      <c r="A45" s="1" t="s">
        <v>247</v>
      </c>
      <c r="B45" s="1" t="n">
        <f aca="false">$E$23</f>
        <v>17530.7946778978</v>
      </c>
    </row>
    <row r="46" customFormat="false" ht="12.8" hidden="false" customHeight="false" outlineLevel="0" collapsed="false">
      <c r="A46" s="1" t="s">
        <v>248</v>
      </c>
      <c r="B46" s="1" t="n">
        <v>222</v>
      </c>
    </row>
    <row r="47" customFormat="false" ht="12.8" hidden="false" customHeight="false" outlineLevel="0" collapsed="false">
      <c r="A47" s="1" t="s">
        <v>257</v>
      </c>
      <c r="B47" s="1" t="n">
        <f aca="false">(B45*B46)/1000000</f>
        <v>3.8918364184933</v>
      </c>
    </row>
    <row r="49" customFormat="false" ht="12.8" hidden="false" customHeight="false" outlineLevel="0" collapsed="false">
      <c r="A49" s="1" t="s">
        <v>259</v>
      </c>
      <c r="B49" s="1" t="n">
        <f aca="false">B39*(B42-B47)</f>
        <v>11.2547701832104</v>
      </c>
    </row>
    <row r="51" customFormat="false" ht="12.8" hidden="false" customHeight="false" outlineLevel="0" collapsed="false">
      <c r="A51" s="124" t="s">
        <v>260</v>
      </c>
      <c r="B51" s="124" t="n">
        <f aca="false">B49+B42</f>
        <v>20.7739916933088</v>
      </c>
    </row>
    <row r="53" customFormat="false" ht="12.8" hidden="false" customHeight="false" outlineLevel="0" collapsed="false">
      <c r="A53" s="1" t="s">
        <v>261</v>
      </c>
      <c r="B53" s="3" t="n">
        <f aca="false">B54-B55</f>
        <v>51.2464215200702</v>
      </c>
    </row>
    <row r="54" customFormat="false" ht="12.8" hidden="false" customHeight="false" outlineLevel="0" collapsed="false">
      <c r="A54" s="1" t="s">
        <v>262</v>
      </c>
      <c r="B54" s="1" t="n">
        <f aca="false">B10+(B28*8)+(B42*2)</f>
        <v>185.810690917766</v>
      </c>
      <c r="D54" s="1" t="n">
        <f aca="false">1-(B55/B54)</f>
        <v>0.275799101047153</v>
      </c>
    </row>
    <row r="55" customFormat="false" ht="12.8" hidden="false" customHeight="false" outlineLevel="0" collapsed="false">
      <c r="A55" s="1" t="s">
        <v>263</v>
      </c>
      <c r="B55" s="1" t="n">
        <f aca="false">B20+(B33*8)+(B47*2)</f>
        <v>134.564269397696</v>
      </c>
    </row>
    <row r="57" customFormat="false" ht="12.8" hidden="false" customHeight="false" outlineLevel="0" collapsed="false">
      <c r="A57" s="1" t="s">
        <v>572</v>
      </c>
      <c r="B57" s="1" t="n">
        <v>400</v>
      </c>
      <c r="C57" s="1" t="n">
        <v>4249.46462992242</v>
      </c>
    </row>
    <row r="58" customFormat="false" ht="12.8" hidden="false" customHeight="false" outlineLevel="0" collapsed="false">
      <c r="A58" s="1" t="s">
        <v>573</v>
      </c>
      <c r="B58" s="1" t="n">
        <v>222</v>
      </c>
      <c r="C58" s="1" t="n">
        <v>1338.58135842556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30"/>
    </row>
    <row r="59" customFormat="false" ht="12.8" hidden="false" customHeight="false" outlineLevel="0" collapsed="false">
      <c r="A59" s="1" t="s">
        <v>271</v>
      </c>
      <c r="B59" s="1" t="n">
        <f aca="false">B57-B58</f>
        <v>178</v>
      </c>
      <c r="C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30"/>
    </row>
    <row r="60" customFormat="false" ht="12.8" hidden="false" customHeight="false" outlineLevel="0" collapsed="false">
      <c r="A60" s="1" t="s">
        <v>272</v>
      </c>
      <c r="B60" s="1" t="n">
        <f aca="false">E23</f>
        <v>17530.7946778978</v>
      </c>
      <c r="C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30"/>
    </row>
    <row r="61" customFormat="false" ht="12.8" hidden="false" customHeight="false" outlineLevel="0" collapsed="false">
      <c r="A61" s="1" t="s">
        <v>273</v>
      </c>
      <c r="B61" s="1" t="n">
        <f aca="false">B60*B59</f>
        <v>3120481.4526658</v>
      </c>
      <c r="C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30"/>
    </row>
    <row r="62" customFormat="false" ht="12.8" hidden="false" customHeight="false" outlineLevel="0" collapsed="false">
      <c r="A62" s="1" t="s">
        <v>274</v>
      </c>
      <c r="B62" s="131" t="n">
        <f aca="false">1433*0.798</f>
        <v>1143.534</v>
      </c>
      <c r="C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30"/>
    </row>
    <row r="63" customFormat="false" ht="12.8" hidden="false" customHeight="false" outlineLevel="0" collapsed="false">
      <c r="A63" s="1" t="s">
        <v>275</v>
      </c>
      <c r="B63" s="1" t="n">
        <f aca="false">B62*B61</f>
        <v>3568376637.49273</v>
      </c>
    </row>
    <row r="64" customFormat="false" ht="12.8" hidden="false" customHeight="false" outlineLevel="0" collapsed="false">
      <c r="A64" s="1" t="s">
        <v>574</v>
      </c>
      <c r="B64" s="1" t="n">
        <f aca="false">B63/1000000</f>
        <v>3568.37663749273</v>
      </c>
      <c r="C64" s="1" t="n">
        <f aca="false">B64*5</f>
        <v>17841.8831874637</v>
      </c>
      <c r="D64" s="1" t="n">
        <f aca="false">C64*2</f>
        <v>35683.7663749273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30"/>
    </row>
    <row r="65" customFormat="false" ht="12.8" hidden="false" customHeight="false" outlineLevel="0" collapsed="false">
      <c r="C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30"/>
    </row>
    <row r="66" customFormat="false" ht="12.8" hidden="false" customHeight="false" outlineLevel="0" collapsed="false">
      <c r="A66" s="1" t="s">
        <v>283</v>
      </c>
      <c r="B66" s="1" t="n">
        <v>9773</v>
      </c>
      <c r="C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30"/>
    </row>
    <row r="67" customFormat="false" ht="12.8" hidden="false" customHeight="false" outlineLevel="0" collapsed="false">
      <c r="A67" s="1" t="s">
        <v>278</v>
      </c>
      <c r="B67" s="1" t="n">
        <v>480</v>
      </c>
      <c r="C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30"/>
    </row>
    <row r="68" customFormat="false" ht="12.8" hidden="false" customHeight="false" outlineLevel="0" collapsed="false">
      <c r="A68" s="1" t="s">
        <v>279</v>
      </c>
      <c r="B68" s="132" t="n">
        <f aca="false">9773*480</f>
        <v>4691040</v>
      </c>
      <c r="C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30"/>
    </row>
    <row r="69" customFormat="false" ht="12.8" hidden="false" customHeight="false" outlineLevel="0" collapsed="false">
      <c r="A69" s="1" t="s">
        <v>280</v>
      </c>
      <c r="C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30"/>
    </row>
    <row r="70" customFormat="false" ht="12.8" hidden="false" customHeight="false" outlineLevel="0" collapsed="false">
      <c r="A70" s="1" t="s">
        <v>281</v>
      </c>
      <c r="B70" s="1" t="n">
        <v>1907.7</v>
      </c>
      <c r="C70" s="1" t="s">
        <v>282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30"/>
    </row>
    <row r="71" customFormat="false" ht="12.8" hidden="false" customHeight="false" outlineLevel="0" collapsed="false">
      <c r="C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30"/>
    </row>
    <row r="72" customFormat="false" ht="12.8" hidden="false" customHeight="false" outlineLevel="0" collapsed="false">
      <c r="A72" s="1" t="s">
        <v>283</v>
      </c>
      <c r="B72" s="1" t="n">
        <v>9773</v>
      </c>
      <c r="C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30"/>
    </row>
    <row r="73" customFormat="false" ht="12.8" hidden="false" customHeight="false" outlineLevel="0" collapsed="false">
      <c r="A73" s="124" t="s">
        <v>284</v>
      </c>
      <c r="B73" s="10" t="n">
        <f aca="false">(0.09038953*1000)/2204.6</f>
        <v>0.0410004218452327</v>
      </c>
      <c r="C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30"/>
    </row>
    <row r="74" customFormat="false" ht="12.8" hidden="false" customHeight="false" outlineLevel="0" collapsed="false">
      <c r="A74" s="1" t="s">
        <v>278</v>
      </c>
      <c r="B74" s="1" t="n">
        <v>480</v>
      </c>
    </row>
    <row r="76" customFormat="false" ht="12.8" hidden="false" customHeight="false" outlineLevel="0" collapsed="false">
      <c r="A76" s="1" t="s">
        <v>285</v>
      </c>
      <c r="B76" s="1" t="n">
        <f aca="false">(B72*B73*B74)/1000</f>
        <v>192.33461889286</v>
      </c>
    </row>
    <row r="78" customFormat="false" ht="12.8" hidden="false" customHeight="false" outlineLevel="0" collapsed="false">
      <c r="A78" s="1" t="s">
        <v>286</v>
      </c>
      <c r="B78" s="4" t="n">
        <f aca="false">((B66*B67)-(B72*B73))/2204.6</f>
        <v>2127.66003033535</v>
      </c>
    </row>
    <row r="79" customFormat="false" ht="12.8" hidden="false" customHeight="false" outlineLevel="0" collapsed="false">
      <c r="A79" s="1" t="s">
        <v>287</v>
      </c>
      <c r="B79" s="4" t="n">
        <f aca="false">B$78*B$67*0.05</f>
        <v>51063.8407280483</v>
      </c>
    </row>
    <row r="80" customFormat="false" ht="12.8" hidden="false" customHeight="false" outlineLevel="0" collapsed="false">
      <c r="A80" s="130" t="s">
        <v>288</v>
      </c>
      <c r="B80" s="4" t="n">
        <f aca="false">B$78*B$67*0.1</f>
        <v>102127.681456097</v>
      </c>
    </row>
    <row r="81" customFormat="false" ht="12.8" hidden="false" customHeight="false" outlineLevel="0" collapsed="false">
      <c r="A81" s="130" t="s">
        <v>289</v>
      </c>
      <c r="B81" s="4" t="n">
        <f aca="false">B$78*B$67*0.25</f>
        <v>255319.203640242</v>
      </c>
    </row>
    <row r="82" customFormat="false" ht="12.8" hidden="false" customHeight="false" outlineLevel="0" collapsed="false">
      <c r="A82" s="130" t="s">
        <v>295</v>
      </c>
      <c r="B82" s="1" t="s">
        <v>575</v>
      </c>
      <c r="C82" s="1" t="n">
        <v>2024</v>
      </c>
      <c r="D82" s="1" t="n">
        <v>2025</v>
      </c>
      <c r="E82" s="1" t="n">
        <v>2026</v>
      </c>
      <c r="F82" s="1" t="n">
        <v>2027</v>
      </c>
      <c r="G82" s="1" t="n">
        <v>2028</v>
      </c>
      <c r="H82" s="1" t="n">
        <v>2029</v>
      </c>
      <c r="I82" s="1" t="n">
        <v>2030</v>
      </c>
      <c r="J82" s="1" t="n">
        <v>2031</v>
      </c>
      <c r="K82" s="1" t="n">
        <v>2032</v>
      </c>
      <c r="L82" s="1" t="n">
        <v>2033</v>
      </c>
      <c r="M82" s="1" t="n">
        <v>2034</v>
      </c>
      <c r="N82" s="1" t="n">
        <v>2035</v>
      </c>
      <c r="O82" s="1" t="n">
        <v>2036</v>
      </c>
      <c r="P82" s="1" t="n">
        <v>2037</v>
      </c>
      <c r="Q82" s="1" t="n">
        <v>2038</v>
      </c>
      <c r="R82" s="1" t="n">
        <v>2039</v>
      </c>
      <c r="S82" s="1" t="n">
        <v>2040</v>
      </c>
      <c r="T82" s="1" t="n">
        <v>2041</v>
      </c>
      <c r="U82" s="1" t="n">
        <v>2042</v>
      </c>
      <c r="V82" s="1" t="n">
        <v>2043</v>
      </c>
      <c r="W82" s="1" t="n">
        <v>2044</v>
      </c>
      <c r="X82" s="1" t="n">
        <v>2045</v>
      </c>
      <c r="Y82" s="1" t="n">
        <v>2046</v>
      </c>
      <c r="Z82" s="1" t="n">
        <v>2047</v>
      </c>
      <c r="AA82" s="1" t="n">
        <v>2048</v>
      </c>
      <c r="AB82" s="1" t="n">
        <v>2049</v>
      </c>
      <c r="AC82" s="1" t="n">
        <v>2050</v>
      </c>
    </row>
    <row r="83" customFormat="false" ht="12.8" hidden="false" customHeight="false" outlineLevel="0" collapsed="false">
      <c r="A83" s="130" t="s">
        <v>297</v>
      </c>
      <c r="B83" s="130" t="n">
        <v>0.021</v>
      </c>
      <c r="C83" s="130" t="n">
        <f aca="false">B83*1.182</f>
        <v>0.024822</v>
      </c>
      <c r="D83" s="130" t="n">
        <f aca="false">C83*1.182</f>
        <v>0.029339604</v>
      </c>
      <c r="E83" s="130" t="n">
        <f aca="false">D83*1.182</f>
        <v>0.034679411928</v>
      </c>
      <c r="F83" s="130" t="n">
        <f aca="false">E83*1.182</f>
        <v>0.040991064898896</v>
      </c>
      <c r="G83" s="130" t="n">
        <f aca="false">F83*1.182</f>
        <v>0.0484514387104951</v>
      </c>
      <c r="H83" s="130" t="n">
        <f aca="false">G83*1.182</f>
        <v>0.0572696005558052</v>
      </c>
      <c r="I83" s="130" t="n">
        <f aca="false">H83*1.182</f>
        <v>0.0676926678569617</v>
      </c>
      <c r="J83" s="130" t="n">
        <f aca="false">I83*1.182</f>
        <v>0.0800127334069287</v>
      </c>
      <c r="K83" s="130" t="n">
        <f aca="false">J83*1.182</f>
        <v>0.0945750508869897</v>
      </c>
      <c r="L83" s="130" t="n">
        <f aca="false">K83*1.182</f>
        <v>0.111787710148422</v>
      </c>
      <c r="M83" s="130" t="n">
        <f aca="false">L83*1.182</f>
        <v>0.132133073395435</v>
      </c>
      <c r="N83" s="130" t="n">
        <f aca="false">M83*1.182</f>
        <v>0.156181292753404</v>
      </c>
      <c r="O83" s="130" t="n">
        <f aca="false">N83*1.182</f>
        <v>0.184606288034523</v>
      </c>
      <c r="P83" s="130" t="n">
        <f aca="false">O83*1.182</f>
        <v>0.218204632456806</v>
      </c>
      <c r="Q83" s="130" t="n">
        <f aca="false">P83*1.182</f>
        <v>0.257917875563945</v>
      </c>
      <c r="R83" s="130" t="n">
        <f aca="false">Q83*1.182</f>
        <v>0.304858928916583</v>
      </c>
      <c r="S83" s="130" t="n">
        <f aca="false">R83*1.182</f>
        <v>0.360343253979401</v>
      </c>
      <c r="T83" s="130" t="n">
        <f aca="false">S83*1.182</f>
        <v>0.425925726203652</v>
      </c>
      <c r="U83" s="130" t="n">
        <f aca="false">T83*1.182</f>
        <v>0.503444208372717</v>
      </c>
      <c r="V83" s="130" t="n">
        <f aca="false">U83*1.182</f>
        <v>0.595071054296551</v>
      </c>
      <c r="W83" s="130" t="n">
        <f aca="false">V83*1.182</f>
        <v>0.703373986178524</v>
      </c>
      <c r="X83" s="130" t="n">
        <f aca="false">W83*1.182</f>
        <v>0.831388051663015</v>
      </c>
      <c r="Y83" s="130" t="n">
        <f aca="false">X83*1.182</f>
        <v>0.982700677065684</v>
      </c>
      <c r="Z83" s="130" t="n">
        <v>1</v>
      </c>
      <c r="AA83" s="130" t="n">
        <v>1</v>
      </c>
      <c r="AB83" s="130" t="n">
        <v>1</v>
      </c>
      <c r="AC83" s="130" t="n">
        <v>1</v>
      </c>
    </row>
    <row r="84" customFormat="false" ht="12.8" hidden="false" customHeight="false" outlineLevel="0" collapsed="false">
      <c r="A84" s="130" t="s">
        <v>298</v>
      </c>
      <c r="B84" s="130" t="n">
        <v>0.05</v>
      </c>
      <c r="C84" s="130" t="n">
        <f aca="false">B84*1.182</f>
        <v>0.0591</v>
      </c>
      <c r="D84" s="130" t="n">
        <f aca="false">C84*1.182</f>
        <v>0.0698562</v>
      </c>
      <c r="E84" s="130" t="n">
        <f aca="false">D84*1.182</f>
        <v>0.0825700284</v>
      </c>
      <c r="F84" s="130" t="n">
        <f aca="false">E84*1.182</f>
        <v>0.0975977735688</v>
      </c>
      <c r="G84" s="130" t="n">
        <f aca="false">F84*1.182</f>
        <v>0.115360568358322</v>
      </c>
      <c r="H84" s="130" t="n">
        <f aca="false">G84*1.182</f>
        <v>0.136356191799536</v>
      </c>
      <c r="I84" s="130" t="n">
        <f aca="false">H84*1.182</f>
        <v>0.161173018707052</v>
      </c>
      <c r="J84" s="130" t="n">
        <f aca="false">I84*1.182</f>
        <v>0.190506508111735</v>
      </c>
      <c r="K84" s="130" t="n">
        <f aca="false">J84*1.182</f>
        <v>0.225178692588071</v>
      </c>
      <c r="L84" s="130" t="n">
        <f aca="false">K84*1.182</f>
        <v>0.2661612146391</v>
      </c>
      <c r="M84" s="130" t="n">
        <f aca="false">L84*1.182</f>
        <v>0.314602555703416</v>
      </c>
      <c r="N84" s="130" t="n">
        <f aca="false">M84*1.182</f>
        <v>0.371860220841438</v>
      </c>
      <c r="O84" s="130" t="n">
        <f aca="false">N84*1.182</f>
        <v>0.439538781034579</v>
      </c>
      <c r="P84" s="130" t="n">
        <f aca="false">O84*1.182</f>
        <v>0.519534839182873</v>
      </c>
      <c r="Q84" s="130" t="n">
        <f aca="false">P84*1.182</f>
        <v>0.614090179914155</v>
      </c>
      <c r="R84" s="130" t="n">
        <f aca="false">Q84*1.182</f>
        <v>0.725854592658532</v>
      </c>
      <c r="S84" s="130" t="n">
        <f aca="false">R84*1.182</f>
        <v>0.857960128522384</v>
      </c>
      <c r="T84" s="130" t="n">
        <v>1</v>
      </c>
      <c r="U84" s="130" t="n">
        <v>1</v>
      </c>
      <c r="V84" s="130" t="n">
        <v>1</v>
      </c>
      <c r="W84" s="130" t="n">
        <v>1</v>
      </c>
      <c r="X84" s="130" t="n">
        <v>1</v>
      </c>
      <c r="Y84" s="130" t="n">
        <v>1</v>
      </c>
      <c r="Z84" s="130" t="n">
        <v>1</v>
      </c>
      <c r="AA84" s="130" t="n">
        <v>1</v>
      </c>
      <c r="AB84" s="130" t="n">
        <v>1</v>
      </c>
      <c r="AC84" s="130" t="n">
        <v>1</v>
      </c>
    </row>
    <row r="85" customFormat="false" ht="12.8" hidden="false" customHeight="false" outlineLevel="0" collapsed="false">
      <c r="A85" s="130" t="s">
        <v>299</v>
      </c>
      <c r="B85" s="130" t="n">
        <v>0.07</v>
      </c>
      <c r="C85" s="130" t="n">
        <f aca="false">B85*1.182</f>
        <v>0.08274</v>
      </c>
      <c r="D85" s="130" t="n">
        <f aca="false">C85*1.182</f>
        <v>0.09779868</v>
      </c>
      <c r="E85" s="130" t="n">
        <f aca="false">D85*1.182</f>
        <v>0.11559803976</v>
      </c>
      <c r="F85" s="130" t="n">
        <f aca="false">E85*1.182</f>
        <v>0.13663688299632</v>
      </c>
      <c r="G85" s="130" t="n">
        <f aca="false">F85*1.182</f>
        <v>0.16150479570165</v>
      </c>
      <c r="H85" s="130" t="n">
        <f aca="false">G85*1.182</f>
        <v>0.190898668519351</v>
      </c>
      <c r="I85" s="130" t="n">
        <f aca="false">H85*1.182</f>
        <v>0.225642226189872</v>
      </c>
      <c r="J85" s="130" t="n">
        <f aca="false">I85*1.182</f>
        <v>0.266709111356429</v>
      </c>
      <c r="K85" s="130" t="n">
        <f aca="false">J85*1.182</f>
        <v>0.315250169623299</v>
      </c>
      <c r="L85" s="130" t="n">
        <f aca="false">K85*1.182</f>
        <v>0.37262570049474</v>
      </c>
      <c r="M85" s="130" t="n">
        <f aca="false">L85*1.182</f>
        <v>0.440443577984782</v>
      </c>
      <c r="N85" s="130" t="n">
        <f aca="false">M85*1.182</f>
        <v>0.520604309178013</v>
      </c>
      <c r="O85" s="130" t="n">
        <f aca="false">N85*1.182</f>
        <v>0.615354293448411</v>
      </c>
      <c r="P85" s="130" t="n">
        <f aca="false">O85*1.182</f>
        <v>0.727348774856022</v>
      </c>
      <c r="Q85" s="130" t="n">
        <f aca="false">P85*1.182</f>
        <v>0.859726251879817</v>
      </c>
      <c r="R85" s="130" t="n">
        <v>1</v>
      </c>
      <c r="S85" s="130" t="n">
        <v>1</v>
      </c>
      <c r="T85" s="130" t="n">
        <v>1</v>
      </c>
      <c r="U85" s="130" t="n">
        <v>1</v>
      </c>
      <c r="V85" s="130" t="n">
        <v>1</v>
      </c>
      <c r="W85" s="130" t="n">
        <v>1</v>
      </c>
      <c r="X85" s="130" t="n">
        <v>1</v>
      </c>
      <c r="Y85" s="130" t="n">
        <v>1</v>
      </c>
      <c r="Z85" s="130" t="n">
        <v>1</v>
      </c>
      <c r="AA85" s="130" t="n">
        <v>1</v>
      </c>
      <c r="AB85" s="130" t="n">
        <v>1</v>
      </c>
      <c r="AC85" s="130" t="n">
        <v>1</v>
      </c>
    </row>
    <row r="86" customFormat="false" ht="12.8" hidden="false" customHeight="false" outlineLevel="0" collapsed="false">
      <c r="A86" s="130" t="s">
        <v>300</v>
      </c>
      <c r="B86" s="130" t="n">
        <v>0.14</v>
      </c>
      <c r="C86" s="130" t="n">
        <f aca="false">B86*1.182</f>
        <v>0.16548</v>
      </c>
      <c r="D86" s="130" t="n">
        <f aca="false">C86*1.182</f>
        <v>0.19559736</v>
      </c>
      <c r="E86" s="130" t="n">
        <f aca="false">D86*1.182</f>
        <v>0.23119607952</v>
      </c>
      <c r="F86" s="130" t="n">
        <f aca="false">E86*1.182</f>
        <v>0.27327376599264</v>
      </c>
      <c r="G86" s="130" t="n">
        <f aca="false">F86*1.182</f>
        <v>0.3230095914033</v>
      </c>
      <c r="H86" s="130" t="n">
        <f aca="false">G86*1.182</f>
        <v>0.381797337038701</v>
      </c>
      <c r="I86" s="130" t="n">
        <f aca="false">H86*1.182</f>
        <v>0.451284452379745</v>
      </c>
      <c r="J86" s="130" t="n">
        <f aca="false">I86*1.182</f>
        <v>0.533418222712858</v>
      </c>
      <c r="K86" s="130" t="n">
        <f aca="false">J86*1.182</f>
        <v>0.630500339246598</v>
      </c>
      <c r="L86" s="130" t="n">
        <f aca="false">K86*1.182</f>
        <v>0.745251400989479</v>
      </c>
      <c r="M86" s="130" t="n">
        <f aca="false">L86*1.182</f>
        <v>0.880887155969565</v>
      </c>
      <c r="N86" s="130" t="n">
        <v>1</v>
      </c>
      <c r="O86" s="130" t="n">
        <v>1</v>
      </c>
      <c r="P86" s="130" t="n">
        <v>1</v>
      </c>
      <c r="Q86" s="130" t="n">
        <v>1</v>
      </c>
      <c r="R86" s="130" t="n">
        <v>1</v>
      </c>
      <c r="S86" s="130" t="n">
        <v>1</v>
      </c>
      <c r="T86" s="130" t="n">
        <v>1</v>
      </c>
      <c r="U86" s="130" t="n">
        <v>1</v>
      </c>
      <c r="V86" s="130" t="n">
        <v>1</v>
      </c>
      <c r="W86" s="130" t="n">
        <v>1</v>
      </c>
      <c r="X86" s="130" t="n">
        <v>1</v>
      </c>
      <c r="Y86" s="130" t="n">
        <v>1</v>
      </c>
      <c r="Z86" s="130" t="n">
        <v>1</v>
      </c>
      <c r="AA86" s="130" t="n">
        <v>1</v>
      </c>
      <c r="AB86" s="130" t="n">
        <v>1</v>
      </c>
      <c r="AC86" s="130" t="n">
        <v>1</v>
      </c>
    </row>
    <row r="87" customFormat="false" ht="12.8" hidden="false" customHeight="false" outlineLevel="0" collapsed="false">
      <c r="A87" s="130" t="s">
        <v>301</v>
      </c>
      <c r="B87" s="130" t="n">
        <v>0.25</v>
      </c>
      <c r="C87" s="130" t="n">
        <f aca="false">B87*1.182</f>
        <v>0.2955</v>
      </c>
      <c r="D87" s="130" t="n">
        <f aca="false">C87*1.182</f>
        <v>0.349281</v>
      </c>
      <c r="E87" s="130" t="n">
        <f aca="false">D87*1.182</f>
        <v>0.412850142</v>
      </c>
      <c r="F87" s="130" t="n">
        <f aca="false">E87*1.182</f>
        <v>0.487988867844</v>
      </c>
      <c r="G87" s="130" t="n">
        <f aca="false">F87*1.182</f>
        <v>0.576802841791608</v>
      </c>
      <c r="H87" s="130" t="n">
        <f aca="false">G87*1.182</f>
        <v>0.68178095899768</v>
      </c>
      <c r="I87" s="130" t="n">
        <f aca="false">H87*1.182</f>
        <v>0.805865093535258</v>
      </c>
      <c r="J87" s="130" t="n">
        <f aca="false">I87*1.182</f>
        <v>0.952532540558675</v>
      </c>
      <c r="K87" s="130" t="n">
        <v>1</v>
      </c>
      <c r="L87" s="130" t="n">
        <v>1</v>
      </c>
      <c r="M87" s="130" t="n">
        <v>1</v>
      </c>
      <c r="N87" s="130" t="n">
        <v>1</v>
      </c>
      <c r="O87" s="130" t="n">
        <v>1</v>
      </c>
      <c r="P87" s="130" t="n">
        <v>1</v>
      </c>
      <c r="Q87" s="130" t="n">
        <v>1</v>
      </c>
      <c r="R87" s="130" t="n">
        <v>1</v>
      </c>
      <c r="S87" s="130" t="n">
        <v>1</v>
      </c>
      <c r="T87" s="130" t="n">
        <v>1</v>
      </c>
      <c r="U87" s="130" t="n">
        <v>1</v>
      </c>
      <c r="V87" s="130" t="n">
        <v>1</v>
      </c>
      <c r="W87" s="130" t="n">
        <v>1</v>
      </c>
      <c r="X87" s="130" t="n">
        <v>1</v>
      </c>
      <c r="Y87" s="130" t="n">
        <v>1</v>
      </c>
      <c r="Z87" s="130" t="n">
        <v>1</v>
      </c>
      <c r="AA87" s="130" t="n">
        <v>1</v>
      </c>
      <c r="AB87" s="130" t="n">
        <v>1</v>
      </c>
      <c r="AC87" s="130" t="n">
        <v>1</v>
      </c>
    </row>
    <row r="88" customFormat="false" ht="12.8" hidden="false" customHeight="false" outlineLevel="0" collapsed="false">
      <c r="A88" s="130"/>
      <c r="B88" s="130"/>
      <c r="C88" s="130"/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</row>
    <row r="89" customFormat="false" ht="12.8" hidden="false" customHeight="false" outlineLevel="0" collapsed="false">
      <c r="A89" s="130" t="s">
        <v>295</v>
      </c>
      <c r="B89" s="1" t="s">
        <v>575</v>
      </c>
      <c r="C89" s="1" t="n">
        <v>2024</v>
      </c>
      <c r="D89" s="1" t="n">
        <v>2025</v>
      </c>
      <c r="E89" s="1" t="n">
        <v>2026</v>
      </c>
      <c r="F89" s="1" t="n">
        <v>2027</v>
      </c>
      <c r="G89" s="1" t="n">
        <v>2028</v>
      </c>
      <c r="H89" s="1" t="n">
        <v>2029</v>
      </c>
      <c r="I89" s="1" t="n">
        <v>2030</v>
      </c>
      <c r="J89" s="1" t="n">
        <v>2031</v>
      </c>
      <c r="K89" s="1" t="n">
        <v>2032</v>
      </c>
      <c r="L89" s="1" t="n">
        <v>2033</v>
      </c>
      <c r="M89" s="1" t="n">
        <v>2034</v>
      </c>
      <c r="N89" s="1" t="n">
        <v>2035</v>
      </c>
      <c r="O89" s="1" t="n">
        <v>2036</v>
      </c>
      <c r="P89" s="1" t="n">
        <v>2037</v>
      </c>
      <c r="Q89" s="1" t="n">
        <v>2038</v>
      </c>
      <c r="R89" s="1" t="n">
        <v>2039</v>
      </c>
      <c r="S89" s="1" t="n">
        <v>2040</v>
      </c>
      <c r="T89" s="1" t="n">
        <v>2041</v>
      </c>
      <c r="U89" s="1" t="n">
        <v>2042</v>
      </c>
      <c r="V89" s="1" t="n">
        <v>2043</v>
      </c>
      <c r="W89" s="1" t="n">
        <v>2044</v>
      </c>
      <c r="X89" s="1" t="n">
        <v>2045</v>
      </c>
      <c r="Y89" s="1" t="n">
        <v>2046</v>
      </c>
      <c r="Z89" s="1" t="n">
        <v>2047</v>
      </c>
      <c r="AA89" s="1" t="n">
        <v>2048</v>
      </c>
      <c r="AB89" s="1" t="n">
        <v>2049</v>
      </c>
      <c r="AC89" s="1" t="n">
        <v>2050</v>
      </c>
    </row>
    <row r="90" customFormat="false" ht="12.8" hidden="false" customHeight="false" outlineLevel="0" collapsed="false">
      <c r="A90" s="130" t="s">
        <v>576</v>
      </c>
      <c r="B90" s="130" t="n">
        <v>0</v>
      </c>
      <c r="C90" s="130" t="n">
        <v>0</v>
      </c>
      <c r="D90" s="130" t="n">
        <v>0</v>
      </c>
      <c r="E90" s="130" t="n">
        <v>0</v>
      </c>
      <c r="F90" s="130" t="n">
        <v>0</v>
      </c>
      <c r="G90" s="130" t="n">
        <v>0</v>
      </c>
      <c r="H90" s="130" t="n">
        <v>0</v>
      </c>
      <c r="I90" s="130" t="n">
        <v>0.0025</v>
      </c>
      <c r="J90" s="130" t="n">
        <f aca="false">I90*1.2</f>
        <v>0.003</v>
      </c>
      <c r="K90" s="130" t="n">
        <f aca="false">J90*1.2</f>
        <v>0.0036</v>
      </c>
      <c r="L90" s="130" t="n">
        <f aca="false">K90*1.2</f>
        <v>0.00432</v>
      </c>
      <c r="M90" s="130" t="n">
        <f aca="false">L90*1.2</f>
        <v>0.005184</v>
      </c>
      <c r="N90" s="130" t="n">
        <f aca="false">M90*1.2</f>
        <v>0.0062208</v>
      </c>
      <c r="O90" s="130" t="n">
        <f aca="false">N90*1.09</f>
        <v>0.006780672</v>
      </c>
      <c r="P90" s="130" t="n">
        <f aca="false">O90*1.09</f>
        <v>0.00739093248</v>
      </c>
      <c r="Q90" s="130" t="n">
        <f aca="false">P90*1.09</f>
        <v>0.0080561164032</v>
      </c>
      <c r="R90" s="130" t="n">
        <f aca="false">Q90*1.09</f>
        <v>0.008781166879488</v>
      </c>
      <c r="S90" s="130" t="n">
        <f aca="false">R90*1.09</f>
        <v>0.00957147189864192</v>
      </c>
      <c r="T90" s="130" t="n">
        <f aca="false">S90*1.09</f>
        <v>0.0104329043695197</v>
      </c>
      <c r="U90" s="130" t="n">
        <f aca="false">T90*1.09</f>
        <v>0.0113718657627765</v>
      </c>
      <c r="V90" s="130" t="n">
        <f aca="false">U90*1.09</f>
        <v>0.0123953336814264</v>
      </c>
      <c r="W90" s="130" t="n">
        <f aca="false">V90*1.09</f>
        <v>0.0135109137127547</v>
      </c>
      <c r="X90" s="130" t="n">
        <f aca="false">W90*1.09</f>
        <v>0.0147268959469027</v>
      </c>
      <c r="Y90" s="130" t="n">
        <f aca="false">X90*1.09</f>
        <v>0.0160523165821239</v>
      </c>
      <c r="Z90" s="130" t="n">
        <f aca="false">Y90*1.09</f>
        <v>0.017497025074515</v>
      </c>
      <c r="AA90" s="130" t="n">
        <f aca="false">Z90*1.09</f>
        <v>0.0190717573312214</v>
      </c>
      <c r="AB90" s="130" t="n">
        <f aca="false">AA90*1.09</f>
        <v>0.0207882154910313</v>
      </c>
      <c r="AC90" s="130" t="n">
        <f aca="false">AB90*1.09</f>
        <v>0.0226591548852241</v>
      </c>
    </row>
    <row r="91" customFormat="false" ht="12.8" hidden="false" customHeight="false" outlineLevel="0" collapsed="false">
      <c r="A91" s="130" t="s">
        <v>303</v>
      </c>
      <c r="B91" s="130" t="n">
        <v>0</v>
      </c>
      <c r="C91" s="130" t="n">
        <f aca="false">2/480</f>
        <v>0.00416666666666667</v>
      </c>
      <c r="D91" s="130" t="n">
        <f aca="false">C91*1.25</f>
        <v>0.00520833333333333</v>
      </c>
      <c r="E91" s="130" t="n">
        <f aca="false">D91*1.25</f>
        <v>0.00651041666666667</v>
      </c>
      <c r="F91" s="130" t="n">
        <f aca="false">E91*1.25</f>
        <v>0.00813802083333333</v>
      </c>
      <c r="G91" s="130" t="n">
        <f aca="false">F91*1.25</f>
        <v>0.0101725260416667</v>
      </c>
      <c r="H91" s="130" t="n">
        <f aca="false">G91*1.3</f>
        <v>0.0132242838541667</v>
      </c>
      <c r="I91" s="130" t="n">
        <f aca="false">H91*1.3</f>
        <v>0.0171915690104167</v>
      </c>
      <c r="J91" s="130" t="n">
        <f aca="false">I91*1.3</f>
        <v>0.0223490397135417</v>
      </c>
      <c r="K91" s="130" t="n">
        <f aca="false">J91*1.3</f>
        <v>0.0290537516276042</v>
      </c>
      <c r="L91" s="130" t="n">
        <f aca="false">K91*1.3</f>
        <v>0.0377698771158854</v>
      </c>
      <c r="M91" s="130" t="n">
        <f aca="false">L91*1.3</f>
        <v>0.0491008402506511</v>
      </c>
      <c r="N91" s="130" t="n">
        <f aca="false">M91*1.3</f>
        <v>0.0638310923258464</v>
      </c>
      <c r="O91" s="130" t="n">
        <f aca="false">N91+(N91*0.09)</f>
        <v>0.0695758906351725</v>
      </c>
      <c r="P91" s="130" t="n">
        <f aca="false">O91*1.09</f>
        <v>0.0758377207923381</v>
      </c>
      <c r="Q91" s="130" t="n">
        <f aca="false">P91*1.09</f>
        <v>0.0826631156636485</v>
      </c>
      <c r="R91" s="130" t="n">
        <f aca="false">Q91*1.09</f>
        <v>0.0901027960733769</v>
      </c>
      <c r="S91" s="130" t="n">
        <f aca="false">R91*1.09</f>
        <v>0.0982120477199808</v>
      </c>
      <c r="T91" s="130" t="n">
        <f aca="false">S91*1.09</f>
        <v>0.107051132014779</v>
      </c>
      <c r="U91" s="130" t="n">
        <f aca="false">T91*1.09</f>
        <v>0.116685733896109</v>
      </c>
      <c r="V91" s="130" t="n">
        <f aca="false">U91*1.09</f>
        <v>0.127187449946759</v>
      </c>
      <c r="W91" s="130" t="n">
        <f aca="false">V91*1.09</f>
        <v>0.138634320441967</v>
      </c>
      <c r="X91" s="130" t="n">
        <f aca="false">W91*1.09</f>
        <v>0.151111409281745</v>
      </c>
      <c r="Y91" s="130" t="n">
        <f aca="false">X91*1.09</f>
        <v>0.164711436117102</v>
      </c>
      <c r="Z91" s="130" t="n">
        <f aca="false">Y91*1.09</f>
        <v>0.179535465367641</v>
      </c>
      <c r="AA91" s="130" t="n">
        <f aca="false">Z91*1.09</f>
        <v>0.195693657250728</v>
      </c>
      <c r="AB91" s="130" t="n">
        <f aca="false">AA91*1.09</f>
        <v>0.213306086403294</v>
      </c>
      <c r="AC91" s="130" t="n">
        <f aca="false">AB91*1.09</f>
        <v>0.23250363417959</v>
      </c>
    </row>
    <row r="92" customFormat="false" ht="12.8" hidden="false" customHeight="false" outlineLevel="0" collapsed="false">
      <c r="A92" s="130" t="s">
        <v>304</v>
      </c>
      <c r="B92" s="130" t="n">
        <v>0</v>
      </c>
      <c r="C92" s="130" t="n">
        <f aca="false">3/480</f>
        <v>0.00625</v>
      </c>
      <c r="D92" s="130" t="n">
        <f aca="false">C92*1.3</f>
        <v>0.008125</v>
      </c>
      <c r="E92" s="130" t="n">
        <f aca="false">D92*1.3</f>
        <v>0.0105625</v>
      </c>
      <c r="F92" s="130" t="n">
        <f aca="false">E92*1.3</f>
        <v>0.01373125</v>
      </c>
      <c r="G92" s="130" t="n">
        <f aca="false">F92*1.3</f>
        <v>0.017850625</v>
      </c>
      <c r="H92" s="130" t="n">
        <f aca="false">G92*1.3</f>
        <v>0.0232058125</v>
      </c>
      <c r="I92" s="130" t="n">
        <f aca="false">H92*1.3</f>
        <v>0.03016755625</v>
      </c>
      <c r="J92" s="130" t="n">
        <f aca="false">I92*1.3</f>
        <v>0.039217823125</v>
      </c>
      <c r="K92" s="130" t="n">
        <f aca="false">J92*1.4</f>
        <v>0.054904952375</v>
      </c>
      <c r="L92" s="130" t="n">
        <f aca="false">K92*1.4</f>
        <v>0.076866933325</v>
      </c>
      <c r="M92" s="130" t="n">
        <f aca="false">L92*1.4</f>
        <v>0.107613706655</v>
      </c>
      <c r="N92" s="130" t="n">
        <f aca="false">M92*1.4</f>
        <v>0.150659189317</v>
      </c>
      <c r="O92" s="130" t="n">
        <f aca="false">N92+((1/35))</f>
        <v>0.179230617888429</v>
      </c>
      <c r="P92" s="130" t="n">
        <f aca="false">O92*1.09</f>
        <v>0.195361373498387</v>
      </c>
      <c r="Q92" s="130" t="n">
        <f aca="false">P92*1.09</f>
        <v>0.212943897113242</v>
      </c>
      <c r="R92" s="130" t="n">
        <f aca="false">Q92*1.09</f>
        <v>0.232108847853434</v>
      </c>
      <c r="S92" s="130" t="n">
        <f aca="false">R92*1.09</f>
        <v>0.252998644160243</v>
      </c>
      <c r="T92" s="130" t="n">
        <f aca="false">S92*1.09</f>
        <v>0.275768522134665</v>
      </c>
      <c r="U92" s="130" t="n">
        <f aca="false">T92*1.09</f>
        <v>0.300587689126785</v>
      </c>
      <c r="V92" s="130" t="n">
        <f aca="false">U92*1.09</f>
        <v>0.327640581148195</v>
      </c>
      <c r="W92" s="130" t="n">
        <f aca="false">V92*1.09</f>
        <v>0.357128233451533</v>
      </c>
      <c r="X92" s="130" t="n">
        <f aca="false">W92*1.09</f>
        <v>0.389269774462171</v>
      </c>
      <c r="Y92" s="130" t="n">
        <f aca="false">X92*1.09</f>
        <v>0.424304054163766</v>
      </c>
      <c r="Z92" s="130" t="n">
        <f aca="false">Y92*1.09</f>
        <v>0.462491419038505</v>
      </c>
      <c r="AA92" s="130" t="n">
        <f aca="false">Z92*1.09</f>
        <v>0.504115646751971</v>
      </c>
      <c r="AB92" s="130" t="n">
        <f aca="false">AA92*1.09</f>
        <v>0.549486054959648</v>
      </c>
      <c r="AC92" s="130" t="n">
        <f aca="false">AB92*1.09</f>
        <v>0.598939799906017</v>
      </c>
    </row>
    <row r="93" customFormat="false" ht="12.8" hidden="false" customHeight="false" outlineLevel="0" collapsed="false">
      <c r="A93" s="130" t="s">
        <v>305</v>
      </c>
      <c r="B93" s="130" t="n">
        <v>0</v>
      </c>
      <c r="C93" s="130" t="n">
        <f aca="false">5/480</f>
        <v>0.0104166666666667</v>
      </c>
      <c r="D93" s="130" t="n">
        <f aca="false">C93*1.3</f>
        <v>0.0135416666666667</v>
      </c>
      <c r="E93" s="130" t="n">
        <f aca="false">D93*1.3</f>
        <v>0.0176041666666667</v>
      </c>
      <c r="F93" s="130" t="n">
        <f aca="false">E93*1.3</f>
        <v>0.0228854166666667</v>
      </c>
      <c r="G93" s="130" t="n">
        <f aca="false">F93*1.4</f>
        <v>0.0320395833333333</v>
      </c>
      <c r="H93" s="130" t="n">
        <f aca="false">G93*1.4</f>
        <v>0.0448554166666667</v>
      </c>
      <c r="I93" s="130" t="n">
        <f aca="false">H93*1.4</f>
        <v>0.0627975833333333</v>
      </c>
      <c r="J93" s="130" t="n">
        <f aca="false">I93*1.4</f>
        <v>0.0879166166666667</v>
      </c>
      <c r="K93" s="130" t="n">
        <f aca="false">J93*1.4</f>
        <v>0.123083263333333</v>
      </c>
      <c r="L93" s="130" t="n">
        <f aca="false">K93*1.4</f>
        <v>0.172316568666667</v>
      </c>
      <c r="M93" s="130" t="n">
        <f aca="false">L93*1.4</f>
        <v>0.241243196133333</v>
      </c>
      <c r="N93" s="130" t="n">
        <f aca="false">M93+(40/480)</f>
        <v>0.324576529466667</v>
      </c>
      <c r="O93" s="130" t="n">
        <f aca="false">N93+0.12</f>
        <v>0.444576529466667</v>
      </c>
      <c r="P93" s="130" t="n">
        <f aca="false">O93+0.12</f>
        <v>0.564576529466667</v>
      </c>
      <c r="Q93" s="130" t="n">
        <f aca="false">P93+0.12</f>
        <v>0.684576529466667</v>
      </c>
      <c r="R93" s="130" t="n">
        <f aca="false">Q93+0.12</f>
        <v>0.804576529466667</v>
      </c>
      <c r="S93" s="130" t="n">
        <f aca="false">R93+0.12</f>
        <v>0.924576529466667</v>
      </c>
      <c r="T93" s="130" t="n">
        <v>1</v>
      </c>
      <c r="U93" s="130" t="n">
        <v>1</v>
      </c>
      <c r="V93" s="130" t="n">
        <v>1</v>
      </c>
      <c r="W93" s="130" t="n">
        <v>1</v>
      </c>
      <c r="X93" s="130" t="n">
        <v>1</v>
      </c>
      <c r="Y93" s="130" t="n">
        <v>1</v>
      </c>
      <c r="Z93" s="130" t="n">
        <v>1</v>
      </c>
      <c r="AA93" s="130" t="n">
        <v>1</v>
      </c>
      <c r="AB93" s="130" t="n">
        <v>1</v>
      </c>
      <c r="AC93" s="130" t="n">
        <v>1</v>
      </c>
    </row>
    <row r="94" customFormat="false" ht="12.8" hidden="false" customHeight="false" outlineLevel="0" collapsed="false">
      <c r="A94" s="130"/>
      <c r="B94" s="130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</row>
    <row r="95" customFormat="false" ht="12.8" hidden="false" customHeight="false" outlineLevel="0" collapsed="false">
      <c r="A95" s="130"/>
      <c r="B95" s="130"/>
      <c r="C95" s="130"/>
      <c r="D95" s="130"/>
      <c r="E95" s="130"/>
      <c r="F95" s="130"/>
      <c r="G95" s="130"/>
      <c r="H95" s="130"/>
      <c r="I95" s="130"/>
      <c r="J95" s="130"/>
      <c r="K95" s="130"/>
      <c r="L95" s="130"/>
      <c r="M95" s="130"/>
      <c r="N95" s="130"/>
      <c r="O95" s="130"/>
      <c r="P95" s="130"/>
      <c r="Q95" s="130"/>
      <c r="R95" s="130"/>
      <c r="S95" s="130"/>
      <c r="T95" s="130"/>
      <c r="U95" s="130"/>
      <c r="V95" s="130"/>
      <c r="W95" s="130"/>
      <c r="X95" s="130"/>
      <c r="Y95" s="130"/>
      <c r="Z95" s="130"/>
      <c r="AA95" s="130"/>
      <c r="AB95" s="130"/>
      <c r="AC95" s="130"/>
    </row>
    <row r="96" customFormat="false" ht="12.8" hidden="false" customHeight="false" outlineLevel="0" collapsed="false">
      <c r="A96" s="130"/>
      <c r="B96" s="130"/>
      <c r="C96" s="130"/>
      <c r="D96" s="130"/>
      <c r="E96" s="130"/>
      <c r="F96" s="130"/>
      <c r="G96" s="130"/>
      <c r="H96" s="130"/>
      <c r="I96" s="130"/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</row>
    <row r="97" customFormat="false" ht="12.8" hidden="false" customHeight="false" outlineLevel="0" collapsed="false">
      <c r="A97" s="130" t="s">
        <v>310</v>
      </c>
      <c r="B97" s="130" t="n">
        <v>0</v>
      </c>
      <c r="C97" s="130" t="n">
        <v>0</v>
      </c>
      <c r="D97" s="130" t="n">
        <f aca="false">(C97*(16/17))+(B83*(1/17))</f>
        <v>0.00123529411764706</v>
      </c>
      <c r="E97" s="130" t="n">
        <f aca="false">(D97*(16/17))+(C83*(1/17))</f>
        <v>0.00262274740484429</v>
      </c>
      <c r="F97" s="130" t="n">
        <f aca="false">(E97*(16/17))+(D83*(1/17))</f>
        <v>0.00419432720455933</v>
      </c>
      <c r="G97" s="130" t="n">
        <f aca="false">(F97*(16/17))+(E83*(1/17))</f>
        <v>0.00598756748240878</v>
      </c>
      <c r="H97" s="130" t="n">
        <f aca="false">(G97*(16/17))+(F83*(1/17))</f>
        <v>0.00804659674220215</v>
      </c>
      <c r="I97" s="130" t="n">
        <f aca="false">(H97*(16/17))+(G83*(1/17))</f>
        <v>0.0104233521521017</v>
      </c>
      <c r="J97" s="130" t="n">
        <f aca="false">(I97*(16/17))+(H83*(1/17))</f>
        <v>0.0131790138229078</v>
      </c>
      <c r="K97" s="130" t="n">
        <f aca="false">(J97*(16/17))+(I83*(1/17))</f>
        <v>0.0163856993543228</v>
      </c>
      <c r="L97" s="130" t="n">
        <f aca="false">(K97*(16/17))+(J83*(1/17))</f>
        <v>0.0201284660632996</v>
      </c>
      <c r="M97" s="130" t="n">
        <f aca="false">(L97*(16/17))+(K83*(1/17))</f>
        <v>0.0245076769352813</v>
      </c>
      <c r="N97" s="130" t="n">
        <f aca="false">(M97*(16/17))+(L83*(1/17))</f>
        <v>0.0296417965360543</v>
      </c>
      <c r="O97" s="130" t="n">
        <f aca="false">(N97*(16/17))+(M83*(1/17))</f>
        <v>0.0356706951748414</v>
      </c>
      <c r="P97" s="130" t="n">
        <f aca="false">(O97*(16/17))+(N83*(1/17))</f>
        <v>0.0427595538559333</v>
      </c>
      <c r="Q97" s="130" t="n">
        <f aca="false">(P97*(16/17))+(O83*(1/17))</f>
        <v>0.0511034793958503</v>
      </c>
      <c r="R97" s="130" t="n">
        <f aca="false">(Q97*(16/17))+(P83*(1/17))</f>
        <v>0.0609329589876713</v>
      </c>
      <c r="S97" s="130" t="n">
        <f aca="false">(R97*(16/17))+(Q83*(1/17))</f>
        <v>0.0725203070215698</v>
      </c>
      <c r="T97" s="130" t="n">
        <f aca="false">(S97*(16/17))+(R83*(1/17))</f>
        <v>0.0861872847801</v>
      </c>
      <c r="U97" s="130" t="n">
        <f aca="false">(T97*(16/17))+(S83*(1/17))</f>
        <v>0.102314106497706</v>
      </c>
      <c r="V97" s="130" t="n">
        <f aca="false">(U97*(16/17))+(T83*(1/17))</f>
        <v>0.121350084127467</v>
      </c>
      <c r="W97" s="130" t="n">
        <f aca="false">(V97*(16/17))+(U83*(1/17))</f>
        <v>0.14382620908307</v>
      </c>
      <c r="X97" s="130" t="n">
        <f aca="false">(W97*(16/17))+(V83*(1/17))</f>
        <v>0.170370023507393</v>
      </c>
      <c r="Y97" s="130" t="n">
        <f aca="false">(X97*(16/17))+(W83*(1/17))</f>
        <v>0.201723197782165</v>
      </c>
      <c r="Z97" s="130" t="n">
        <f aca="false">(Y97*(16/17))+(X83*(1/17))</f>
        <v>0.23876230683398</v>
      </c>
      <c r="AA97" s="130" t="n">
        <f aca="false">(Z97*(16/17))+(Y83*(1/17))</f>
        <v>0.282523387435845</v>
      </c>
      <c r="AB97" s="130" t="n">
        <f aca="false">(AA97*(16/17))+(Z83*(1/17))</f>
        <v>0.324727894057266</v>
      </c>
      <c r="AC97" s="130" t="n">
        <f aca="false">(AB97*(16/17))+(AA83*(1/17))</f>
        <v>0.364449782642132</v>
      </c>
    </row>
    <row r="98" customFormat="false" ht="12.8" hidden="false" customHeight="false" outlineLevel="0" collapsed="false">
      <c r="A98" s="130" t="s">
        <v>298</v>
      </c>
      <c r="B98" s="130" t="n">
        <f aca="false">B109/1144</f>
        <v>0</v>
      </c>
      <c r="C98" s="130" t="n">
        <f aca="false">C109/1144</f>
        <v>0</v>
      </c>
      <c r="D98" s="130" t="n">
        <f aca="false">D109/1144</f>
        <v>0.00714285714285714</v>
      </c>
      <c r="E98" s="130" t="n">
        <f aca="false">E109/1144</f>
        <v>0.0155857142857143</v>
      </c>
      <c r="F98" s="130" t="n">
        <f aca="false">F109/1144</f>
        <v>0.0255651714285714</v>
      </c>
      <c r="G98" s="130" t="n">
        <f aca="false">G109/1144</f>
        <v>0.0373608897714286</v>
      </c>
      <c r="H98" s="130" t="n">
        <f aca="false">H109/1144</f>
        <v>0.0513034288526857</v>
      </c>
      <c r="I98" s="130" t="n">
        <f aca="false">I109/1144</f>
        <v>0.0677835100467316</v>
      </c>
      <c r="J98" s="130" t="n">
        <f aca="false">J109/1144</f>
        <v>0.0872629660180939</v>
      </c>
      <c r="K98" s="130" t="n">
        <f aca="false">K109/1144</f>
        <v>0.109136447128337</v>
      </c>
      <c r="L98" s="130" t="n">
        <f aca="false">L109/1144</f>
        <v>0.134743243340098</v>
      </c>
      <c r="M98" s="130" t="n">
        <f aca="false">M109/1144</f>
        <v>0.16466446688337</v>
      </c>
      <c r="N98" s="130" t="n">
        <f aca="false">N109/1144</f>
        <v>0.199547934824423</v>
      </c>
      <c r="O98" s="130" t="n">
        <f aca="false">O109/1144</f>
        <v>0.24010479863981</v>
      </c>
      <c r="P98" s="130" t="n">
        <f aca="false">P109/1144</f>
        <v>0.287099400699141</v>
      </c>
      <c r="Q98" s="130" t="n">
        <f aca="false">Q109/1144</f>
        <v>0.341328678799783</v>
      </c>
      <c r="R98" s="130" t="n">
        <f aca="false">R109/1144</f>
        <v>0.400472942912193</v>
      </c>
      <c r="S98" s="130" t="n">
        <f aca="false">S109/1144</f>
        <v>0.467290553716805</v>
      </c>
      <c r="T98" s="130" t="n">
        <f aca="false">T109/1144</f>
        <v>0.54202197462751</v>
      </c>
      <c r="U98" s="130" t="n">
        <f aca="false">U109/1144</f>
        <v>0.624538826610102</v>
      </c>
      <c r="V98" s="130" t="n">
        <f aca="false">V109/1144</f>
        <v>0.7128965665706</v>
      </c>
      <c r="W98" s="130" t="n">
        <f aca="false">W109/1144</f>
        <v>0.792279026174366</v>
      </c>
      <c r="X98" s="130" t="n">
        <f aca="false">X109/1144</f>
        <v>0.861427434959505</v>
      </c>
      <c r="Y98" s="130" t="n">
        <f aca="false">Y109/1144</f>
        <v>0.916123975451137</v>
      </c>
      <c r="Z98" s="130" t="n">
        <f aca="false">Z109/1144</f>
        <v>0.958113854149049</v>
      </c>
      <c r="AA98" s="130" t="n">
        <f aca="false">AA109/1144</f>
        <v>0.986338895409358</v>
      </c>
      <c r="AB98" s="130" t="n">
        <f aca="false">AB109/1144</f>
        <v>1</v>
      </c>
      <c r="AC98" s="130" t="n">
        <f aca="false">AC109/1144</f>
        <v>1</v>
      </c>
    </row>
    <row r="99" customFormat="false" ht="12.8" hidden="false" customHeight="false" outlineLevel="0" collapsed="false">
      <c r="A99" s="130" t="s">
        <v>299</v>
      </c>
      <c r="B99" s="130" t="n">
        <f aca="false">B120/1144</f>
        <v>0</v>
      </c>
      <c r="C99" s="130" t="n">
        <f aca="false">C120/1144</f>
        <v>0</v>
      </c>
      <c r="D99" s="130" t="n">
        <f aca="false">D120/1144</f>
        <v>0.01</v>
      </c>
      <c r="E99" s="130" t="n">
        <f aca="false">E120/1144</f>
        <v>0.02182</v>
      </c>
      <c r="F99" s="130" t="n">
        <f aca="false">F120/1144</f>
        <v>0.03579124</v>
      </c>
      <c r="G99" s="130" t="n">
        <f aca="false">G120/1144</f>
        <v>0.05230524568</v>
      </c>
      <c r="H99" s="130" t="n">
        <f aca="false">H120/1144</f>
        <v>0.07182480039376</v>
      </c>
      <c r="I99" s="130" t="n">
        <f aca="false">I120/1144</f>
        <v>0.0948969140654243</v>
      </c>
      <c r="J99" s="130" t="n">
        <f aca="false">J120/1144</f>
        <v>0.122168152425332</v>
      </c>
      <c r="K99" s="130" t="n">
        <f aca="false">K120/1144</f>
        <v>0.152146333904843</v>
      </c>
      <c r="L99" s="130" t="n">
        <f aca="false">L120/1144</f>
        <v>0.187095133830957</v>
      </c>
      <c r="M99" s="130" t="n">
        <f aca="false">M120/1144</f>
        <v>0.227726436568724</v>
      </c>
      <c r="N99" s="130" t="n">
        <f aca="false">N120/1144</f>
        <v>0.274805136562059</v>
      </c>
      <c r="O99" s="130" t="n">
        <f aca="false">O120/1144</f>
        <v>0.329128385183944</v>
      </c>
      <c r="P99" s="130" t="n">
        <f aca="false">P120/1144</f>
        <v>0.391488987552919</v>
      </c>
      <c r="Q99" s="130" t="n">
        <f aca="false">Q120/1144</f>
        <v>0.46261527014741</v>
      </c>
      <c r="R99" s="130" t="n">
        <f aca="false">R120/1144</f>
        <v>0.53744415666389</v>
      </c>
      <c r="S99" s="130" t="n">
        <f aca="false">S120/1144</f>
        <v>0.620053827581326</v>
      </c>
      <c r="T99" s="130" t="n">
        <f aca="false">T120/1144</f>
        <v>0.708308427700703</v>
      </c>
      <c r="U99" s="130" t="n">
        <f aca="false">U120/1144</f>
        <v>0.78757286488451</v>
      </c>
      <c r="V99" s="130" t="n">
        <f aca="false">V120/1144</f>
        <v>0.856587204406008</v>
      </c>
      <c r="W99" s="130" t="n">
        <f aca="false">W120/1144</f>
        <v>0.914011631222512</v>
      </c>
      <c r="X99" s="130" t="n">
        <f aca="false">X120/1144</f>
        <v>0.958471253125256</v>
      </c>
      <c r="Y99" s="130" t="n">
        <f aca="false">Y120/1144</f>
        <v>0.986521327986407</v>
      </c>
      <c r="Z99" s="130" t="n">
        <f aca="false">Z120/1144</f>
        <v>1</v>
      </c>
      <c r="AA99" s="130" t="n">
        <f aca="false">AA120/1144</f>
        <v>1</v>
      </c>
      <c r="AB99" s="130" t="n">
        <f aca="false">AB120/1144</f>
        <v>1</v>
      </c>
      <c r="AC99" s="130" t="n">
        <f aca="false">AC120/1144</f>
        <v>1</v>
      </c>
    </row>
    <row r="100" customFormat="false" ht="12.8" hidden="false" customHeight="false" outlineLevel="0" collapsed="false">
      <c r="A100" s="130" t="s">
        <v>300</v>
      </c>
      <c r="B100" s="130" t="n">
        <f aca="false">B131/1144</f>
        <v>0</v>
      </c>
      <c r="C100" s="130" t="n">
        <f aca="false">C131/1144</f>
        <v>0</v>
      </c>
      <c r="D100" s="130" t="n">
        <f aca="false">D131/1144</f>
        <v>0.02</v>
      </c>
      <c r="E100" s="130" t="n">
        <f aca="false">E131/1144</f>
        <v>0.04364</v>
      </c>
      <c r="F100" s="130" t="n">
        <f aca="false">F131/1144</f>
        <v>0.07158248</v>
      </c>
      <c r="G100" s="130" t="n">
        <f aca="false">G131/1144</f>
        <v>0.10461049136</v>
      </c>
      <c r="H100" s="130" t="n">
        <f aca="false">H131/1144</f>
        <v>0.14364960078752</v>
      </c>
      <c r="I100" s="130" t="n">
        <f aca="false">I131/1144</f>
        <v>0.189793828130849</v>
      </c>
      <c r="J100" s="130" t="n">
        <f aca="false">J131/1144</f>
        <v>0.244336304850663</v>
      </c>
      <c r="K100" s="130" t="n">
        <f aca="false">K131/1144</f>
        <v>0.299779823285889</v>
      </c>
      <c r="L100" s="130" t="n">
        <f aca="false">L131/1144</f>
        <v>0.363372419745651</v>
      </c>
      <c r="M100" s="130" t="n">
        <f aca="false">M131/1144</f>
        <v>0.435826153661488</v>
      </c>
      <c r="N100" s="130" t="n">
        <f aca="false">N131/1144</f>
        <v>0.517676467779191</v>
      </c>
      <c r="O100" s="130" t="n">
        <f aca="false">O131/1144</f>
        <v>0.609128439985365</v>
      </c>
      <c r="P100" s="130" t="n">
        <f aca="false">P131/1144</f>
        <v>0.705841355499179</v>
      </c>
      <c r="Q100" s="130" t="n">
        <f aca="false">Q131/1144</f>
        <v>0.794156021636508</v>
      </c>
      <c r="R100" s="130" t="n">
        <f aca="false">R131/1144</f>
        <v>0.861569646058425</v>
      </c>
      <c r="S100" s="130" t="n">
        <f aca="false">S131/1144</f>
        <v>0.917194192455806</v>
      </c>
      <c r="T100" s="130" t="n">
        <f aca="false">T131/1144</f>
        <v>0.959655121397111</v>
      </c>
      <c r="U100" s="130" t="n">
        <f aca="false">U131/1144</f>
        <v>0.987633938776551</v>
      </c>
      <c r="V100" s="130" t="n">
        <f aca="false">V131/1144</f>
        <v>1</v>
      </c>
      <c r="W100" s="130" t="n">
        <f aca="false">W131/1144</f>
        <v>1</v>
      </c>
      <c r="X100" s="130" t="n">
        <f aca="false">X131/1144</f>
        <v>1</v>
      </c>
      <c r="Y100" s="130" t="n">
        <f aca="false">Y131/1144</f>
        <v>1</v>
      </c>
      <c r="Z100" s="130" t="n">
        <f aca="false">Z131/1144</f>
        <v>1</v>
      </c>
      <c r="AA100" s="130" t="n">
        <f aca="false">AA131/1144</f>
        <v>1</v>
      </c>
      <c r="AB100" s="130" t="n">
        <f aca="false">AB131/1144</f>
        <v>1</v>
      </c>
      <c r="AC100" s="130" t="n">
        <f aca="false">AC131/1144</f>
        <v>1</v>
      </c>
    </row>
    <row r="101" customFormat="false" ht="12.8" hidden="false" customHeight="false" outlineLevel="0" collapsed="false">
      <c r="A101" s="130" t="s">
        <v>301</v>
      </c>
      <c r="B101" s="130" t="n">
        <f aca="false">B142/1144</f>
        <v>0</v>
      </c>
      <c r="C101" s="130" t="n">
        <f aca="false">C142/1144</f>
        <v>0</v>
      </c>
      <c r="D101" s="130" t="n">
        <f aca="false">D142/1144</f>
        <v>0.0357142857142857</v>
      </c>
      <c r="E101" s="130" t="n">
        <f aca="false">E142/1144</f>
        <v>0.0779285714285714</v>
      </c>
      <c r="F101" s="130" t="n">
        <f aca="false">F142/1144</f>
        <v>0.127825857142857</v>
      </c>
      <c r="G101" s="130" t="n">
        <f aca="false">G142/1144</f>
        <v>0.186804448857143</v>
      </c>
      <c r="H101" s="130" t="n">
        <f aca="false">H142/1144</f>
        <v>0.256517144263429</v>
      </c>
      <c r="I101" s="130" t="n">
        <f aca="false">I142/1144</f>
        <v>0.338917550233658</v>
      </c>
      <c r="J101" s="130" t="n">
        <f aca="false">J142/1144</f>
        <v>0.43631483009047</v>
      </c>
      <c r="K101" s="130" t="n">
        <f aca="false">K142/1144</f>
        <v>0.522657518683533</v>
      </c>
      <c r="L101" s="130" t="n">
        <f aca="false">L142/1144</f>
        <v>0.618523115086903</v>
      </c>
      <c r="M101" s="130" t="n">
        <f aca="false">M142/1144</f>
        <v>0.71148297222976</v>
      </c>
      <c r="N101" s="130" t="n">
        <f aca="false">N142/1144</f>
        <v>0.795361523372617</v>
      </c>
      <c r="O101" s="130" t="n">
        <f aca="false">O142/1144</f>
        <v>0.868505970823474</v>
      </c>
      <c r="P101" s="130" t="n">
        <f aca="false">P142/1144</f>
        <v>0.928962707710387</v>
      </c>
      <c r="Q101" s="130" t="n">
        <f aca="false">Q142/1144</f>
        <v>0.974422570710719</v>
      </c>
      <c r="R101" s="130" t="n">
        <f aca="false">R142/1144</f>
        <v>0.995222739260512</v>
      </c>
      <c r="S101" s="130" t="n">
        <f aca="false">S142/1144</f>
        <v>1</v>
      </c>
      <c r="T101" s="130" t="n">
        <f aca="false">T142/1144</f>
        <v>1</v>
      </c>
      <c r="U101" s="130" t="n">
        <f aca="false">U142/1144</f>
        <v>1</v>
      </c>
      <c r="V101" s="130" t="n">
        <f aca="false">V142/1144</f>
        <v>1</v>
      </c>
      <c r="W101" s="130" t="n">
        <f aca="false">W142/1144</f>
        <v>1</v>
      </c>
      <c r="X101" s="130" t="n">
        <f aca="false">X142/1144</f>
        <v>1</v>
      </c>
      <c r="Y101" s="130" t="n">
        <f aca="false">Y142/1144</f>
        <v>1</v>
      </c>
      <c r="Z101" s="130" t="n">
        <f aca="false">Z142/1144</f>
        <v>1</v>
      </c>
      <c r="AA101" s="130" t="n">
        <f aca="false">AA142/1144</f>
        <v>1</v>
      </c>
      <c r="AB101" s="130" t="n">
        <f aca="false">AB142/1144</f>
        <v>1</v>
      </c>
      <c r="AC101" s="130" t="n">
        <f aca="false">AC142/1144</f>
        <v>1</v>
      </c>
    </row>
    <row r="102" customFormat="false" ht="12.8" hidden="false" customHeight="false" outlineLevel="0" collapsed="false">
      <c r="A102" s="130"/>
      <c r="B102" s="130"/>
      <c r="C102" s="130"/>
      <c r="D102" s="130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</row>
    <row r="103" customFormat="false" ht="12.8" hidden="false" customHeight="false" outlineLevel="0" collapsed="false">
      <c r="A103" s="130" t="s">
        <v>298</v>
      </c>
      <c r="B103" s="0"/>
      <c r="C103" s="130" t="n">
        <f aca="false">C109/1144</f>
        <v>0</v>
      </c>
      <c r="D103" s="130" t="n">
        <f aca="false">D109/1144</f>
        <v>0.00714285714285714</v>
      </c>
      <c r="E103" s="130" t="n">
        <f aca="false">E109/1144</f>
        <v>0.0155857142857143</v>
      </c>
      <c r="F103" s="130" t="n">
        <f aca="false">F109/1144</f>
        <v>0.0255651714285714</v>
      </c>
      <c r="G103" s="130" t="n">
        <f aca="false">G109/1144</f>
        <v>0.0373608897714286</v>
      </c>
      <c r="H103" s="130" t="n">
        <f aca="false">H109/1144</f>
        <v>0.0513034288526857</v>
      </c>
      <c r="I103" s="130" t="n">
        <f aca="false">I109/1144</f>
        <v>0.0677835100467316</v>
      </c>
      <c r="J103" s="130" t="n">
        <f aca="false">J109/1144</f>
        <v>0.0872629660180939</v>
      </c>
      <c r="K103" s="130" t="n">
        <f aca="false">K109/1144</f>
        <v>0.109136447128337</v>
      </c>
      <c r="L103" s="130" t="n">
        <f aca="false">L109/1144</f>
        <v>0.134743243340098</v>
      </c>
      <c r="M103" s="130" t="n">
        <f aca="false">M109/1144</f>
        <v>0.16466446688337</v>
      </c>
      <c r="N103" s="130" t="n">
        <f aca="false">N109/1144</f>
        <v>0.199547934824423</v>
      </c>
      <c r="O103" s="130" t="n">
        <f aca="false">O109/1144</f>
        <v>0.24010479863981</v>
      </c>
      <c r="P103" s="130" t="n">
        <f aca="false">P109/1144</f>
        <v>0.287099400699141</v>
      </c>
      <c r="Q103" s="130" t="n">
        <f aca="false">Q109/1144</f>
        <v>0.341328678799783</v>
      </c>
      <c r="R103" s="130" t="n">
        <f aca="false">R109/1144</f>
        <v>0.400472942912193</v>
      </c>
      <c r="S103" s="130" t="n">
        <f aca="false">S109/1144</f>
        <v>0.467290553716805</v>
      </c>
      <c r="T103" s="130" t="n">
        <f aca="false">T109/1144</f>
        <v>0.54202197462751</v>
      </c>
      <c r="U103" s="130" t="n">
        <f aca="false">U109/1144</f>
        <v>0.624538826610102</v>
      </c>
      <c r="V103" s="130" t="n">
        <f aca="false">V109/1144</f>
        <v>0.7128965665706</v>
      </c>
      <c r="W103" s="130" t="n">
        <f aca="false">W109/1144</f>
        <v>0.792279026174366</v>
      </c>
      <c r="X103" s="130" t="n">
        <f aca="false">X109/1144</f>
        <v>0.861427434959505</v>
      </c>
      <c r="Y103" s="130" t="n">
        <f aca="false">Y109/1144</f>
        <v>0.916123975451137</v>
      </c>
      <c r="Z103" s="130" t="n">
        <f aca="false">Z109/1144</f>
        <v>0.958113854149049</v>
      </c>
      <c r="AA103" s="130" t="n">
        <f aca="false">AA109/1144</f>
        <v>0.986338895409358</v>
      </c>
      <c r="AB103" s="130" t="n">
        <f aca="false">AB109/1144</f>
        <v>1</v>
      </c>
      <c r="AC103" s="130" t="n">
        <f aca="false">AC109/1144</f>
        <v>1</v>
      </c>
    </row>
    <row r="104" customFormat="false" ht="12.8" hidden="false" customHeight="false" outlineLevel="0" collapsed="false">
      <c r="A104" s="130" t="s">
        <v>299</v>
      </c>
      <c r="B104" s="0"/>
      <c r="C104" s="130" t="n">
        <f aca="false">C120/1144</f>
        <v>0</v>
      </c>
      <c r="D104" s="130" t="n">
        <f aca="false">D120/1144</f>
        <v>0.01</v>
      </c>
      <c r="E104" s="130" t="n">
        <f aca="false">E120/1144</f>
        <v>0.02182</v>
      </c>
      <c r="F104" s="130" t="n">
        <f aca="false">F120/1144</f>
        <v>0.03579124</v>
      </c>
      <c r="G104" s="130" t="n">
        <f aca="false">G120/1144</f>
        <v>0.05230524568</v>
      </c>
      <c r="H104" s="130" t="n">
        <f aca="false">H120/1144</f>
        <v>0.07182480039376</v>
      </c>
      <c r="I104" s="130" t="n">
        <f aca="false">I120/1144</f>
        <v>0.0948969140654243</v>
      </c>
      <c r="J104" s="130" t="n">
        <f aca="false">J120/1144</f>
        <v>0.122168152425332</v>
      </c>
      <c r="K104" s="130" t="n">
        <f aca="false">K120/1144</f>
        <v>0.152146333904843</v>
      </c>
      <c r="L104" s="130" t="n">
        <f aca="false">L120/1144</f>
        <v>0.187095133830957</v>
      </c>
      <c r="M104" s="130" t="n">
        <f aca="false">M120/1144</f>
        <v>0.227726436568724</v>
      </c>
      <c r="N104" s="130" t="n">
        <f aca="false">N120/1144</f>
        <v>0.274805136562059</v>
      </c>
      <c r="O104" s="130" t="n">
        <f aca="false">O120/1144</f>
        <v>0.329128385183944</v>
      </c>
      <c r="P104" s="130" t="n">
        <f aca="false">P120/1144</f>
        <v>0.391488987552919</v>
      </c>
      <c r="Q104" s="130" t="n">
        <f aca="false">Q120/1144</f>
        <v>0.46261527014741</v>
      </c>
      <c r="R104" s="130" t="n">
        <f aca="false">R120/1144</f>
        <v>0.53744415666389</v>
      </c>
      <c r="S104" s="130" t="n">
        <f aca="false">S120/1144</f>
        <v>0.620053827581326</v>
      </c>
      <c r="T104" s="130" t="n">
        <f aca="false">T120/1144</f>
        <v>0.708308427700703</v>
      </c>
      <c r="U104" s="130" t="n">
        <f aca="false">U120/1144</f>
        <v>0.78757286488451</v>
      </c>
      <c r="V104" s="130" t="n">
        <f aca="false">V120/1144</f>
        <v>0.856587204406008</v>
      </c>
      <c r="W104" s="130" t="n">
        <f aca="false">W120/1144</f>
        <v>0.914011631222512</v>
      </c>
      <c r="X104" s="130" t="n">
        <f aca="false">X120/1144</f>
        <v>0.958471253125256</v>
      </c>
      <c r="Y104" s="130" t="n">
        <f aca="false">Y120/1144</f>
        <v>0.986521327986407</v>
      </c>
      <c r="Z104" s="130" t="n">
        <f aca="false">Z120/1144</f>
        <v>1</v>
      </c>
      <c r="AA104" s="130" t="n">
        <f aca="false">AA120/1144</f>
        <v>1</v>
      </c>
      <c r="AB104" s="130" t="n">
        <f aca="false">AB120/1144</f>
        <v>1</v>
      </c>
      <c r="AC104" s="130" t="n">
        <f aca="false">AC120/1144</f>
        <v>1</v>
      </c>
    </row>
    <row r="105" customFormat="false" ht="12.8" hidden="false" customHeight="false" outlineLevel="0" collapsed="false">
      <c r="A105" s="130" t="s">
        <v>300</v>
      </c>
      <c r="B105" s="0"/>
      <c r="C105" s="130" t="n">
        <f aca="false">C131/1144</f>
        <v>0</v>
      </c>
      <c r="D105" s="130" t="n">
        <f aca="false">D131/1144</f>
        <v>0.02</v>
      </c>
      <c r="E105" s="130" t="n">
        <f aca="false">E131/1144</f>
        <v>0.04364</v>
      </c>
      <c r="F105" s="130" t="n">
        <f aca="false">F131/1144</f>
        <v>0.07158248</v>
      </c>
      <c r="G105" s="130" t="n">
        <f aca="false">G131/1144</f>
        <v>0.10461049136</v>
      </c>
      <c r="H105" s="130" t="n">
        <f aca="false">H131/1144</f>
        <v>0.14364960078752</v>
      </c>
      <c r="I105" s="130" t="n">
        <f aca="false">I131/1144</f>
        <v>0.189793828130849</v>
      </c>
      <c r="J105" s="130" t="n">
        <f aca="false">J131/1144</f>
        <v>0.244336304850663</v>
      </c>
      <c r="K105" s="130" t="n">
        <f aca="false">K131/1144</f>
        <v>0.299779823285889</v>
      </c>
      <c r="L105" s="130" t="n">
        <f aca="false">L131/1144</f>
        <v>0.363372419745651</v>
      </c>
      <c r="M105" s="130" t="n">
        <f aca="false">M131/1144</f>
        <v>0.435826153661488</v>
      </c>
      <c r="N105" s="130" t="n">
        <f aca="false">N131/1144</f>
        <v>0.517676467779191</v>
      </c>
      <c r="O105" s="130" t="n">
        <f aca="false">O131/1144</f>
        <v>0.609128439985365</v>
      </c>
      <c r="P105" s="130" t="n">
        <f aca="false">P131/1144</f>
        <v>0.705841355499179</v>
      </c>
      <c r="Q105" s="130" t="n">
        <f aca="false">Q131/1144</f>
        <v>0.794156021636508</v>
      </c>
      <c r="R105" s="130" t="n">
        <f aca="false">R131/1144</f>
        <v>0.861569646058425</v>
      </c>
      <c r="S105" s="130" t="n">
        <f aca="false">S131/1144</f>
        <v>0.917194192455806</v>
      </c>
      <c r="T105" s="130" t="n">
        <f aca="false">T131/1144</f>
        <v>0.959655121397111</v>
      </c>
      <c r="U105" s="130" t="n">
        <f aca="false">U131/1144</f>
        <v>0.987633938776551</v>
      </c>
      <c r="V105" s="130" t="n">
        <f aca="false">V131/1144</f>
        <v>1</v>
      </c>
      <c r="W105" s="130" t="n">
        <f aca="false">W131/1144</f>
        <v>1</v>
      </c>
      <c r="X105" s="130" t="n">
        <f aca="false">X131/1144</f>
        <v>1</v>
      </c>
      <c r="Y105" s="130" t="n">
        <f aca="false">Y131/1144</f>
        <v>1</v>
      </c>
      <c r="Z105" s="130" t="n">
        <f aca="false">Z131/1144</f>
        <v>1</v>
      </c>
      <c r="AA105" s="130" t="n">
        <f aca="false">AA131/1144</f>
        <v>1</v>
      </c>
      <c r="AB105" s="130" t="n">
        <f aca="false">AB131/1144</f>
        <v>1</v>
      </c>
      <c r="AC105" s="130" t="n">
        <f aca="false">AC131/1144</f>
        <v>1</v>
      </c>
    </row>
    <row r="106" customFormat="false" ht="12.8" hidden="false" customHeight="false" outlineLevel="0" collapsed="false">
      <c r="A106" s="130" t="s">
        <v>301</v>
      </c>
      <c r="B106" s="0"/>
      <c r="C106" s="130" t="n">
        <f aca="false">C142/1144</f>
        <v>0</v>
      </c>
      <c r="D106" s="130" t="n">
        <f aca="false">D142/1144</f>
        <v>0.0357142857142857</v>
      </c>
      <c r="E106" s="130" t="n">
        <f aca="false">E142/1144</f>
        <v>0.0779285714285714</v>
      </c>
      <c r="F106" s="130" t="n">
        <f aca="false">F142/1144</f>
        <v>0.127825857142857</v>
      </c>
      <c r="G106" s="130" t="n">
        <f aca="false">G142/1144</f>
        <v>0.186804448857143</v>
      </c>
      <c r="H106" s="130" t="n">
        <f aca="false">H142/1144</f>
        <v>0.256517144263429</v>
      </c>
      <c r="I106" s="130" t="n">
        <f aca="false">I142/1144</f>
        <v>0.338917550233658</v>
      </c>
      <c r="J106" s="130" t="n">
        <f aca="false">J142/1144</f>
        <v>0.43631483009047</v>
      </c>
      <c r="K106" s="130" t="n">
        <f aca="false">K142/1144</f>
        <v>0.522657518683533</v>
      </c>
      <c r="L106" s="130" t="n">
        <f aca="false">L142/1144</f>
        <v>0.618523115086903</v>
      </c>
      <c r="M106" s="130" t="n">
        <f aca="false">M142/1144</f>
        <v>0.71148297222976</v>
      </c>
      <c r="N106" s="130" t="n">
        <f aca="false">N142/1144</f>
        <v>0.795361523372617</v>
      </c>
      <c r="O106" s="130" t="n">
        <f aca="false">O142/1144</f>
        <v>0.868505970823474</v>
      </c>
      <c r="P106" s="130" t="n">
        <f aca="false">P142/1144</f>
        <v>0.928962707710387</v>
      </c>
      <c r="Q106" s="130" t="n">
        <f aca="false">Q142/1144</f>
        <v>0.974422570710719</v>
      </c>
      <c r="R106" s="130" t="n">
        <f aca="false">R142/1144</f>
        <v>0.995222739260512</v>
      </c>
      <c r="S106" s="130" t="n">
        <f aca="false">S142/1144</f>
        <v>1</v>
      </c>
      <c r="T106" s="130" t="n">
        <f aca="false">T142/1144</f>
        <v>1</v>
      </c>
      <c r="U106" s="130" t="n">
        <f aca="false">U142/1144</f>
        <v>1</v>
      </c>
      <c r="V106" s="130" t="n">
        <f aca="false">V142/1144</f>
        <v>1</v>
      </c>
      <c r="W106" s="130" t="n">
        <f aca="false">W142/1144</f>
        <v>1</v>
      </c>
      <c r="X106" s="130" t="n">
        <f aca="false">X142/1144</f>
        <v>1</v>
      </c>
      <c r="Y106" s="130" t="n">
        <f aca="false">Y142/1144</f>
        <v>1</v>
      </c>
      <c r="Z106" s="130" t="n">
        <f aca="false">Z142/1144</f>
        <v>1</v>
      </c>
      <c r="AA106" s="130" t="n">
        <f aca="false">AA142/1144</f>
        <v>1</v>
      </c>
      <c r="AB106" s="130" t="n">
        <f aca="false">AB142/1144</f>
        <v>1</v>
      </c>
      <c r="AC106" s="130" t="n">
        <f aca="false">AC142/1144</f>
        <v>1</v>
      </c>
    </row>
    <row r="107" customFormat="false" ht="12.8" hidden="false" customHeight="false" outlineLevel="0" collapsed="false">
      <c r="A107" s="130"/>
      <c r="B107" s="130"/>
      <c r="C107" s="130"/>
      <c r="D107" s="130"/>
      <c r="E107" s="130"/>
      <c r="F107" s="130"/>
      <c r="G107" s="130"/>
      <c r="H107" s="130"/>
      <c r="I107" s="130"/>
      <c r="J107" s="130"/>
      <c r="K107" s="130"/>
      <c r="L107" s="130"/>
      <c r="M107" s="130"/>
      <c r="N107" s="130"/>
      <c r="O107" s="130"/>
      <c r="P107" s="130"/>
      <c r="Q107" s="130"/>
      <c r="R107" s="130"/>
      <c r="S107" s="130"/>
      <c r="T107" s="130"/>
      <c r="U107" s="130"/>
      <c r="V107" s="130"/>
      <c r="W107" s="130"/>
      <c r="X107" s="130"/>
      <c r="Y107" s="130"/>
      <c r="Z107" s="130"/>
      <c r="AA107" s="130"/>
      <c r="AB107" s="130"/>
      <c r="AC107" s="130"/>
    </row>
    <row r="108" customFormat="false" ht="12.8" hidden="false" customHeight="false" outlineLevel="0" collapsed="false">
      <c r="A108" s="130" t="s">
        <v>311</v>
      </c>
      <c r="B108" s="124" t="n">
        <v>2023</v>
      </c>
      <c r="C108" s="124" t="n">
        <v>2024</v>
      </c>
      <c r="D108" s="124" t="n">
        <v>2025</v>
      </c>
      <c r="E108" s="124" t="n">
        <v>2026</v>
      </c>
      <c r="F108" s="124" t="n">
        <v>2027</v>
      </c>
      <c r="G108" s="124" t="n">
        <v>2028</v>
      </c>
      <c r="H108" s="124" t="n">
        <v>2029</v>
      </c>
      <c r="I108" s="124" t="n">
        <v>2030</v>
      </c>
      <c r="J108" s="124" t="n">
        <v>2031</v>
      </c>
      <c r="K108" s="124" t="n">
        <v>2032</v>
      </c>
      <c r="L108" s="124" t="n">
        <v>2033</v>
      </c>
      <c r="M108" s="124" t="n">
        <v>2034</v>
      </c>
      <c r="N108" s="124" t="n">
        <v>2035</v>
      </c>
      <c r="O108" s="124" t="n">
        <v>2036</v>
      </c>
      <c r="P108" s="124" t="n">
        <v>2037</v>
      </c>
      <c r="Q108" s="124" t="n">
        <v>2038</v>
      </c>
      <c r="R108" s="124" t="n">
        <v>2039</v>
      </c>
      <c r="S108" s="124" t="n">
        <v>2040</v>
      </c>
      <c r="T108" s="124" t="n">
        <v>2041</v>
      </c>
      <c r="U108" s="124" t="n">
        <v>2042</v>
      </c>
      <c r="V108" s="124" t="n">
        <v>2043</v>
      </c>
      <c r="W108" s="124" t="n">
        <v>2044</v>
      </c>
      <c r="X108" s="124" t="n">
        <v>2045</v>
      </c>
      <c r="Y108" s="124" t="n">
        <v>2046</v>
      </c>
      <c r="Z108" s="124" t="n">
        <v>2047</v>
      </c>
      <c r="AA108" s="124" t="n">
        <v>2048</v>
      </c>
      <c r="AB108" s="124" t="n">
        <v>2049</v>
      </c>
      <c r="AC108" s="124" t="n">
        <v>2050</v>
      </c>
    </row>
    <row r="109" customFormat="false" ht="12.8" hidden="false" customHeight="false" outlineLevel="0" collapsed="false">
      <c r="A109" s="130" t="s">
        <v>312</v>
      </c>
      <c r="B109" s="136" t="n">
        <v>0</v>
      </c>
      <c r="C109" s="136" t="n">
        <v>0</v>
      </c>
      <c r="D109" s="136" t="n">
        <f aca="false">C109+D111</f>
        <v>8.17142857142857</v>
      </c>
      <c r="E109" s="136" t="n">
        <f aca="false">D109+E111</f>
        <v>17.8300571428571</v>
      </c>
      <c r="F109" s="136" t="n">
        <f aca="false">E109+F111</f>
        <v>29.2465561142857</v>
      </c>
      <c r="G109" s="136" t="n">
        <f aca="false">F109+G111</f>
        <v>42.7408578985143</v>
      </c>
      <c r="H109" s="136" t="n">
        <f aca="false">G109+H111</f>
        <v>58.6911226074724</v>
      </c>
      <c r="I109" s="136" t="n">
        <f aca="false">H109+I111</f>
        <v>77.544335493461</v>
      </c>
      <c r="J109" s="136" t="n">
        <f aca="false">I109+J111</f>
        <v>99.8288331246995</v>
      </c>
      <c r="K109" s="136" t="n">
        <f aca="false">J109+K111</f>
        <v>124.852095514817</v>
      </c>
      <c r="L109" s="136" t="n">
        <f aca="false">K109+L111</f>
        <v>154.146270381072</v>
      </c>
      <c r="M109" s="136" t="n">
        <f aca="false">L109+M111</f>
        <v>188.376150114575</v>
      </c>
      <c r="N109" s="136" t="n">
        <f aca="false">M109+N111</f>
        <v>228.28283743914</v>
      </c>
      <c r="O109" s="136" t="n">
        <f aca="false">N109+O111</f>
        <v>274.679889643942</v>
      </c>
      <c r="P109" s="136" t="n">
        <f aca="false">O109+P111</f>
        <v>328.441714399817</v>
      </c>
      <c r="Q109" s="136" t="n">
        <f aca="false">P109+Q111</f>
        <v>390.480008546951</v>
      </c>
      <c r="R109" s="136" t="n">
        <f aca="false">Q109+R111</f>
        <v>458.141046691549</v>
      </c>
      <c r="S109" s="136" t="n">
        <f aca="false">R109+S111</f>
        <v>534.580393452025</v>
      </c>
      <c r="T109" s="136" t="n">
        <f aca="false">S109+T111</f>
        <v>620.073138973872</v>
      </c>
      <c r="U109" s="136" t="n">
        <f aca="false">T109+U111</f>
        <v>714.472417641956</v>
      </c>
      <c r="V109" s="136" t="n">
        <f aca="false">U109+V111</f>
        <v>815.553672156767</v>
      </c>
      <c r="W109" s="136" t="n">
        <f aca="false">V109+W111</f>
        <v>906.367205943475</v>
      </c>
      <c r="X109" s="136" t="n">
        <f aca="false">W109+X111</f>
        <v>985.472985593674</v>
      </c>
      <c r="Y109" s="136" t="n">
        <f aca="false">X109+Y111</f>
        <v>1048.0458279161</v>
      </c>
      <c r="Z109" s="136" t="n">
        <f aca="false">Y109+Z111</f>
        <v>1096.08224914651</v>
      </c>
      <c r="AA109" s="136" t="n">
        <f aca="false">Z109+AA111</f>
        <v>1128.37169634831</v>
      </c>
      <c r="AB109" s="136" t="n">
        <f aca="false">AA109+AB111</f>
        <v>1144</v>
      </c>
      <c r="AC109" s="136" t="n">
        <f aca="false">AB109+AC111</f>
        <v>1144</v>
      </c>
    </row>
    <row r="110" customFormat="false" ht="12.8" hidden="false" customHeight="false" outlineLevel="0" collapsed="false">
      <c r="A110" s="130" t="s">
        <v>313</v>
      </c>
      <c r="B110" s="136" t="n">
        <v>1144</v>
      </c>
      <c r="C110" s="136" t="n">
        <f aca="false">$B110-C109</f>
        <v>1144</v>
      </c>
      <c r="D110" s="136" t="n">
        <f aca="false">$B110-D109</f>
        <v>1135.82857142857</v>
      </c>
      <c r="E110" s="136" t="n">
        <f aca="false">$B110-E109</f>
        <v>1126.16994285714</v>
      </c>
      <c r="F110" s="136" t="n">
        <f aca="false">$B110-F109</f>
        <v>1114.75344388571</v>
      </c>
      <c r="G110" s="136" t="n">
        <f aca="false">$B110-G109</f>
        <v>1101.25914210149</v>
      </c>
      <c r="H110" s="136" t="n">
        <f aca="false">$B110-H109</f>
        <v>1085.30887739253</v>
      </c>
      <c r="I110" s="136" t="n">
        <f aca="false">$B110-I109</f>
        <v>1066.45566450654</v>
      </c>
      <c r="J110" s="136" t="n">
        <f aca="false">$B110-J109</f>
        <v>1044.1711668753</v>
      </c>
      <c r="K110" s="136" t="n">
        <f aca="false">$B110-K109</f>
        <v>1019.14790448518</v>
      </c>
      <c r="L110" s="136" t="n">
        <f aca="false">$B110-L109</f>
        <v>989.853729618928</v>
      </c>
      <c r="M110" s="136" t="n">
        <f aca="false">$B110-M109</f>
        <v>955.623849885425</v>
      </c>
      <c r="N110" s="136" t="n">
        <f aca="false">$B110-N109</f>
        <v>915.717162560861</v>
      </c>
      <c r="O110" s="136" t="n">
        <f aca="false">$B110-O109</f>
        <v>869.320110356058</v>
      </c>
      <c r="P110" s="136" t="n">
        <f aca="false">$B110-P109</f>
        <v>815.558285600183</v>
      </c>
      <c r="Q110" s="136" t="n">
        <f aca="false">$B110-Q109</f>
        <v>753.519991453049</v>
      </c>
      <c r="R110" s="136" t="n">
        <f aca="false">$B110-R109</f>
        <v>685.858953308451</v>
      </c>
      <c r="S110" s="136" t="n">
        <f aca="false">$B110-S109</f>
        <v>609.419606547975</v>
      </c>
      <c r="T110" s="136" t="n">
        <f aca="false">$B110-T109</f>
        <v>523.926861026128</v>
      </c>
      <c r="U110" s="136" t="n">
        <f aca="false">$B110-U109</f>
        <v>429.527582358044</v>
      </c>
      <c r="V110" s="136" t="n">
        <f aca="false">$B110-V109</f>
        <v>328.446327843233</v>
      </c>
      <c r="W110" s="136" t="n">
        <f aca="false">$B110-W109</f>
        <v>237.632794056525</v>
      </c>
      <c r="X110" s="136" t="n">
        <f aca="false">$B110-X109</f>
        <v>158.527014406327</v>
      </c>
      <c r="Y110" s="136" t="n">
        <f aca="false">$B110-Y109</f>
        <v>95.9541720838988</v>
      </c>
      <c r="Z110" s="136" t="n">
        <f aca="false">$B110-Z109</f>
        <v>47.9177508534881</v>
      </c>
      <c r="AA110" s="136" t="n">
        <f aca="false">$B110-AA109</f>
        <v>15.6283036516943</v>
      </c>
      <c r="AB110" s="136" t="n">
        <f aca="false">$B110-AB109</f>
        <v>0</v>
      </c>
      <c r="AC110" s="136" t="n">
        <f aca="false">$B110-AC109</f>
        <v>0</v>
      </c>
    </row>
    <row r="111" customFormat="false" ht="11.9" hidden="false" customHeight="true" outlineLevel="0" collapsed="false">
      <c r="A111" s="0" t="s">
        <v>314</v>
      </c>
      <c r="B111" s="136"/>
      <c r="C111" s="136"/>
      <c r="D111" s="136" t="n">
        <f aca="false">B84*C118</f>
        <v>8.17142857142857</v>
      </c>
      <c r="E111" s="136" t="n">
        <f aca="false">C84*D118</f>
        <v>9.65862857142857</v>
      </c>
      <c r="F111" s="136" t="n">
        <f aca="false">D84*E118</f>
        <v>11.4164989714286</v>
      </c>
      <c r="G111" s="136" t="n">
        <f aca="false">E84*F118</f>
        <v>13.4943017842286</v>
      </c>
      <c r="H111" s="136" t="n">
        <f aca="false">F84*G118</f>
        <v>15.9502647089582</v>
      </c>
      <c r="I111" s="136" t="n">
        <f aca="false">G84*H118</f>
        <v>18.8532128859886</v>
      </c>
      <c r="J111" s="136" t="n">
        <f aca="false">H84*I118</f>
        <v>22.2844976312385</v>
      </c>
      <c r="K111" s="136" t="n">
        <f aca="false">I84*J118</f>
        <v>25.0232623901177</v>
      </c>
      <c r="L111" s="136" t="n">
        <f aca="false">J84*K118</f>
        <v>29.2941748662553</v>
      </c>
      <c r="M111" s="136" t="n">
        <f aca="false">K84*L118</f>
        <v>34.2298797335025</v>
      </c>
      <c r="N111" s="136" t="n">
        <f aca="false">L84*M118</f>
        <v>39.9066873245646</v>
      </c>
      <c r="O111" s="136" t="n">
        <f aca="false">M84*N118</f>
        <v>46.3970522048026</v>
      </c>
      <c r="P111" s="136" t="n">
        <f aca="false">N84*O118</f>
        <v>53.7618247558749</v>
      </c>
      <c r="Q111" s="136" t="n">
        <f aca="false">O84*P118</f>
        <v>62.0382941471344</v>
      </c>
      <c r="R111" s="136" t="n">
        <f aca="false">P84*Q118</f>
        <v>67.6610381445974</v>
      </c>
      <c r="S111" s="136" t="n">
        <f aca="false">Q84*R118</f>
        <v>76.4393467604768</v>
      </c>
      <c r="T111" s="136" t="n">
        <f aca="false">R84*S118</f>
        <v>85.4927455218466</v>
      </c>
      <c r="U111" s="136" t="n">
        <f aca="false">S84*T118</f>
        <v>94.3992786680842</v>
      </c>
      <c r="V111" s="136" t="n">
        <f aca="false">T84*U118</f>
        <v>101.081254514811</v>
      </c>
      <c r="W111" s="136" t="n">
        <f aca="false">U84*V118</f>
        <v>90.813533786708</v>
      </c>
      <c r="X111" s="136" t="n">
        <f aca="false">V84*W118</f>
        <v>79.1057796501985</v>
      </c>
      <c r="Y111" s="136" t="n">
        <f aca="false">W84*X118</f>
        <v>62.5728423224278</v>
      </c>
      <c r="Z111" s="136" t="n">
        <f aca="false">X84*Y118</f>
        <v>48.0364212304108</v>
      </c>
      <c r="AA111" s="136" t="n">
        <f aca="false">Y84*Z118</f>
        <v>32.2894472017937</v>
      </c>
      <c r="AB111" s="136" t="n">
        <f aca="false">Z84*AA118</f>
        <v>15.6283036516941</v>
      </c>
      <c r="AC111" s="136" t="n">
        <f aca="false">AA84*AB118</f>
        <v>0</v>
      </c>
    </row>
    <row r="112" customFormat="false" ht="12.8" hidden="false" customHeight="false" outlineLevel="0" collapsed="false">
      <c r="A112" s="139" t="n">
        <v>1</v>
      </c>
      <c r="B112" s="139" t="n">
        <f aca="false">1/7*B$110</f>
        <v>163.428571428571</v>
      </c>
      <c r="C112" s="139" t="n">
        <f aca="false">1/7*C$110</f>
        <v>163.428571428571</v>
      </c>
      <c r="D112" s="139" t="n">
        <f aca="false">C118-D111</f>
        <v>155.257142857143</v>
      </c>
      <c r="E112" s="139" t="n">
        <f aca="false">D118-E111</f>
        <v>153.769942857143</v>
      </c>
      <c r="F112" s="139" t="n">
        <f aca="false">E118-F111</f>
        <v>152.012072457143</v>
      </c>
      <c r="G112" s="139" t="n">
        <f aca="false">F118-G111</f>
        <v>149.934269644343</v>
      </c>
      <c r="H112" s="139" t="n">
        <f aca="false">G118-H111</f>
        <v>147.478306719613</v>
      </c>
      <c r="I112" s="139" t="n">
        <f aca="false">H118-I111</f>
        <v>144.575358542583</v>
      </c>
      <c r="J112" s="139" t="n">
        <f aca="false">I118-J111</f>
        <v>141.144073797333</v>
      </c>
      <c r="K112" s="139" t="n">
        <f aca="false">J118-K111</f>
        <v>130.233880467025</v>
      </c>
      <c r="L112" s="139" t="n">
        <f aca="false">K118-L111</f>
        <v>124.475767990888</v>
      </c>
      <c r="M112" s="139" t="n">
        <f aca="false">L118-M111</f>
        <v>117.78219272364</v>
      </c>
      <c r="N112" s="139" t="n">
        <f aca="false">M118-N111</f>
        <v>110.027582319778</v>
      </c>
      <c r="O112" s="139" t="n">
        <f aca="false">N118-O111</f>
        <v>101.081254514811</v>
      </c>
      <c r="P112" s="139" t="n">
        <f aca="false">O118-P111</f>
        <v>90.813533786708</v>
      </c>
      <c r="Q112" s="139" t="n">
        <f aca="false">P118-Q111</f>
        <v>79.1057796501985</v>
      </c>
      <c r="R112" s="139" t="n">
        <f aca="false">Q118-R111</f>
        <v>62.5728423224278</v>
      </c>
      <c r="S112" s="139" t="n">
        <f aca="false">R118-S111</f>
        <v>48.0364212304108</v>
      </c>
      <c r="T112" s="139" t="n">
        <f aca="false">S118-T111</f>
        <v>32.2894472017937</v>
      </c>
      <c r="U112" s="139" t="n">
        <f aca="false">T118-U111</f>
        <v>15.6283036516941</v>
      </c>
      <c r="V112" s="139" t="n">
        <f aca="false">U118-V111</f>
        <v>0</v>
      </c>
      <c r="W112" s="139" t="n">
        <f aca="false">V118-W111</f>
        <v>0</v>
      </c>
      <c r="X112" s="139" t="n">
        <f aca="false">W118-X111</f>
        <v>0</v>
      </c>
      <c r="Y112" s="139" t="n">
        <f aca="false">X118-Y111</f>
        <v>0</v>
      </c>
      <c r="Z112" s="139" t="n">
        <f aca="false">Y118-Z111</f>
        <v>0</v>
      </c>
      <c r="AA112" s="139" t="n">
        <f aca="false">Z118-AA111</f>
        <v>0</v>
      </c>
      <c r="AB112" s="139" t="n">
        <f aca="false">AA118-AB111</f>
        <v>0</v>
      </c>
      <c r="AC112" s="139" t="n">
        <f aca="false">AB118-AC111</f>
        <v>0</v>
      </c>
      <c r="AD112" s="12"/>
    </row>
    <row r="113" customFormat="false" ht="12.8" hidden="false" customHeight="false" outlineLevel="0" collapsed="false">
      <c r="A113" s="139" t="n">
        <v>2</v>
      </c>
      <c r="B113" s="139" t="n">
        <f aca="false">1/7*B$110</f>
        <v>163.428571428571</v>
      </c>
      <c r="C113" s="139" t="n">
        <f aca="false">1/7*C$110</f>
        <v>163.428571428571</v>
      </c>
      <c r="D113" s="139" t="n">
        <f aca="false">C112</f>
        <v>163.428571428571</v>
      </c>
      <c r="E113" s="139" t="n">
        <f aca="false">D112</f>
        <v>155.257142857143</v>
      </c>
      <c r="F113" s="139" t="n">
        <f aca="false">E112</f>
        <v>153.769942857143</v>
      </c>
      <c r="G113" s="139" t="n">
        <f aca="false">F112</f>
        <v>152.012072457143</v>
      </c>
      <c r="H113" s="139" t="n">
        <f aca="false">G112</f>
        <v>149.934269644343</v>
      </c>
      <c r="I113" s="139" t="n">
        <f aca="false">H112</f>
        <v>147.478306719613</v>
      </c>
      <c r="J113" s="139" t="n">
        <f aca="false">I112</f>
        <v>144.575358542583</v>
      </c>
      <c r="K113" s="139" t="n">
        <f aca="false">J112</f>
        <v>141.144073797333</v>
      </c>
      <c r="L113" s="139" t="n">
        <f aca="false">K112</f>
        <v>130.233880467025</v>
      </c>
      <c r="M113" s="139" t="n">
        <f aca="false">L112</f>
        <v>124.475767990888</v>
      </c>
      <c r="N113" s="139" t="n">
        <f aca="false">M112</f>
        <v>117.78219272364</v>
      </c>
      <c r="O113" s="139" t="n">
        <f aca="false">N112</f>
        <v>110.027582319778</v>
      </c>
      <c r="P113" s="139" t="n">
        <f aca="false">O112</f>
        <v>101.081254514811</v>
      </c>
      <c r="Q113" s="139" t="n">
        <f aca="false">P112</f>
        <v>90.813533786708</v>
      </c>
      <c r="R113" s="139" t="n">
        <f aca="false">Q112</f>
        <v>79.1057796501985</v>
      </c>
      <c r="S113" s="139" t="n">
        <f aca="false">R112</f>
        <v>62.5728423224278</v>
      </c>
      <c r="T113" s="139" t="n">
        <f aca="false">S112</f>
        <v>48.0364212304108</v>
      </c>
      <c r="U113" s="139" t="n">
        <f aca="false">T112</f>
        <v>32.2894472017937</v>
      </c>
      <c r="V113" s="139" t="n">
        <f aca="false">U112</f>
        <v>15.6283036516941</v>
      </c>
      <c r="W113" s="139" t="n">
        <f aca="false">V112</f>
        <v>0</v>
      </c>
      <c r="X113" s="139" t="n">
        <f aca="false">W112</f>
        <v>0</v>
      </c>
      <c r="Y113" s="139" t="n">
        <f aca="false">X112</f>
        <v>0</v>
      </c>
      <c r="Z113" s="139" t="n">
        <f aca="false">Y112</f>
        <v>0</v>
      </c>
      <c r="AA113" s="139" t="n">
        <f aca="false">Z112</f>
        <v>0</v>
      </c>
      <c r="AB113" s="139" t="n">
        <f aca="false">AA112</f>
        <v>0</v>
      </c>
      <c r="AC113" s="139" t="n">
        <f aca="false">AB112</f>
        <v>0</v>
      </c>
      <c r="AD113" s="12"/>
    </row>
    <row r="114" customFormat="false" ht="12.8" hidden="false" customHeight="false" outlineLevel="0" collapsed="false">
      <c r="A114" s="139" t="n">
        <v>3</v>
      </c>
      <c r="B114" s="139" t="n">
        <f aca="false">1/7*B$110</f>
        <v>163.428571428571</v>
      </c>
      <c r="C114" s="139" t="n">
        <f aca="false">1/7*C$110</f>
        <v>163.428571428571</v>
      </c>
      <c r="D114" s="139" t="n">
        <f aca="false">C113</f>
        <v>163.428571428571</v>
      </c>
      <c r="E114" s="139" t="n">
        <f aca="false">D113</f>
        <v>163.428571428571</v>
      </c>
      <c r="F114" s="139" t="n">
        <f aca="false">E113</f>
        <v>155.257142857143</v>
      </c>
      <c r="G114" s="139" t="n">
        <f aca="false">F113</f>
        <v>153.769942857143</v>
      </c>
      <c r="H114" s="139" t="n">
        <f aca="false">G113</f>
        <v>152.012072457143</v>
      </c>
      <c r="I114" s="139" t="n">
        <f aca="false">H113</f>
        <v>149.934269644343</v>
      </c>
      <c r="J114" s="139" t="n">
        <f aca="false">I113</f>
        <v>147.478306719613</v>
      </c>
      <c r="K114" s="139" t="n">
        <f aca="false">J113</f>
        <v>144.575358542583</v>
      </c>
      <c r="L114" s="139" t="n">
        <f aca="false">K113</f>
        <v>141.144073797333</v>
      </c>
      <c r="M114" s="139" t="n">
        <f aca="false">L113</f>
        <v>130.233880467025</v>
      </c>
      <c r="N114" s="139" t="n">
        <f aca="false">M113</f>
        <v>124.475767990888</v>
      </c>
      <c r="O114" s="139" t="n">
        <f aca="false">N113</f>
        <v>117.78219272364</v>
      </c>
      <c r="P114" s="139" t="n">
        <f aca="false">O113</f>
        <v>110.027582319778</v>
      </c>
      <c r="Q114" s="139" t="n">
        <f aca="false">P113</f>
        <v>101.081254514811</v>
      </c>
      <c r="R114" s="139" t="n">
        <f aca="false">Q113</f>
        <v>90.813533786708</v>
      </c>
      <c r="S114" s="139" t="n">
        <f aca="false">R113</f>
        <v>79.1057796501985</v>
      </c>
      <c r="T114" s="139" t="n">
        <f aca="false">S113</f>
        <v>62.5728423224278</v>
      </c>
      <c r="U114" s="139" t="n">
        <f aca="false">T113</f>
        <v>48.0364212304108</v>
      </c>
      <c r="V114" s="139" t="n">
        <f aca="false">U113</f>
        <v>32.2894472017937</v>
      </c>
      <c r="W114" s="139" t="n">
        <f aca="false">V113</f>
        <v>15.6283036516941</v>
      </c>
      <c r="X114" s="139" t="n">
        <f aca="false">W113</f>
        <v>0</v>
      </c>
      <c r="Y114" s="139" t="n">
        <f aca="false">X113</f>
        <v>0</v>
      </c>
      <c r="Z114" s="139" t="n">
        <f aca="false">Y113</f>
        <v>0</v>
      </c>
      <c r="AA114" s="139" t="n">
        <f aca="false">Z113</f>
        <v>0</v>
      </c>
      <c r="AB114" s="139" t="n">
        <f aca="false">AA113</f>
        <v>0</v>
      </c>
      <c r="AC114" s="139" t="n">
        <f aca="false">AB113</f>
        <v>0</v>
      </c>
      <c r="AD114" s="12"/>
    </row>
    <row r="115" customFormat="false" ht="12.8" hidden="false" customHeight="false" outlineLevel="0" collapsed="false">
      <c r="A115" s="139" t="n">
        <v>4</v>
      </c>
      <c r="B115" s="139" t="n">
        <f aca="false">1/7*B$110</f>
        <v>163.428571428571</v>
      </c>
      <c r="C115" s="139" t="n">
        <f aca="false">1/7*C$110</f>
        <v>163.428571428571</v>
      </c>
      <c r="D115" s="139" t="n">
        <f aca="false">C114</f>
        <v>163.428571428571</v>
      </c>
      <c r="E115" s="139" t="n">
        <f aca="false">D114</f>
        <v>163.428571428571</v>
      </c>
      <c r="F115" s="139" t="n">
        <f aca="false">E114</f>
        <v>163.428571428571</v>
      </c>
      <c r="G115" s="139" t="n">
        <f aca="false">F114</f>
        <v>155.257142857143</v>
      </c>
      <c r="H115" s="139" t="n">
        <f aca="false">G114</f>
        <v>153.769942857143</v>
      </c>
      <c r="I115" s="139" t="n">
        <f aca="false">H114</f>
        <v>152.012072457143</v>
      </c>
      <c r="J115" s="139" t="n">
        <f aca="false">I114</f>
        <v>149.934269644343</v>
      </c>
      <c r="K115" s="139" t="n">
        <f aca="false">J114</f>
        <v>147.478306719613</v>
      </c>
      <c r="L115" s="139" t="n">
        <f aca="false">K114</f>
        <v>144.575358542583</v>
      </c>
      <c r="M115" s="139" t="n">
        <f aca="false">L114</f>
        <v>141.144073797333</v>
      </c>
      <c r="N115" s="139" t="n">
        <f aca="false">M114</f>
        <v>130.233880467025</v>
      </c>
      <c r="O115" s="139" t="n">
        <f aca="false">N114</f>
        <v>124.475767990888</v>
      </c>
      <c r="P115" s="139" t="n">
        <f aca="false">O114</f>
        <v>117.78219272364</v>
      </c>
      <c r="Q115" s="139" t="n">
        <f aca="false">P114</f>
        <v>110.027582319778</v>
      </c>
      <c r="R115" s="139" t="n">
        <f aca="false">Q114</f>
        <v>101.081254514811</v>
      </c>
      <c r="S115" s="139" t="n">
        <f aca="false">R114</f>
        <v>90.813533786708</v>
      </c>
      <c r="T115" s="139" t="n">
        <f aca="false">S114</f>
        <v>79.1057796501985</v>
      </c>
      <c r="U115" s="139" t="n">
        <f aca="false">T114</f>
        <v>62.5728423224278</v>
      </c>
      <c r="V115" s="139" t="n">
        <f aca="false">U114</f>
        <v>48.0364212304108</v>
      </c>
      <c r="W115" s="139" t="n">
        <f aca="false">V114</f>
        <v>32.2894472017937</v>
      </c>
      <c r="X115" s="139" t="n">
        <f aca="false">W114</f>
        <v>15.6283036516941</v>
      </c>
      <c r="Y115" s="139" t="n">
        <f aca="false">X114</f>
        <v>0</v>
      </c>
      <c r="Z115" s="139" t="n">
        <f aca="false">Y114</f>
        <v>0</v>
      </c>
      <c r="AA115" s="139" t="n">
        <f aca="false">Z114</f>
        <v>0</v>
      </c>
      <c r="AB115" s="139" t="n">
        <f aca="false">AA114</f>
        <v>0</v>
      </c>
      <c r="AC115" s="139" t="n">
        <f aca="false">AB114</f>
        <v>0</v>
      </c>
      <c r="AD115" s="12"/>
    </row>
    <row r="116" customFormat="false" ht="12.8" hidden="false" customHeight="false" outlineLevel="0" collapsed="false">
      <c r="A116" s="139" t="n">
        <v>5</v>
      </c>
      <c r="B116" s="139" t="n">
        <f aca="false">1/7*B$110</f>
        <v>163.428571428571</v>
      </c>
      <c r="C116" s="139" t="n">
        <f aca="false">1/7*C$110</f>
        <v>163.428571428571</v>
      </c>
      <c r="D116" s="139" t="n">
        <f aca="false">C115</f>
        <v>163.428571428571</v>
      </c>
      <c r="E116" s="139" t="n">
        <f aca="false">D115</f>
        <v>163.428571428571</v>
      </c>
      <c r="F116" s="139" t="n">
        <f aca="false">E115</f>
        <v>163.428571428571</v>
      </c>
      <c r="G116" s="139" t="n">
        <f aca="false">F115</f>
        <v>163.428571428571</v>
      </c>
      <c r="H116" s="139" t="n">
        <f aca="false">G115</f>
        <v>155.257142857143</v>
      </c>
      <c r="I116" s="139" t="n">
        <f aca="false">H115</f>
        <v>153.769942857143</v>
      </c>
      <c r="J116" s="139" t="n">
        <f aca="false">I115</f>
        <v>152.012072457143</v>
      </c>
      <c r="K116" s="139" t="n">
        <f aca="false">J115</f>
        <v>149.934269644343</v>
      </c>
      <c r="L116" s="139" t="n">
        <f aca="false">K115</f>
        <v>147.478306719613</v>
      </c>
      <c r="M116" s="139" t="n">
        <f aca="false">L115</f>
        <v>144.575358542583</v>
      </c>
      <c r="N116" s="139" t="n">
        <f aca="false">M115</f>
        <v>141.144073797333</v>
      </c>
      <c r="O116" s="139" t="n">
        <f aca="false">N115</f>
        <v>130.233880467025</v>
      </c>
      <c r="P116" s="139" t="n">
        <f aca="false">O115</f>
        <v>124.475767990888</v>
      </c>
      <c r="Q116" s="139" t="n">
        <f aca="false">P115</f>
        <v>117.78219272364</v>
      </c>
      <c r="R116" s="139" t="n">
        <f aca="false">Q115</f>
        <v>110.027582319778</v>
      </c>
      <c r="S116" s="139" t="n">
        <f aca="false">R115</f>
        <v>101.081254514811</v>
      </c>
      <c r="T116" s="139" t="n">
        <f aca="false">S115</f>
        <v>90.813533786708</v>
      </c>
      <c r="U116" s="139" t="n">
        <f aca="false">T115</f>
        <v>79.1057796501985</v>
      </c>
      <c r="V116" s="139" t="n">
        <f aca="false">U115</f>
        <v>62.5728423224278</v>
      </c>
      <c r="W116" s="139" t="n">
        <f aca="false">V115</f>
        <v>48.0364212304108</v>
      </c>
      <c r="X116" s="139" t="n">
        <f aca="false">W115</f>
        <v>32.2894472017937</v>
      </c>
      <c r="Y116" s="139" t="n">
        <f aca="false">X115</f>
        <v>15.6283036516941</v>
      </c>
      <c r="Z116" s="139" t="n">
        <f aca="false">Y115</f>
        <v>0</v>
      </c>
      <c r="AA116" s="139" t="n">
        <f aca="false">Z115</f>
        <v>0</v>
      </c>
      <c r="AB116" s="139" t="n">
        <f aca="false">AA115</f>
        <v>0</v>
      </c>
      <c r="AC116" s="139" t="n">
        <f aca="false">AB115</f>
        <v>0</v>
      </c>
      <c r="AD116" s="12"/>
    </row>
    <row r="117" customFormat="false" ht="12.8" hidden="false" customHeight="false" outlineLevel="0" collapsed="false">
      <c r="A117" s="139" t="n">
        <v>6</v>
      </c>
      <c r="B117" s="139" t="n">
        <f aca="false">1/7*B$110</f>
        <v>163.428571428571</v>
      </c>
      <c r="C117" s="139" t="n">
        <f aca="false">1/7*C$110</f>
        <v>163.428571428571</v>
      </c>
      <c r="D117" s="139" t="n">
        <f aca="false">C116</f>
        <v>163.428571428571</v>
      </c>
      <c r="E117" s="139" t="n">
        <f aca="false">D116</f>
        <v>163.428571428571</v>
      </c>
      <c r="F117" s="139" t="n">
        <f aca="false">E116</f>
        <v>163.428571428571</v>
      </c>
      <c r="G117" s="139" t="n">
        <f aca="false">F116</f>
        <v>163.428571428571</v>
      </c>
      <c r="H117" s="139" t="n">
        <f aca="false">G116</f>
        <v>163.428571428571</v>
      </c>
      <c r="I117" s="139" t="n">
        <f aca="false">H116</f>
        <v>155.257142857143</v>
      </c>
      <c r="J117" s="139" t="n">
        <f aca="false">I116</f>
        <v>153.769942857143</v>
      </c>
      <c r="K117" s="139" t="n">
        <f aca="false">J116</f>
        <v>152.012072457143</v>
      </c>
      <c r="L117" s="139" t="n">
        <f aca="false">K116</f>
        <v>149.934269644343</v>
      </c>
      <c r="M117" s="139" t="n">
        <f aca="false">L116</f>
        <v>147.478306719613</v>
      </c>
      <c r="N117" s="139" t="n">
        <f aca="false">M116</f>
        <v>144.575358542583</v>
      </c>
      <c r="O117" s="139" t="n">
        <f aca="false">N116</f>
        <v>141.144073797333</v>
      </c>
      <c r="P117" s="139" t="n">
        <f aca="false">O116</f>
        <v>130.233880467025</v>
      </c>
      <c r="Q117" s="139" t="n">
        <f aca="false">P116</f>
        <v>124.475767990888</v>
      </c>
      <c r="R117" s="139" t="n">
        <f aca="false">Q116</f>
        <v>117.78219272364</v>
      </c>
      <c r="S117" s="139" t="n">
        <f aca="false">R116</f>
        <v>110.027582319778</v>
      </c>
      <c r="T117" s="139" t="n">
        <f aca="false">S116</f>
        <v>101.081254514811</v>
      </c>
      <c r="U117" s="139" t="n">
        <f aca="false">T116</f>
        <v>90.813533786708</v>
      </c>
      <c r="V117" s="139" t="n">
        <f aca="false">U116</f>
        <v>79.1057796501985</v>
      </c>
      <c r="W117" s="139" t="n">
        <f aca="false">V116</f>
        <v>62.5728423224278</v>
      </c>
      <c r="X117" s="139" t="n">
        <f aca="false">W116</f>
        <v>48.0364212304108</v>
      </c>
      <c r="Y117" s="139" t="n">
        <f aca="false">X116</f>
        <v>32.2894472017937</v>
      </c>
      <c r="Z117" s="139" t="n">
        <f aca="false">Y116</f>
        <v>15.6283036516941</v>
      </c>
      <c r="AA117" s="139" t="n">
        <f aca="false">Z116</f>
        <v>0</v>
      </c>
      <c r="AB117" s="139" t="n">
        <f aca="false">AA116</f>
        <v>0</v>
      </c>
      <c r="AC117" s="139" t="n">
        <f aca="false">AB116</f>
        <v>0</v>
      </c>
      <c r="AD117" s="12"/>
    </row>
    <row r="118" customFormat="false" ht="12.8" hidden="false" customHeight="false" outlineLevel="0" collapsed="false">
      <c r="A118" s="139" t="n">
        <v>7</v>
      </c>
      <c r="B118" s="139" t="n">
        <f aca="false">1/7*B$110</f>
        <v>163.428571428571</v>
      </c>
      <c r="C118" s="139" t="n">
        <f aca="false">1/7*C$110</f>
        <v>163.428571428571</v>
      </c>
      <c r="D118" s="139" t="n">
        <f aca="false">C117</f>
        <v>163.428571428571</v>
      </c>
      <c r="E118" s="139" t="n">
        <f aca="false">D117</f>
        <v>163.428571428571</v>
      </c>
      <c r="F118" s="139" t="n">
        <f aca="false">E117</f>
        <v>163.428571428571</v>
      </c>
      <c r="G118" s="139" t="n">
        <f aca="false">F117</f>
        <v>163.428571428571</v>
      </c>
      <c r="H118" s="139" t="n">
        <f aca="false">G117</f>
        <v>163.428571428571</v>
      </c>
      <c r="I118" s="139" t="n">
        <f aca="false">H117</f>
        <v>163.428571428571</v>
      </c>
      <c r="J118" s="139" t="n">
        <f aca="false">I117</f>
        <v>155.257142857143</v>
      </c>
      <c r="K118" s="139" t="n">
        <f aca="false">J117</f>
        <v>153.769942857143</v>
      </c>
      <c r="L118" s="139" t="n">
        <f aca="false">K117</f>
        <v>152.012072457143</v>
      </c>
      <c r="M118" s="139" t="n">
        <f aca="false">L117</f>
        <v>149.934269644343</v>
      </c>
      <c r="N118" s="139" t="n">
        <f aca="false">M117</f>
        <v>147.478306719613</v>
      </c>
      <c r="O118" s="139" t="n">
        <f aca="false">N117</f>
        <v>144.575358542583</v>
      </c>
      <c r="P118" s="139" t="n">
        <f aca="false">O117</f>
        <v>141.144073797333</v>
      </c>
      <c r="Q118" s="139" t="n">
        <f aca="false">P117</f>
        <v>130.233880467025</v>
      </c>
      <c r="R118" s="139" t="n">
        <f aca="false">Q117</f>
        <v>124.475767990888</v>
      </c>
      <c r="S118" s="139" t="n">
        <f aca="false">R117</f>
        <v>117.78219272364</v>
      </c>
      <c r="T118" s="139" t="n">
        <f aca="false">S117</f>
        <v>110.027582319778</v>
      </c>
      <c r="U118" s="139" t="n">
        <f aca="false">T117</f>
        <v>101.081254514811</v>
      </c>
      <c r="V118" s="139" t="n">
        <f aca="false">U117</f>
        <v>90.813533786708</v>
      </c>
      <c r="W118" s="139" t="n">
        <f aca="false">V117</f>
        <v>79.1057796501985</v>
      </c>
      <c r="X118" s="139" t="n">
        <f aca="false">W117</f>
        <v>62.5728423224278</v>
      </c>
      <c r="Y118" s="139" t="n">
        <f aca="false">X117</f>
        <v>48.0364212304108</v>
      </c>
      <c r="Z118" s="139" t="n">
        <f aca="false">Y117</f>
        <v>32.2894472017937</v>
      </c>
      <c r="AA118" s="139" t="n">
        <f aca="false">Z117</f>
        <v>15.6283036516941</v>
      </c>
      <c r="AB118" s="139" t="n">
        <f aca="false">AA117</f>
        <v>0</v>
      </c>
      <c r="AC118" s="139" t="n">
        <f aca="false">AB117</f>
        <v>0</v>
      </c>
      <c r="AD118" s="12"/>
    </row>
    <row r="119" customFormat="false" ht="12.8" hidden="false" customHeight="false" outlineLevel="0" collapsed="false">
      <c r="A119" s="130" t="s">
        <v>315</v>
      </c>
      <c r="B119" s="124" t="n">
        <v>2023</v>
      </c>
      <c r="C119" s="124" t="n">
        <v>2024</v>
      </c>
      <c r="D119" s="124" t="n">
        <v>2025</v>
      </c>
      <c r="E119" s="124" t="n">
        <v>2026</v>
      </c>
      <c r="F119" s="124" t="n">
        <v>2027</v>
      </c>
      <c r="G119" s="124" t="n">
        <v>2028</v>
      </c>
      <c r="H119" s="124" t="n">
        <v>2029</v>
      </c>
      <c r="I119" s="124" t="n">
        <v>2030</v>
      </c>
      <c r="J119" s="124" t="n">
        <v>2031</v>
      </c>
      <c r="K119" s="124" t="n">
        <v>2032</v>
      </c>
      <c r="L119" s="124" t="n">
        <v>2033</v>
      </c>
      <c r="M119" s="124" t="n">
        <v>2034</v>
      </c>
      <c r="N119" s="124" t="n">
        <v>2035</v>
      </c>
      <c r="O119" s="124" t="n">
        <v>2036</v>
      </c>
      <c r="P119" s="124" t="n">
        <v>2037</v>
      </c>
      <c r="Q119" s="124" t="n">
        <v>2038</v>
      </c>
      <c r="R119" s="124" t="n">
        <v>2039</v>
      </c>
      <c r="S119" s="124" t="n">
        <v>2040</v>
      </c>
      <c r="T119" s="124" t="n">
        <v>2041</v>
      </c>
      <c r="U119" s="124" t="n">
        <v>2042</v>
      </c>
      <c r="V119" s="124" t="n">
        <v>2043</v>
      </c>
      <c r="W119" s="124" t="n">
        <v>2044</v>
      </c>
      <c r="X119" s="124" t="n">
        <v>2045</v>
      </c>
      <c r="Y119" s="124" t="n">
        <v>2046</v>
      </c>
      <c r="Z119" s="124" t="n">
        <v>2047</v>
      </c>
      <c r="AA119" s="124" t="n">
        <v>2048</v>
      </c>
      <c r="AB119" s="124" t="n">
        <v>2049</v>
      </c>
      <c r="AC119" s="124" t="n">
        <v>2050</v>
      </c>
    </row>
    <row r="120" customFormat="false" ht="12.8" hidden="false" customHeight="false" outlineLevel="0" collapsed="false">
      <c r="A120" s="130" t="s">
        <v>312</v>
      </c>
      <c r="B120" s="136" t="n">
        <v>0</v>
      </c>
      <c r="C120" s="136" t="n">
        <v>0</v>
      </c>
      <c r="D120" s="136" t="n">
        <f aca="false">C120+D122</f>
        <v>11.44</v>
      </c>
      <c r="E120" s="136" t="n">
        <f aca="false">D120+E122</f>
        <v>24.96208</v>
      </c>
      <c r="F120" s="136" t="n">
        <f aca="false">E120+F122</f>
        <v>40.94517856</v>
      </c>
      <c r="G120" s="136" t="n">
        <f aca="false">F120+G122</f>
        <v>59.83720105792</v>
      </c>
      <c r="H120" s="136" t="n">
        <f aca="false">G120+H122</f>
        <v>82.1675716504614</v>
      </c>
      <c r="I120" s="136" t="n">
        <f aca="false">H120+I122</f>
        <v>108.562069690845</v>
      </c>
      <c r="J120" s="136" t="n">
        <f aca="false">I120+J122</f>
        <v>139.760366374579</v>
      </c>
      <c r="K120" s="136" t="n">
        <f aca="false">J120+K122</f>
        <v>174.055405987141</v>
      </c>
      <c r="L120" s="136" t="n">
        <f aca="false">K120+L122</f>
        <v>214.036833102615</v>
      </c>
      <c r="M120" s="136" t="n">
        <f aca="false">L120+M122</f>
        <v>260.51904343462</v>
      </c>
      <c r="N120" s="136" t="n">
        <f aca="false">M120+N122</f>
        <v>314.377076226996</v>
      </c>
      <c r="O120" s="136" t="n">
        <f aca="false">N120+O122</f>
        <v>376.522872650432</v>
      </c>
      <c r="P120" s="136" t="n">
        <f aca="false">O120+P122</f>
        <v>447.863401760539</v>
      </c>
      <c r="Q120" s="136" t="n">
        <f aca="false">P120+Q122</f>
        <v>529.231869048638</v>
      </c>
      <c r="R120" s="136" t="n">
        <f aca="false">Q120+R122</f>
        <v>614.836115223491</v>
      </c>
      <c r="S120" s="136" t="n">
        <f aca="false">R120+S122</f>
        <v>709.341578753037</v>
      </c>
      <c r="T120" s="136" t="n">
        <f aca="false">S120+T122</f>
        <v>810.304841289604</v>
      </c>
      <c r="U120" s="136" t="n">
        <f aca="false">T120+U122</f>
        <v>900.983357427879</v>
      </c>
      <c r="V120" s="136" t="n">
        <f aca="false">U120+V122</f>
        <v>979.935761840473</v>
      </c>
      <c r="W120" s="136" t="n">
        <f aca="false">V120+W122</f>
        <v>1045.62930611855</v>
      </c>
      <c r="X120" s="136" t="n">
        <f aca="false">W120+X122</f>
        <v>1096.49111357529</v>
      </c>
      <c r="Y120" s="136" t="n">
        <f aca="false">X120+Y122</f>
        <v>1128.58039921645</v>
      </c>
      <c r="Z120" s="136" t="n">
        <f aca="false">Y120+Z122</f>
        <v>1144</v>
      </c>
      <c r="AA120" s="136" t="n">
        <f aca="false">Z120+AA122</f>
        <v>1144</v>
      </c>
      <c r="AB120" s="136" t="n">
        <f aca="false">AA120+AB122</f>
        <v>1144</v>
      </c>
      <c r="AC120" s="136" t="n">
        <f aca="false">AB120+AC122</f>
        <v>1144</v>
      </c>
    </row>
    <row r="121" customFormat="false" ht="12.8" hidden="false" customHeight="false" outlineLevel="0" collapsed="false">
      <c r="A121" s="130" t="s">
        <v>313</v>
      </c>
      <c r="B121" s="136" t="n">
        <v>1144</v>
      </c>
      <c r="C121" s="136" t="n">
        <f aca="false">$B121-C120</f>
        <v>1144</v>
      </c>
      <c r="D121" s="136" t="n">
        <f aca="false">$B121-D120</f>
        <v>1132.56</v>
      </c>
      <c r="E121" s="136" t="n">
        <f aca="false">$B121-E120</f>
        <v>1119.03792</v>
      </c>
      <c r="F121" s="136" t="n">
        <f aca="false">$B121-F120</f>
        <v>1103.05482144</v>
      </c>
      <c r="G121" s="136" t="n">
        <f aca="false">$B121-G120</f>
        <v>1084.16279894208</v>
      </c>
      <c r="H121" s="136" t="n">
        <f aca="false">$B121-H120</f>
        <v>1061.83242834954</v>
      </c>
      <c r="I121" s="136" t="n">
        <f aca="false">$B121-I120</f>
        <v>1035.43793030915</v>
      </c>
      <c r="J121" s="136" t="n">
        <f aca="false">$B121-J120</f>
        <v>1004.23963362542</v>
      </c>
      <c r="K121" s="136" t="n">
        <f aca="false">$B121-K120</f>
        <v>969.944594012859</v>
      </c>
      <c r="L121" s="136" t="n">
        <f aca="false">$B121-L120</f>
        <v>929.963166897385</v>
      </c>
      <c r="M121" s="136" t="n">
        <f aca="false">$B121-M120</f>
        <v>883.48095656538</v>
      </c>
      <c r="N121" s="136" t="n">
        <f aca="false">$B121-N120</f>
        <v>829.622923773004</v>
      </c>
      <c r="O121" s="136" t="n">
        <f aca="false">$B121-O120</f>
        <v>767.477127349568</v>
      </c>
      <c r="P121" s="136" t="n">
        <f aca="false">$B121-P120</f>
        <v>696.136598239461</v>
      </c>
      <c r="Q121" s="136" t="n">
        <f aca="false">$B121-Q120</f>
        <v>614.768130951363</v>
      </c>
      <c r="R121" s="136" t="n">
        <f aca="false">$B121-R120</f>
        <v>529.163884776509</v>
      </c>
      <c r="S121" s="136" t="n">
        <f aca="false">$B121-S120</f>
        <v>434.658421246963</v>
      </c>
      <c r="T121" s="136" t="n">
        <f aca="false">$B121-T120</f>
        <v>333.695158710396</v>
      </c>
      <c r="U121" s="136" t="n">
        <f aca="false">$B121-U120</f>
        <v>243.016642572121</v>
      </c>
      <c r="V121" s="136" t="n">
        <f aca="false">$B121-V120</f>
        <v>164.064238159527</v>
      </c>
      <c r="W121" s="136" t="n">
        <f aca="false">$B121-W120</f>
        <v>98.3706938814462</v>
      </c>
      <c r="X121" s="136" t="n">
        <f aca="false">$B121-X120</f>
        <v>47.5088864247075</v>
      </c>
      <c r="Y121" s="136" t="n">
        <f aca="false">$B121-Y120</f>
        <v>15.4196007835506</v>
      </c>
      <c r="Z121" s="136" t="n">
        <f aca="false">$B121-Z120</f>
        <v>0</v>
      </c>
      <c r="AA121" s="136" t="n">
        <f aca="false">$B121-AA120</f>
        <v>0</v>
      </c>
      <c r="AB121" s="136" t="n">
        <f aca="false">$B121-AB120</f>
        <v>0</v>
      </c>
      <c r="AC121" s="136" t="n">
        <f aca="false">$B121-AC120</f>
        <v>0</v>
      </c>
    </row>
    <row r="122" customFormat="false" ht="11.9" hidden="false" customHeight="true" outlineLevel="0" collapsed="false">
      <c r="A122" s="0" t="s">
        <v>314</v>
      </c>
      <c r="B122" s="136"/>
      <c r="C122" s="136"/>
      <c r="D122" s="136" t="n">
        <f aca="false">B85*C129</f>
        <v>11.44</v>
      </c>
      <c r="E122" s="136" t="n">
        <f aca="false">C85*D129</f>
        <v>13.52208</v>
      </c>
      <c r="F122" s="136" t="n">
        <f aca="false">D85*E129</f>
        <v>15.98309856</v>
      </c>
      <c r="G122" s="136" t="n">
        <f aca="false">E85*F129</f>
        <v>18.89202249792</v>
      </c>
      <c r="H122" s="136" t="n">
        <f aca="false">F85*G129</f>
        <v>22.3303705925414</v>
      </c>
      <c r="I122" s="136" t="n">
        <f aca="false">G85*H129</f>
        <v>26.394498040384</v>
      </c>
      <c r="J122" s="136" t="n">
        <f aca="false">H85*I129</f>
        <v>31.1982966837339</v>
      </c>
      <c r="K122" s="136" t="n">
        <f aca="false">I85*J129</f>
        <v>34.2950396125613</v>
      </c>
      <c r="L122" s="136" t="n">
        <f aca="false">J85*K129</f>
        <v>39.9814271154744</v>
      </c>
      <c r="M122" s="136" t="n">
        <f aca="false">K85*L129</f>
        <v>46.4822103320047</v>
      </c>
      <c r="N122" s="136" t="n">
        <f aca="false">L85*M129</f>
        <v>53.8580327923762</v>
      </c>
      <c r="O122" s="136" t="n">
        <f aca="false">M85*N129</f>
        <v>62.1457964234364</v>
      </c>
      <c r="P122" s="136" t="n">
        <f aca="false">N85*O129</f>
        <v>71.3405291101064</v>
      </c>
      <c r="Q122" s="136" t="n">
        <f aca="false">O85*P129</f>
        <v>81.3684672880988</v>
      </c>
      <c r="R122" s="136" t="n">
        <f aca="false">P85*Q129</f>
        <v>85.6042461748532</v>
      </c>
      <c r="S122" s="136" t="n">
        <f aca="false">Q85*R129</f>
        <v>94.5054635295467</v>
      </c>
      <c r="T122" s="136" t="n">
        <f aca="false">R85*S129</f>
        <v>100.963262536567</v>
      </c>
      <c r="U122" s="136" t="n">
        <f aca="false">S85*T129</f>
        <v>90.6785161382752</v>
      </c>
      <c r="V122" s="136" t="n">
        <f aca="false">T85*U129</f>
        <v>78.9524044125935</v>
      </c>
      <c r="W122" s="136" t="n">
        <f aca="false">U85*V129</f>
        <v>65.693544278081</v>
      </c>
      <c r="X122" s="136" t="n">
        <f aca="false">V85*W129</f>
        <v>50.8618074567388</v>
      </c>
      <c r="Y122" s="136" t="n">
        <f aca="false">W85*X129</f>
        <v>32.089285641157</v>
      </c>
      <c r="Z122" s="136" t="n">
        <f aca="false">X85*Y129</f>
        <v>15.4196007835502</v>
      </c>
      <c r="AA122" s="136" t="n">
        <f aca="false">Y85*Z129</f>
        <v>0</v>
      </c>
      <c r="AB122" s="136" t="n">
        <f aca="false">Z85*AA129</f>
        <v>0</v>
      </c>
      <c r="AC122" s="136" t="n">
        <f aca="false">AA85*AB129</f>
        <v>0</v>
      </c>
    </row>
    <row r="123" s="12" customFormat="true" ht="12.8" hidden="false" customHeight="false" outlineLevel="0" collapsed="false">
      <c r="A123" s="139" t="n">
        <v>1</v>
      </c>
      <c r="B123" s="139" t="n">
        <f aca="false">1/7*B$121</f>
        <v>163.428571428571</v>
      </c>
      <c r="C123" s="139" t="n">
        <f aca="false">1/7*C$121</f>
        <v>163.428571428571</v>
      </c>
      <c r="D123" s="139" t="n">
        <f aca="false">C129-D122</f>
        <v>151.988571428571</v>
      </c>
      <c r="E123" s="139" t="n">
        <f aca="false">D129-E122</f>
        <v>149.906491428571</v>
      </c>
      <c r="F123" s="139" t="n">
        <f aca="false">E129-F122</f>
        <v>147.445472868571</v>
      </c>
      <c r="G123" s="139" t="n">
        <f aca="false">F129-G122</f>
        <v>144.536548930651</v>
      </c>
      <c r="H123" s="139" t="n">
        <f aca="false">G129-H122</f>
        <v>141.09820083603</v>
      </c>
      <c r="I123" s="139" t="n">
        <f aca="false">H129-I122</f>
        <v>137.034073388187</v>
      </c>
      <c r="J123" s="139" t="n">
        <f aca="false">I129-J122</f>
        <v>132.230274744838</v>
      </c>
      <c r="K123" s="139" t="n">
        <f aca="false">J129-K122</f>
        <v>117.69353181601</v>
      </c>
      <c r="L123" s="139" t="n">
        <f aca="false">K129-L122</f>
        <v>109.925064313097</v>
      </c>
      <c r="M123" s="139" t="n">
        <f aca="false">L129-M122</f>
        <v>100.963262536567</v>
      </c>
      <c r="N123" s="139" t="n">
        <f aca="false">M129-N122</f>
        <v>90.6785161382752</v>
      </c>
      <c r="O123" s="139" t="n">
        <f aca="false">N129-O122</f>
        <v>78.9524044125935</v>
      </c>
      <c r="P123" s="139" t="n">
        <f aca="false">O129-P122</f>
        <v>65.693544278081</v>
      </c>
      <c r="Q123" s="139" t="n">
        <f aca="false">P129-Q122</f>
        <v>50.8618074567388</v>
      </c>
      <c r="R123" s="139" t="n">
        <f aca="false">Q129-R122</f>
        <v>32.089285641157</v>
      </c>
      <c r="S123" s="139" t="n">
        <f aca="false">R129-S122</f>
        <v>15.4196007835502</v>
      </c>
      <c r="T123" s="139" t="n">
        <f aca="false">S129-T122</f>
        <v>0</v>
      </c>
      <c r="U123" s="139" t="n">
        <f aca="false">T129-U122</f>
        <v>0</v>
      </c>
      <c r="V123" s="139" t="n">
        <f aca="false">U129-V122</f>
        <v>0</v>
      </c>
      <c r="W123" s="139" t="n">
        <f aca="false">V129-W122</f>
        <v>0</v>
      </c>
      <c r="X123" s="139" t="n">
        <f aca="false">W129-X122</f>
        <v>0</v>
      </c>
      <c r="Y123" s="139" t="n">
        <f aca="false">X129-Y122</f>
        <v>0</v>
      </c>
      <c r="Z123" s="139" t="n">
        <f aca="false">Y129-Z122</f>
        <v>0</v>
      </c>
      <c r="AA123" s="139" t="n">
        <f aca="false">Z129-AA122</f>
        <v>0</v>
      </c>
      <c r="AB123" s="139" t="n">
        <f aca="false">AA129-AB122</f>
        <v>0</v>
      </c>
      <c r="AC123" s="139" t="n">
        <f aca="false">AB129-AC122</f>
        <v>0</v>
      </c>
    </row>
    <row r="124" s="12" customFormat="true" ht="12.8" hidden="false" customHeight="false" outlineLevel="0" collapsed="false">
      <c r="A124" s="139" t="n">
        <v>2</v>
      </c>
      <c r="B124" s="139" t="n">
        <f aca="false">1/7*B$121</f>
        <v>163.428571428571</v>
      </c>
      <c r="C124" s="139" t="n">
        <f aca="false">1/7*C$121</f>
        <v>163.428571428571</v>
      </c>
      <c r="D124" s="139" t="n">
        <f aca="false">C123</f>
        <v>163.428571428571</v>
      </c>
      <c r="E124" s="139" t="n">
        <f aca="false">D123</f>
        <v>151.988571428571</v>
      </c>
      <c r="F124" s="139" t="n">
        <f aca="false">E123</f>
        <v>149.906491428571</v>
      </c>
      <c r="G124" s="139" t="n">
        <f aca="false">F123</f>
        <v>147.445472868571</v>
      </c>
      <c r="H124" s="139" t="n">
        <f aca="false">G123</f>
        <v>144.536548930651</v>
      </c>
      <c r="I124" s="139" t="n">
        <f aca="false">H123</f>
        <v>141.09820083603</v>
      </c>
      <c r="J124" s="139" t="n">
        <f aca="false">I123</f>
        <v>137.034073388187</v>
      </c>
      <c r="K124" s="139" t="n">
        <f aca="false">J123</f>
        <v>132.230274744838</v>
      </c>
      <c r="L124" s="139" t="n">
        <f aca="false">K123</f>
        <v>117.69353181601</v>
      </c>
      <c r="M124" s="139" t="n">
        <f aca="false">L123</f>
        <v>109.925064313097</v>
      </c>
      <c r="N124" s="139" t="n">
        <f aca="false">M123</f>
        <v>100.963262536567</v>
      </c>
      <c r="O124" s="139" t="n">
        <f aca="false">N123</f>
        <v>90.6785161382752</v>
      </c>
      <c r="P124" s="139" t="n">
        <f aca="false">O123</f>
        <v>78.9524044125935</v>
      </c>
      <c r="Q124" s="139" t="n">
        <f aca="false">P123</f>
        <v>65.693544278081</v>
      </c>
      <c r="R124" s="139" t="n">
        <f aca="false">Q123</f>
        <v>50.8618074567388</v>
      </c>
      <c r="S124" s="139" t="n">
        <f aca="false">R123</f>
        <v>32.089285641157</v>
      </c>
      <c r="T124" s="139" t="n">
        <f aca="false">S123</f>
        <v>15.4196007835502</v>
      </c>
      <c r="U124" s="139" t="n">
        <f aca="false">T123</f>
        <v>0</v>
      </c>
      <c r="V124" s="139" t="n">
        <f aca="false">U123</f>
        <v>0</v>
      </c>
      <c r="W124" s="139" t="n">
        <f aca="false">V123</f>
        <v>0</v>
      </c>
      <c r="X124" s="139" t="n">
        <f aca="false">W123</f>
        <v>0</v>
      </c>
      <c r="Y124" s="139" t="n">
        <f aca="false">X123</f>
        <v>0</v>
      </c>
      <c r="Z124" s="139" t="n">
        <f aca="false">Y123</f>
        <v>0</v>
      </c>
      <c r="AA124" s="139" t="n">
        <f aca="false">Z123</f>
        <v>0</v>
      </c>
      <c r="AB124" s="139" t="n">
        <f aca="false">AA123</f>
        <v>0</v>
      </c>
      <c r="AC124" s="139" t="n">
        <f aca="false">AB123</f>
        <v>0</v>
      </c>
    </row>
    <row r="125" s="12" customFormat="true" ht="12.8" hidden="false" customHeight="false" outlineLevel="0" collapsed="false">
      <c r="A125" s="139" t="n">
        <v>3</v>
      </c>
      <c r="B125" s="139" t="n">
        <f aca="false">1/7*B$121</f>
        <v>163.428571428571</v>
      </c>
      <c r="C125" s="139" t="n">
        <f aca="false">1/7*C$121</f>
        <v>163.428571428571</v>
      </c>
      <c r="D125" s="139" t="n">
        <f aca="false">C124</f>
        <v>163.428571428571</v>
      </c>
      <c r="E125" s="139" t="n">
        <f aca="false">D124</f>
        <v>163.428571428571</v>
      </c>
      <c r="F125" s="139" t="n">
        <f aca="false">E124</f>
        <v>151.988571428571</v>
      </c>
      <c r="G125" s="139" t="n">
        <f aca="false">F124</f>
        <v>149.906491428571</v>
      </c>
      <c r="H125" s="139" t="n">
        <f aca="false">G124</f>
        <v>147.445472868571</v>
      </c>
      <c r="I125" s="139" t="n">
        <f aca="false">H124</f>
        <v>144.536548930651</v>
      </c>
      <c r="J125" s="139" t="n">
        <f aca="false">I124</f>
        <v>141.09820083603</v>
      </c>
      <c r="K125" s="139" t="n">
        <f aca="false">J124</f>
        <v>137.034073388187</v>
      </c>
      <c r="L125" s="139" t="n">
        <f aca="false">K124</f>
        <v>132.230274744838</v>
      </c>
      <c r="M125" s="139" t="n">
        <f aca="false">L124</f>
        <v>117.69353181601</v>
      </c>
      <c r="N125" s="139" t="n">
        <f aca="false">M124</f>
        <v>109.925064313097</v>
      </c>
      <c r="O125" s="139" t="n">
        <f aca="false">N124</f>
        <v>100.963262536567</v>
      </c>
      <c r="P125" s="139" t="n">
        <f aca="false">O124</f>
        <v>90.6785161382752</v>
      </c>
      <c r="Q125" s="139" t="n">
        <f aca="false">P124</f>
        <v>78.9524044125935</v>
      </c>
      <c r="R125" s="139" t="n">
        <f aca="false">Q124</f>
        <v>65.693544278081</v>
      </c>
      <c r="S125" s="139" t="n">
        <f aca="false">R124</f>
        <v>50.8618074567388</v>
      </c>
      <c r="T125" s="139" t="n">
        <f aca="false">S124</f>
        <v>32.089285641157</v>
      </c>
      <c r="U125" s="139" t="n">
        <f aca="false">T124</f>
        <v>15.4196007835502</v>
      </c>
      <c r="V125" s="139" t="n">
        <f aca="false">U124</f>
        <v>0</v>
      </c>
      <c r="W125" s="139" t="n">
        <f aca="false">V124</f>
        <v>0</v>
      </c>
      <c r="X125" s="139" t="n">
        <f aca="false">W124</f>
        <v>0</v>
      </c>
      <c r="Y125" s="139" t="n">
        <f aca="false">X124</f>
        <v>0</v>
      </c>
      <c r="Z125" s="139" t="n">
        <f aca="false">Y124</f>
        <v>0</v>
      </c>
      <c r="AA125" s="139" t="n">
        <f aca="false">Z124</f>
        <v>0</v>
      </c>
      <c r="AB125" s="139" t="n">
        <f aca="false">AA124</f>
        <v>0</v>
      </c>
      <c r="AC125" s="139" t="n">
        <f aca="false">AB124</f>
        <v>0</v>
      </c>
    </row>
    <row r="126" s="12" customFormat="true" ht="12.8" hidden="false" customHeight="false" outlineLevel="0" collapsed="false">
      <c r="A126" s="139" t="n">
        <v>4</v>
      </c>
      <c r="B126" s="139" t="n">
        <f aca="false">1/7*B$121</f>
        <v>163.428571428571</v>
      </c>
      <c r="C126" s="139" t="n">
        <f aca="false">1/7*C$121</f>
        <v>163.428571428571</v>
      </c>
      <c r="D126" s="139" t="n">
        <f aca="false">C125</f>
        <v>163.428571428571</v>
      </c>
      <c r="E126" s="139" t="n">
        <f aca="false">D125</f>
        <v>163.428571428571</v>
      </c>
      <c r="F126" s="139" t="n">
        <f aca="false">E125</f>
        <v>163.428571428571</v>
      </c>
      <c r="G126" s="139" t="n">
        <f aca="false">F125</f>
        <v>151.988571428571</v>
      </c>
      <c r="H126" s="139" t="n">
        <f aca="false">G125</f>
        <v>149.906491428571</v>
      </c>
      <c r="I126" s="139" t="n">
        <f aca="false">H125</f>
        <v>147.445472868571</v>
      </c>
      <c r="J126" s="139" t="n">
        <f aca="false">I125</f>
        <v>144.536548930651</v>
      </c>
      <c r="K126" s="139" t="n">
        <f aca="false">J125</f>
        <v>141.09820083603</v>
      </c>
      <c r="L126" s="139" t="n">
        <f aca="false">K125</f>
        <v>137.034073388187</v>
      </c>
      <c r="M126" s="139" t="n">
        <f aca="false">L125</f>
        <v>132.230274744838</v>
      </c>
      <c r="N126" s="139" t="n">
        <f aca="false">M125</f>
        <v>117.69353181601</v>
      </c>
      <c r="O126" s="139" t="n">
        <f aca="false">N125</f>
        <v>109.925064313097</v>
      </c>
      <c r="P126" s="139" t="n">
        <f aca="false">O125</f>
        <v>100.963262536567</v>
      </c>
      <c r="Q126" s="139" t="n">
        <f aca="false">P125</f>
        <v>90.6785161382752</v>
      </c>
      <c r="R126" s="139" t="n">
        <f aca="false">Q125</f>
        <v>78.9524044125935</v>
      </c>
      <c r="S126" s="139" t="n">
        <f aca="false">R125</f>
        <v>65.693544278081</v>
      </c>
      <c r="T126" s="139" t="n">
        <f aca="false">S125</f>
        <v>50.8618074567388</v>
      </c>
      <c r="U126" s="139" t="n">
        <f aca="false">T125</f>
        <v>32.089285641157</v>
      </c>
      <c r="V126" s="139" t="n">
        <f aca="false">U125</f>
        <v>15.4196007835502</v>
      </c>
      <c r="W126" s="139" t="n">
        <f aca="false">V125</f>
        <v>0</v>
      </c>
      <c r="X126" s="139" t="n">
        <f aca="false">W125</f>
        <v>0</v>
      </c>
      <c r="Y126" s="139" t="n">
        <f aca="false">X125</f>
        <v>0</v>
      </c>
      <c r="Z126" s="139" t="n">
        <f aca="false">Y125</f>
        <v>0</v>
      </c>
      <c r="AA126" s="139" t="n">
        <f aca="false">Z125</f>
        <v>0</v>
      </c>
      <c r="AB126" s="139" t="n">
        <f aca="false">AA125</f>
        <v>0</v>
      </c>
      <c r="AC126" s="139" t="n">
        <f aca="false">AB125</f>
        <v>0</v>
      </c>
    </row>
    <row r="127" s="12" customFormat="true" ht="12.8" hidden="false" customHeight="false" outlineLevel="0" collapsed="false">
      <c r="A127" s="139" t="n">
        <v>5</v>
      </c>
      <c r="B127" s="139" t="n">
        <f aca="false">1/7*B$121</f>
        <v>163.428571428571</v>
      </c>
      <c r="C127" s="139" t="n">
        <f aca="false">1/7*C$121</f>
        <v>163.428571428571</v>
      </c>
      <c r="D127" s="139" t="n">
        <f aca="false">C126</f>
        <v>163.428571428571</v>
      </c>
      <c r="E127" s="139" t="n">
        <f aca="false">D126</f>
        <v>163.428571428571</v>
      </c>
      <c r="F127" s="139" t="n">
        <f aca="false">E126</f>
        <v>163.428571428571</v>
      </c>
      <c r="G127" s="139" t="n">
        <f aca="false">F126</f>
        <v>163.428571428571</v>
      </c>
      <c r="H127" s="139" t="n">
        <f aca="false">G126</f>
        <v>151.988571428571</v>
      </c>
      <c r="I127" s="139" t="n">
        <f aca="false">H126</f>
        <v>149.906491428571</v>
      </c>
      <c r="J127" s="139" t="n">
        <f aca="false">I126</f>
        <v>147.445472868571</v>
      </c>
      <c r="K127" s="139" t="n">
        <f aca="false">J126</f>
        <v>144.536548930651</v>
      </c>
      <c r="L127" s="139" t="n">
        <f aca="false">K126</f>
        <v>141.09820083603</v>
      </c>
      <c r="M127" s="139" t="n">
        <f aca="false">L126</f>
        <v>137.034073388187</v>
      </c>
      <c r="N127" s="139" t="n">
        <f aca="false">M126</f>
        <v>132.230274744838</v>
      </c>
      <c r="O127" s="139" t="n">
        <f aca="false">N126</f>
        <v>117.69353181601</v>
      </c>
      <c r="P127" s="139" t="n">
        <f aca="false">O126</f>
        <v>109.925064313097</v>
      </c>
      <c r="Q127" s="139" t="n">
        <f aca="false">P126</f>
        <v>100.963262536567</v>
      </c>
      <c r="R127" s="139" t="n">
        <f aca="false">Q126</f>
        <v>90.6785161382752</v>
      </c>
      <c r="S127" s="139" t="n">
        <f aca="false">R126</f>
        <v>78.9524044125935</v>
      </c>
      <c r="T127" s="139" t="n">
        <f aca="false">S126</f>
        <v>65.693544278081</v>
      </c>
      <c r="U127" s="139" t="n">
        <f aca="false">T126</f>
        <v>50.8618074567388</v>
      </c>
      <c r="V127" s="139" t="n">
        <f aca="false">U126</f>
        <v>32.089285641157</v>
      </c>
      <c r="W127" s="139" t="n">
        <f aca="false">V126</f>
        <v>15.4196007835502</v>
      </c>
      <c r="X127" s="139" t="n">
        <f aca="false">W126</f>
        <v>0</v>
      </c>
      <c r="Y127" s="139" t="n">
        <f aca="false">X126</f>
        <v>0</v>
      </c>
      <c r="Z127" s="139" t="n">
        <f aca="false">Y126</f>
        <v>0</v>
      </c>
      <c r="AA127" s="139" t="n">
        <f aca="false">Z126</f>
        <v>0</v>
      </c>
      <c r="AB127" s="139" t="n">
        <f aca="false">AA126</f>
        <v>0</v>
      </c>
      <c r="AC127" s="139" t="n">
        <f aca="false">AB126</f>
        <v>0</v>
      </c>
    </row>
    <row r="128" s="12" customFormat="true" ht="12.8" hidden="false" customHeight="false" outlineLevel="0" collapsed="false">
      <c r="A128" s="139" t="n">
        <v>6</v>
      </c>
      <c r="B128" s="139" t="n">
        <f aca="false">1/7*B$121</f>
        <v>163.428571428571</v>
      </c>
      <c r="C128" s="139" t="n">
        <f aca="false">1/7*C$121</f>
        <v>163.428571428571</v>
      </c>
      <c r="D128" s="139" t="n">
        <f aca="false">C127</f>
        <v>163.428571428571</v>
      </c>
      <c r="E128" s="139" t="n">
        <f aca="false">D127</f>
        <v>163.428571428571</v>
      </c>
      <c r="F128" s="139" t="n">
        <f aca="false">E127</f>
        <v>163.428571428571</v>
      </c>
      <c r="G128" s="139" t="n">
        <f aca="false">F127</f>
        <v>163.428571428571</v>
      </c>
      <c r="H128" s="139" t="n">
        <f aca="false">G127</f>
        <v>163.428571428571</v>
      </c>
      <c r="I128" s="139" t="n">
        <f aca="false">H127</f>
        <v>151.988571428571</v>
      </c>
      <c r="J128" s="139" t="n">
        <f aca="false">I127</f>
        <v>149.906491428571</v>
      </c>
      <c r="K128" s="139" t="n">
        <f aca="false">J127</f>
        <v>147.445472868571</v>
      </c>
      <c r="L128" s="139" t="n">
        <f aca="false">K127</f>
        <v>144.536548930651</v>
      </c>
      <c r="M128" s="139" t="n">
        <f aca="false">L127</f>
        <v>141.09820083603</v>
      </c>
      <c r="N128" s="139" t="n">
        <f aca="false">M127</f>
        <v>137.034073388187</v>
      </c>
      <c r="O128" s="139" t="n">
        <f aca="false">N127</f>
        <v>132.230274744838</v>
      </c>
      <c r="P128" s="139" t="n">
        <f aca="false">O127</f>
        <v>117.69353181601</v>
      </c>
      <c r="Q128" s="139" t="n">
        <f aca="false">P127</f>
        <v>109.925064313097</v>
      </c>
      <c r="R128" s="139" t="n">
        <f aca="false">Q127</f>
        <v>100.963262536567</v>
      </c>
      <c r="S128" s="139" t="n">
        <f aca="false">R127</f>
        <v>90.6785161382752</v>
      </c>
      <c r="T128" s="139" t="n">
        <f aca="false">S127</f>
        <v>78.9524044125935</v>
      </c>
      <c r="U128" s="139" t="n">
        <f aca="false">T127</f>
        <v>65.693544278081</v>
      </c>
      <c r="V128" s="139" t="n">
        <f aca="false">U127</f>
        <v>50.8618074567388</v>
      </c>
      <c r="W128" s="139" t="n">
        <f aca="false">V127</f>
        <v>32.089285641157</v>
      </c>
      <c r="X128" s="139" t="n">
        <f aca="false">W127</f>
        <v>15.4196007835502</v>
      </c>
      <c r="Y128" s="139" t="n">
        <f aca="false">X127</f>
        <v>0</v>
      </c>
      <c r="Z128" s="139" t="n">
        <f aca="false">Y127</f>
        <v>0</v>
      </c>
      <c r="AA128" s="139" t="n">
        <f aca="false">Z127</f>
        <v>0</v>
      </c>
      <c r="AB128" s="139" t="n">
        <f aca="false">AA127</f>
        <v>0</v>
      </c>
      <c r="AC128" s="139" t="n">
        <f aca="false">AB127</f>
        <v>0</v>
      </c>
    </row>
    <row r="129" s="12" customFormat="true" ht="12.8" hidden="false" customHeight="false" outlineLevel="0" collapsed="false">
      <c r="A129" s="139" t="n">
        <v>7</v>
      </c>
      <c r="B129" s="139" t="n">
        <f aca="false">1/7*B$121</f>
        <v>163.428571428571</v>
      </c>
      <c r="C129" s="139" t="n">
        <f aca="false">1/7*C$121</f>
        <v>163.428571428571</v>
      </c>
      <c r="D129" s="139" t="n">
        <f aca="false">C128</f>
        <v>163.428571428571</v>
      </c>
      <c r="E129" s="139" t="n">
        <f aca="false">D128</f>
        <v>163.428571428571</v>
      </c>
      <c r="F129" s="139" t="n">
        <f aca="false">E128</f>
        <v>163.428571428571</v>
      </c>
      <c r="G129" s="139" t="n">
        <f aca="false">F128</f>
        <v>163.428571428571</v>
      </c>
      <c r="H129" s="139" t="n">
        <f aca="false">G128</f>
        <v>163.428571428571</v>
      </c>
      <c r="I129" s="139" t="n">
        <f aca="false">H128</f>
        <v>163.428571428571</v>
      </c>
      <c r="J129" s="139" t="n">
        <f aca="false">I128</f>
        <v>151.988571428571</v>
      </c>
      <c r="K129" s="139" t="n">
        <f aca="false">J128</f>
        <v>149.906491428571</v>
      </c>
      <c r="L129" s="139" t="n">
        <f aca="false">K128</f>
        <v>147.445472868571</v>
      </c>
      <c r="M129" s="139" t="n">
        <f aca="false">L128</f>
        <v>144.536548930651</v>
      </c>
      <c r="N129" s="139" t="n">
        <f aca="false">M128</f>
        <v>141.09820083603</v>
      </c>
      <c r="O129" s="139" t="n">
        <f aca="false">N128</f>
        <v>137.034073388187</v>
      </c>
      <c r="P129" s="139" t="n">
        <f aca="false">O128</f>
        <v>132.230274744838</v>
      </c>
      <c r="Q129" s="139" t="n">
        <f aca="false">P128</f>
        <v>117.69353181601</v>
      </c>
      <c r="R129" s="139" t="n">
        <f aca="false">Q128</f>
        <v>109.925064313097</v>
      </c>
      <c r="S129" s="139" t="n">
        <f aca="false">R128</f>
        <v>100.963262536567</v>
      </c>
      <c r="T129" s="139" t="n">
        <f aca="false">S128</f>
        <v>90.6785161382752</v>
      </c>
      <c r="U129" s="139" t="n">
        <f aca="false">T128</f>
        <v>78.9524044125935</v>
      </c>
      <c r="V129" s="139" t="n">
        <f aca="false">U128</f>
        <v>65.693544278081</v>
      </c>
      <c r="W129" s="139" t="n">
        <f aca="false">V128</f>
        <v>50.8618074567388</v>
      </c>
      <c r="X129" s="139" t="n">
        <f aca="false">W128</f>
        <v>32.089285641157</v>
      </c>
      <c r="Y129" s="139" t="n">
        <f aca="false">X128</f>
        <v>15.4196007835502</v>
      </c>
      <c r="Z129" s="139" t="n">
        <f aca="false">Y128</f>
        <v>0</v>
      </c>
      <c r="AA129" s="139" t="n">
        <f aca="false">Z128</f>
        <v>0</v>
      </c>
      <c r="AB129" s="139" t="n">
        <f aca="false">AA128</f>
        <v>0</v>
      </c>
      <c r="AC129" s="139" t="n">
        <f aca="false">AB128</f>
        <v>0</v>
      </c>
    </row>
    <row r="130" customFormat="false" ht="12.8" hidden="false" customHeight="false" outlineLevel="0" collapsed="false">
      <c r="A130" s="130" t="s">
        <v>316</v>
      </c>
      <c r="B130" s="124" t="n">
        <v>2023</v>
      </c>
      <c r="C130" s="124" t="n">
        <v>2024</v>
      </c>
      <c r="D130" s="124" t="n">
        <v>2025</v>
      </c>
      <c r="E130" s="124" t="n">
        <v>2026</v>
      </c>
      <c r="F130" s="124" t="n">
        <v>2027</v>
      </c>
      <c r="G130" s="124" t="n">
        <v>2028</v>
      </c>
      <c r="H130" s="124" t="n">
        <v>2029</v>
      </c>
      <c r="I130" s="124" t="n">
        <v>2030</v>
      </c>
      <c r="J130" s="124" t="n">
        <v>2031</v>
      </c>
      <c r="K130" s="124" t="n">
        <v>2032</v>
      </c>
      <c r="L130" s="124" t="n">
        <v>2033</v>
      </c>
      <c r="M130" s="124" t="n">
        <v>2034</v>
      </c>
      <c r="N130" s="124" t="n">
        <v>2035</v>
      </c>
      <c r="O130" s="124" t="n">
        <v>2036</v>
      </c>
      <c r="P130" s="124" t="n">
        <v>2037</v>
      </c>
      <c r="Q130" s="124" t="n">
        <v>2038</v>
      </c>
      <c r="R130" s="124" t="n">
        <v>2039</v>
      </c>
      <c r="S130" s="124" t="n">
        <v>2040</v>
      </c>
      <c r="T130" s="124" t="n">
        <v>2041</v>
      </c>
      <c r="U130" s="124" t="n">
        <v>2042</v>
      </c>
      <c r="V130" s="124" t="n">
        <v>2043</v>
      </c>
      <c r="W130" s="124" t="n">
        <v>2044</v>
      </c>
      <c r="X130" s="124" t="n">
        <v>2045</v>
      </c>
      <c r="Y130" s="124" t="n">
        <v>2046</v>
      </c>
      <c r="Z130" s="124" t="n">
        <v>2047</v>
      </c>
      <c r="AA130" s="124" t="n">
        <v>2048</v>
      </c>
      <c r="AB130" s="124" t="n">
        <v>2049</v>
      </c>
      <c r="AC130" s="124" t="n">
        <v>2050</v>
      </c>
    </row>
    <row r="131" customFormat="false" ht="12.8" hidden="false" customHeight="false" outlineLevel="0" collapsed="false">
      <c r="A131" s="130" t="s">
        <v>312</v>
      </c>
      <c r="B131" s="136" t="n">
        <v>0</v>
      </c>
      <c r="C131" s="136" t="n">
        <v>0</v>
      </c>
      <c r="D131" s="136" t="n">
        <f aca="false">C131+D133</f>
        <v>22.88</v>
      </c>
      <c r="E131" s="136" t="n">
        <f aca="false">D131+E133</f>
        <v>49.92416</v>
      </c>
      <c r="F131" s="136" t="n">
        <f aca="false">E131+F133</f>
        <v>81.89035712</v>
      </c>
      <c r="G131" s="136" t="n">
        <f aca="false">F131+G133</f>
        <v>119.67440211584</v>
      </c>
      <c r="H131" s="136" t="n">
        <f aca="false">G131+H133</f>
        <v>164.335143300923</v>
      </c>
      <c r="I131" s="136" t="n">
        <f aca="false">H131+I133</f>
        <v>217.124139381691</v>
      </c>
      <c r="J131" s="136" t="n">
        <f aca="false">I131+J133</f>
        <v>279.520732749159</v>
      </c>
      <c r="K131" s="136" t="n">
        <f aca="false">J131+K133</f>
        <v>342.948117839057</v>
      </c>
      <c r="L131" s="136" t="n">
        <f aca="false">K131+L133</f>
        <v>415.698048189025</v>
      </c>
      <c r="M131" s="136" t="n">
        <f aca="false">L131+M133</f>
        <v>498.585119788742</v>
      </c>
      <c r="N131" s="136" t="n">
        <f aca="false">M131+N133</f>
        <v>592.221879139395</v>
      </c>
      <c r="O131" s="136" t="n">
        <f aca="false">N131+O133</f>
        <v>696.842935343258</v>
      </c>
      <c r="P131" s="136" t="n">
        <f aca="false">O131+P133</f>
        <v>807.482510691061</v>
      </c>
      <c r="Q131" s="136" t="n">
        <f aca="false">P131+Q133</f>
        <v>908.514488752165</v>
      </c>
      <c r="R131" s="136" t="n">
        <f aca="false">Q131+R133</f>
        <v>985.635675090838</v>
      </c>
      <c r="S131" s="136" t="n">
        <f aca="false">R131+S133</f>
        <v>1049.27015616944</v>
      </c>
      <c r="T131" s="136" t="n">
        <f aca="false">S131+T133</f>
        <v>1097.8454588783</v>
      </c>
      <c r="U131" s="136" t="n">
        <f aca="false">T131+U133</f>
        <v>1129.85322596037</v>
      </c>
      <c r="V131" s="136" t="n">
        <f aca="false">U131+V133</f>
        <v>1144</v>
      </c>
      <c r="W131" s="136" t="n">
        <f aca="false">V131+W133</f>
        <v>1144</v>
      </c>
      <c r="X131" s="136" t="n">
        <f aca="false">W131+X133</f>
        <v>1144</v>
      </c>
      <c r="Y131" s="136" t="n">
        <f aca="false">X131+Y133</f>
        <v>1144</v>
      </c>
      <c r="Z131" s="136" t="n">
        <f aca="false">Y131+Z133</f>
        <v>1144</v>
      </c>
      <c r="AA131" s="136" t="n">
        <f aca="false">Z131+AA133</f>
        <v>1144</v>
      </c>
      <c r="AB131" s="136" t="n">
        <f aca="false">AA131+AB133</f>
        <v>1144</v>
      </c>
      <c r="AC131" s="136" t="n">
        <f aca="false">AB131+AC133</f>
        <v>1144</v>
      </c>
    </row>
    <row r="132" customFormat="false" ht="12.8" hidden="false" customHeight="false" outlineLevel="0" collapsed="false">
      <c r="A132" s="130" t="s">
        <v>313</v>
      </c>
      <c r="B132" s="136" t="n">
        <v>1144</v>
      </c>
      <c r="C132" s="136" t="n">
        <f aca="false">$B132-C131</f>
        <v>1144</v>
      </c>
      <c r="D132" s="136" t="n">
        <f aca="false">$B132-D131</f>
        <v>1121.12</v>
      </c>
      <c r="E132" s="136" t="n">
        <f aca="false">$B132-E131</f>
        <v>1094.07584</v>
      </c>
      <c r="F132" s="136" t="n">
        <f aca="false">$B132-F131</f>
        <v>1062.10964288</v>
      </c>
      <c r="G132" s="136" t="n">
        <f aca="false">$B132-G131</f>
        <v>1024.32559788416</v>
      </c>
      <c r="H132" s="136" t="n">
        <f aca="false">$B132-H131</f>
        <v>979.664856699077</v>
      </c>
      <c r="I132" s="136" t="n">
        <f aca="false">$B132-I131</f>
        <v>926.875860618309</v>
      </c>
      <c r="J132" s="136" t="n">
        <f aca="false">$B132-J131</f>
        <v>864.479267250841</v>
      </c>
      <c r="K132" s="136" t="n">
        <f aca="false">$B132-K131</f>
        <v>801.051882160943</v>
      </c>
      <c r="L132" s="136" t="n">
        <f aca="false">$B132-L131</f>
        <v>728.301951810975</v>
      </c>
      <c r="M132" s="136" t="n">
        <f aca="false">$B132-M131</f>
        <v>645.414880211258</v>
      </c>
      <c r="N132" s="136" t="n">
        <f aca="false">$B132-N131</f>
        <v>551.778120860605</v>
      </c>
      <c r="O132" s="136" t="n">
        <f aca="false">$B132-O131</f>
        <v>447.157064656743</v>
      </c>
      <c r="P132" s="136" t="n">
        <f aca="false">$B132-P131</f>
        <v>336.517489308939</v>
      </c>
      <c r="Q132" s="136" t="n">
        <f aca="false">$B132-Q131</f>
        <v>235.485511247835</v>
      </c>
      <c r="R132" s="136" t="n">
        <f aca="false">$B132-R131</f>
        <v>158.364324909162</v>
      </c>
      <c r="S132" s="136" t="n">
        <f aca="false">$B132-S131</f>
        <v>94.7298438305586</v>
      </c>
      <c r="T132" s="136" t="n">
        <f aca="false">$B132-T131</f>
        <v>46.1545411217048</v>
      </c>
      <c r="U132" s="136" t="n">
        <f aca="false">$B132-U131</f>
        <v>14.1467740396261</v>
      </c>
      <c r="V132" s="136" t="n">
        <f aca="false">$B132-V131</f>
        <v>0</v>
      </c>
      <c r="W132" s="136" t="n">
        <f aca="false">$B132-W131</f>
        <v>0</v>
      </c>
      <c r="X132" s="136" t="n">
        <f aca="false">$B132-X131</f>
        <v>0</v>
      </c>
      <c r="Y132" s="136" t="n">
        <f aca="false">$B132-Y131</f>
        <v>0</v>
      </c>
      <c r="Z132" s="136" t="n">
        <f aca="false">$B132-Z131</f>
        <v>0</v>
      </c>
      <c r="AA132" s="136" t="n">
        <f aca="false">$B132-AA131</f>
        <v>0</v>
      </c>
      <c r="AB132" s="136" t="n">
        <f aca="false">$B132-AB131</f>
        <v>0</v>
      </c>
      <c r="AC132" s="136" t="n">
        <f aca="false">$B132-AC131</f>
        <v>0</v>
      </c>
    </row>
    <row r="133" customFormat="false" ht="11.9" hidden="false" customHeight="true" outlineLevel="0" collapsed="false">
      <c r="A133" s="0" t="s">
        <v>314</v>
      </c>
      <c r="B133" s="136"/>
      <c r="C133" s="136"/>
      <c r="D133" s="136" t="n">
        <f aca="false">B86*C140</f>
        <v>22.88</v>
      </c>
      <c r="E133" s="136" t="n">
        <f aca="false">C86*D140</f>
        <v>27.04416</v>
      </c>
      <c r="F133" s="136" t="n">
        <f aca="false">D86*E140</f>
        <v>31.96619712</v>
      </c>
      <c r="G133" s="136" t="n">
        <f aca="false">E86*F140</f>
        <v>37.78404499584</v>
      </c>
      <c r="H133" s="136" t="n">
        <f aca="false">F86*G140</f>
        <v>44.6607411850829</v>
      </c>
      <c r="I133" s="136" t="n">
        <f aca="false">G86*H140</f>
        <v>52.788996080768</v>
      </c>
      <c r="J133" s="136" t="n">
        <f aca="false">H86*I140</f>
        <v>62.3965933674677</v>
      </c>
      <c r="K133" s="136" t="n">
        <f aca="false">I86*J140</f>
        <v>63.4273850898983</v>
      </c>
      <c r="L133" s="136" t="n">
        <f aca="false">J86*K140</f>
        <v>72.7499303499678</v>
      </c>
      <c r="M133" s="136" t="n">
        <f aca="false">K86*L140</f>
        <v>82.8870715997176</v>
      </c>
      <c r="N133" s="136" t="n">
        <f aca="false">L86*M140</f>
        <v>93.6367593506528</v>
      </c>
      <c r="O133" s="136" t="n">
        <f aca="false">M86*N140</f>
        <v>104.621056203863</v>
      </c>
      <c r="P133" s="136" t="n">
        <f aca="false">N86*O140</f>
        <v>110.639575347803</v>
      </c>
      <c r="Q133" s="136" t="n">
        <f aca="false">O86*P140</f>
        <v>101.031978061104</v>
      </c>
      <c r="R133" s="136" t="n">
        <f aca="false">P86*Q140</f>
        <v>77.1211863386731</v>
      </c>
      <c r="S133" s="136" t="n">
        <f aca="false">Q86*R140</f>
        <v>63.6344810786036</v>
      </c>
      <c r="T133" s="136" t="n">
        <f aca="false">R86*S140</f>
        <v>48.5753027088538</v>
      </c>
      <c r="U133" s="136" t="n">
        <f aca="false">S86*T140</f>
        <v>32.0077670820787</v>
      </c>
      <c r="V133" s="136" t="n">
        <f aca="false">T86*U140</f>
        <v>14.1467740396259</v>
      </c>
      <c r="W133" s="136" t="n">
        <f aca="false">U86*V140</f>
        <v>0</v>
      </c>
      <c r="X133" s="136" t="n">
        <f aca="false">V86*W140</f>
        <v>0</v>
      </c>
      <c r="Y133" s="136" t="n">
        <f aca="false">W86*X140</f>
        <v>0</v>
      </c>
      <c r="Z133" s="136" t="n">
        <f aca="false">X86*Y140</f>
        <v>0</v>
      </c>
      <c r="AA133" s="136" t="n">
        <f aca="false">Y86*Z140</f>
        <v>0</v>
      </c>
      <c r="AB133" s="136" t="n">
        <f aca="false">Z86*AA140</f>
        <v>0</v>
      </c>
      <c r="AC133" s="136" t="n">
        <f aca="false">AA86*AB140</f>
        <v>0</v>
      </c>
    </row>
    <row r="134" customFormat="false" ht="12.8" hidden="false" customHeight="false" outlineLevel="0" collapsed="false">
      <c r="A134" s="139" t="n">
        <v>1</v>
      </c>
      <c r="B134" s="139" t="n">
        <f aca="false">1/7*B$132</f>
        <v>163.428571428571</v>
      </c>
      <c r="C134" s="139" t="n">
        <f aca="false">1/7*C$132</f>
        <v>163.428571428571</v>
      </c>
      <c r="D134" s="139" t="n">
        <f aca="false">C140-D133</f>
        <v>140.548571428571</v>
      </c>
      <c r="E134" s="139" t="n">
        <f aca="false">D140-E133</f>
        <v>136.384411428571</v>
      </c>
      <c r="F134" s="139" t="n">
        <f aca="false">E140-F133</f>
        <v>131.462374308571</v>
      </c>
      <c r="G134" s="139" t="n">
        <f aca="false">F140-G133</f>
        <v>125.644526432731</v>
      </c>
      <c r="H134" s="139" t="n">
        <f aca="false">G140-H133</f>
        <v>118.767830243489</v>
      </c>
      <c r="I134" s="139" t="n">
        <f aca="false">H140-I133</f>
        <v>110.639575347803</v>
      </c>
      <c r="J134" s="139" t="n">
        <f aca="false">I140-J133</f>
        <v>101.031978061104</v>
      </c>
      <c r="K134" s="139" t="n">
        <f aca="false">J140-K133</f>
        <v>77.1211863386731</v>
      </c>
      <c r="L134" s="139" t="n">
        <f aca="false">K140-L133</f>
        <v>63.6344810786036</v>
      </c>
      <c r="M134" s="139" t="n">
        <f aca="false">L140-M133</f>
        <v>48.5753027088538</v>
      </c>
      <c r="N134" s="139" t="n">
        <f aca="false">M140-N133</f>
        <v>32.0077670820787</v>
      </c>
      <c r="O134" s="139" t="n">
        <f aca="false">N140-O133</f>
        <v>14.1467740396259</v>
      </c>
      <c r="P134" s="139" t="n">
        <f aca="false">O140-P133</f>
        <v>0</v>
      </c>
      <c r="Q134" s="139" t="n">
        <f aca="false">P140-Q133</f>
        <v>0</v>
      </c>
      <c r="R134" s="139" t="n">
        <f aca="false">Q140-R133</f>
        <v>0</v>
      </c>
      <c r="S134" s="139" t="n">
        <f aca="false">R140-S133</f>
        <v>0</v>
      </c>
      <c r="T134" s="139" t="n">
        <f aca="false">S140-T133</f>
        <v>0</v>
      </c>
      <c r="U134" s="139" t="n">
        <f aca="false">T140-U133</f>
        <v>0</v>
      </c>
      <c r="V134" s="139" t="n">
        <f aca="false">U140-V133</f>
        <v>0</v>
      </c>
      <c r="W134" s="139" t="n">
        <f aca="false">V140-W133</f>
        <v>0</v>
      </c>
      <c r="X134" s="139" t="n">
        <f aca="false">W140-X133</f>
        <v>0</v>
      </c>
      <c r="Y134" s="139" t="n">
        <f aca="false">X140-Y133</f>
        <v>0</v>
      </c>
      <c r="Z134" s="139" t="n">
        <f aca="false">Y140-Z133</f>
        <v>0</v>
      </c>
      <c r="AA134" s="139" t="n">
        <f aca="false">Z140-AA133</f>
        <v>0</v>
      </c>
      <c r="AB134" s="139" t="n">
        <f aca="false">AA140-AB133</f>
        <v>0</v>
      </c>
      <c r="AC134" s="139" t="n">
        <f aca="false">AB140-AC133</f>
        <v>0</v>
      </c>
      <c r="AD134" s="12"/>
    </row>
    <row r="135" customFormat="false" ht="12.8" hidden="false" customHeight="false" outlineLevel="0" collapsed="false">
      <c r="A135" s="139" t="n">
        <v>2</v>
      </c>
      <c r="B135" s="139" t="n">
        <f aca="false">1/7*B$132</f>
        <v>163.428571428571</v>
      </c>
      <c r="C135" s="139" t="n">
        <f aca="false">1/7*C$132</f>
        <v>163.428571428571</v>
      </c>
      <c r="D135" s="139" t="n">
        <f aca="false">C134</f>
        <v>163.428571428571</v>
      </c>
      <c r="E135" s="139" t="n">
        <f aca="false">D134</f>
        <v>140.548571428571</v>
      </c>
      <c r="F135" s="139" t="n">
        <f aca="false">E134</f>
        <v>136.384411428571</v>
      </c>
      <c r="G135" s="139" t="n">
        <f aca="false">F134</f>
        <v>131.462374308571</v>
      </c>
      <c r="H135" s="139" t="n">
        <f aca="false">G134</f>
        <v>125.644526432731</v>
      </c>
      <c r="I135" s="139" t="n">
        <f aca="false">H134</f>
        <v>118.767830243489</v>
      </c>
      <c r="J135" s="139" t="n">
        <f aca="false">I134</f>
        <v>110.639575347803</v>
      </c>
      <c r="K135" s="139" t="n">
        <f aca="false">J134</f>
        <v>101.031978061104</v>
      </c>
      <c r="L135" s="139" t="n">
        <f aca="false">K134</f>
        <v>77.1211863386731</v>
      </c>
      <c r="M135" s="139" t="n">
        <f aca="false">L134</f>
        <v>63.6344810786036</v>
      </c>
      <c r="N135" s="139" t="n">
        <f aca="false">M134</f>
        <v>48.5753027088538</v>
      </c>
      <c r="O135" s="139" t="n">
        <f aca="false">N134</f>
        <v>32.0077670820787</v>
      </c>
      <c r="P135" s="139" t="n">
        <f aca="false">O134</f>
        <v>14.1467740396259</v>
      </c>
      <c r="Q135" s="139" t="n">
        <f aca="false">P134</f>
        <v>0</v>
      </c>
      <c r="R135" s="139" t="n">
        <f aca="false">Q134</f>
        <v>0</v>
      </c>
      <c r="S135" s="139" t="n">
        <f aca="false">R134</f>
        <v>0</v>
      </c>
      <c r="T135" s="139" t="n">
        <f aca="false">S134</f>
        <v>0</v>
      </c>
      <c r="U135" s="139" t="n">
        <f aca="false">T134</f>
        <v>0</v>
      </c>
      <c r="V135" s="139" t="n">
        <f aca="false">U134</f>
        <v>0</v>
      </c>
      <c r="W135" s="139" t="n">
        <f aca="false">V134</f>
        <v>0</v>
      </c>
      <c r="X135" s="139" t="n">
        <f aca="false">W134</f>
        <v>0</v>
      </c>
      <c r="Y135" s="139" t="n">
        <f aca="false">X134</f>
        <v>0</v>
      </c>
      <c r="Z135" s="139" t="n">
        <f aca="false">Y134</f>
        <v>0</v>
      </c>
      <c r="AA135" s="139" t="n">
        <f aca="false">Z134</f>
        <v>0</v>
      </c>
      <c r="AB135" s="139" t="n">
        <f aca="false">AA134</f>
        <v>0</v>
      </c>
      <c r="AC135" s="139" t="n">
        <f aca="false">AB134</f>
        <v>0</v>
      </c>
      <c r="AD135" s="12"/>
    </row>
    <row r="136" customFormat="false" ht="12.8" hidden="false" customHeight="false" outlineLevel="0" collapsed="false">
      <c r="A136" s="139" t="n">
        <v>3</v>
      </c>
      <c r="B136" s="139" t="n">
        <f aca="false">1/7*B$132</f>
        <v>163.428571428571</v>
      </c>
      <c r="C136" s="139" t="n">
        <f aca="false">1/7*C$132</f>
        <v>163.428571428571</v>
      </c>
      <c r="D136" s="139" t="n">
        <f aca="false">C135</f>
        <v>163.428571428571</v>
      </c>
      <c r="E136" s="139" t="n">
        <f aca="false">D135</f>
        <v>163.428571428571</v>
      </c>
      <c r="F136" s="139" t="n">
        <f aca="false">E135</f>
        <v>140.548571428571</v>
      </c>
      <c r="G136" s="139" t="n">
        <f aca="false">F135</f>
        <v>136.384411428571</v>
      </c>
      <c r="H136" s="139" t="n">
        <f aca="false">G135</f>
        <v>131.462374308571</v>
      </c>
      <c r="I136" s="139" t="n">
        <f aca="false">H135</f>
        <v>125.644526432731</v>
      </c>
      <c r="J136" s="139" t="n">
        <f aca="false">I135</f>
        <v>118.767830243489</v>
      </c>
      <c r="K136" s="139" t="n">
        <f aca="false">J135</f>
        <v>110.639575347803</v>
      </c>
      <c r="L136" s="139" t="n">
        <f aca="false">K135</f>
        <v>101.031978061104</v>
      </c>
      <c r="M136" s="139" t="n">
        <f aca="false">L135</f>
        <v>77.1211863386731</v>
      </c>
      <c r="N136" s="139" t="n">
        <f aca="false">M135</f>
        <v>63.6344810786036</v>
      </c>
      <c r="O136" s="139" t="n">
        <f aca="false">N135</f>
        <v>48.5753027088538</v>
      </c>
      <c r="P136" s="139" t="n">
        <f aca="false">O135</f>
        <v>32.0077670820787</v>
      </c>
      <c r="Q136" s="139" t="n">
        <f aca="false">P135</f>
        <v>14.1467740396259</v>
      </c>
      <c r="R136" s="139" t="n">
        <f aca="false">Q135</f>
        <v>0</v>
      </c>
      <c r="S136" s="139" t="n">
        <f aca="false">R135</f>
        <v>0</v>
      </c>
      <c r="T136" s="139" t="n">
        <f aca="false">S135</f>
        <v>0</v>
      </c>
      <c r="U136" s="139" t="n">
        <f aca="false">T135</f>
        <v>0</v>
      </c>
      <c r="V136" s="139" t="n">
        <f aca="false">U135</f>
        <v>0</v>
      </c>
      <c r="W136" s="139" t="n">
        <f aca="false">V135</f>
        <v>0</v>
      </c>
      <c r="X136" s="139" t="n">
        <f aca="false">W135</f>
        <v>0</v>
      </c>
      <c r="Y136" s="139" t="n">
        <f aca="false">X135</f>
        <v>0</v>
      </c>
      <c r="Z136" s="139" t="n">
        <f aca="false">Y135</f>
        <v>0</v>
      </c>
      <c r="AA136" s="139" t="n">
        <f aca="false">Z135</f>
        <v>0</v>
      </c>
      <c r="AB136" s="139" t="n">
        <f aca="false">AA135</f>
        <v>0</v>
      </c>
      <c r="AC136" s="139" t="n">
        <f aca="false">AB135</f>
        <v>0</v>
      </c>
      <c r="AD136" s="12"/>
    </row>
    <row r="137" customFormat="false" ht="12.8" hidden="false" customHeight="false" outlineLevel="0" collapsed="false">
      <c r="A137" s="139" t="n">
        <v>4</v>
      </c>
      <c r="B137" s="139" t="n">
        <f aca="false">1/7*B$132</f>
        <v>163.428571428571</v>
      </c>
      <c r="C137" s="139" t="n">
        <f aca="false">1/7*C$132</f>
        <v>163.428571428571</v>
      </c>
      <c r="D137" s="139" t="n">
        <f aca="false">C136</f>
        <v>163.428571428571</v>
      </c>
      <c r="E137" s="139" t="n">
        <f aca="false">D136</f>
        <v>163.428571428571</v>
      </c>
      <c r="F137" s="139" t="n">
        <f aca="false">E136</f>
        <v>163.428571428571</v>
      </c>
      <c r="G137" s="139" t="n">
        <f aca="false">F136</f>
        <v>140.548571428571</v>
      </c>
      <c r="H137" s="139" t="n">
        <f aca="false">G136</f>
        <v>136.384411428571</v>
      </c>
      <c r="I137" s="139" t="n">
        <f aca="false">H136</f>
        <v>131.462374308571</v>
      </c>
      <c r="J137" s="139" t="n">
        <f aca="false">I136</f>
        <v>125.644526432731</v>
      </c>
      <c r="K137" s="139" t="n">
        <f aca="false">J136</f>
        <v>118.767830243489</v>
      </c>
      <c r="L137" s="139" t="n">
        <f aca="false">K136</f>
        <v>110.639575347803</v>
      </c>
      <c r="M137" s="139" t="n">
        <f aca="false">L136</f>
        <v>101.031978061104</v>
      </c>
      <c r="N137" s="139" t="n">
        <f aca="false">M136</f>
        <v>77.1211863386731</v>
      </c>
      <c r="O137" s="139" t="n">
        <f aca="false">N136</f>
        <v>63.6344810786036</v>
      </c>
      <c r="P137" s="139" t="n">
        <f aca="false">O136</f>
        <v>48.5753027088538</v>
      </c>
      <c r="Q137" s="139" t="n">
        <f aca="false">P136</f>
        <v>32.0077670820787</v>
      </c>
      <c r="R137" s="139" t="n">
        <f aca="false">Q136</f>
        <v>14.1467740396259</v>
      </c>
      <c r="S137" s="139" t="n">
        <f aca="false">R136</f>
        <v>0</v>
      </c>
      <c r="T137" s="139" t="n">
        <f aca="false">S136</f>
        <v>0</v>
      </c>
      <c r="U137" s="139" t="n">
        <f aca="false">T136</f>
        <v>0</v>
      </c>
      <c r="V137" s="139" t="n">
        <f aca="false">U136</f>
        <v>0</v>
      </c>
      <c r="W137" s="139" t="n">
        <f aca="false">V136</f>
        <v>0</v>
      </c>
      <c r="X137" s="139" t="n">
        <f aca="false">W136</f>
        <v>0</v>
      </c>
      <c r="Y137" s="139" t="n">
        <f aca="false">X136</f>
        <v>0</v>
      </c>
      <c r="Z137" s="139" t="n">
        <f aca="false">Y136</f>
        <v>0</v>
      </c>
      <c r="AA137" s="139" t="n">
        <f aca="false">Z136</f>
        <v>0</v>
      </c>
      <c r="AB137" s="139" t="n">
        <f aca="false">AA136</f>
        <v>0</v>
      </c>
      <c r="AC137" s="139" t="n">
        <f aca="false">AB136</f>
        <v>0</v>
      </c>
      <c r="AD137" s="12"/>
    </row>
    <row r="138" customFormat="false" ht="12.8" hidden="false" customHeight="false" outlineLevel="0" collapsed="false">
      <c r="A138" s="139" t="n">
        <v>5</v>
      </c>
      <c r="B138" s="139" t="n">
        <f aca="false">1/7*B$132</f>
        <v>163.428571428571</v>
      </c>
      <c r="C138" s="139" t="n">
        <f aca="false">1/7*C$132</f>
        <v>163.428571428571</v>
      </c>
      <c r="D138" s="139" t="n">
        <f aca="false">C137</f>
        <v>163.428571428571</v>
      </c>
      <c r="E138" s="139" t="n">
        <f aca="false">D137</f>
        <v>163.428571428571</v>
      </c>
      <c r="F138" s="139" t="n">
        <f aca="false">E137</f>
        <v>163.428571428571</v>
      </c>
      <c r="G138" s="139" t="n">
        <f aca="false">F137</f>
        <v>163.428571428571</v>
      </c>
      <c r="H138" s="139" t="n">
        <f aca="false">G137</f>
        <v>140.548571428571</v>
      </c>
      <c r="I138" s="139" t="n">
        <f aca="false">H137</f>
        <v>136.384411428571</v>
      </c>
      <c r="J138" s="139" t="n">
        <f aca="false">I137</f>
        <v>131.462374308571</v>
      </c>
      <c r="K138" s="139" t="n">
        <f aca="false">J137</f>
        <v>125.644526432731</v>
      </c>
      <c r="L138" s="139" t="n">
        <f aca="false">K137</f>
        <v>118.767830243489</v>
      </c>
      <c r="M138" s="139" t="n">
        <f aca="false">L137</f>
        <v>110.639575347803</v>
      </c>
      <c r="N138" s="139" t="n">
        <f aca="false">M137</f>
        <v>101.031978061104</v>
      </c>
      <c r="O138" s="139" t="n">
        <f aca="false">N137</f>
        <v>77.1211863386731</v>
      </c>
      <c r="P138" s="139" t="n">
        <f aca="false">O137</f>
        <v>63.6344810786036</v>
      </c>
      <c r="Q138" s="139" t="n">
        <f aca="false">P137</f>
        <v>48.5753027088538</v>
      </c>
      <c r="R138" s="139" t="n">
        <f aca="false">Q137</f>
        <v>32.0077670820787</v>
      </c>
      <c r="S138" s="139" t="n">
        <f aca="false">R137</f>
        <v>14.1467740396259</v>
      </c>
      <c r="T138" s="139" t="n">
        <f aca="false">S137</f>
        <v>0</v>
      </c>
      <c r="U138" s="139" t="n">
        <f aca="false">T137</f>
        <v>0</v>
      </c>
      <c r="V138" s="139" t="n">
        <f aca="false">U137</f>
        <v>0</v>
      </c>
      <c r="W138" s="139" t="n">
        <f aca="false">V137</f>
        <v>0</v>
      </c>
      <c r="X138" s="139" t="n">
        <f aca="false">W137</f>
        <v>0</v>
      </c>
      <c r="Y138" s="139" t="n">
        <f aca="false">X137</f>
        <v>0</v>
      </c>
      <c r="Z138" s="139" t="n">
        <f aca="false">Y137</f>
        <v>0</v>
      </c>
      <c r="AA138" s="139" t="n">
        <f aca="false">Z137</f>
        <v>0</v>
      </c>
      <c r="AB138" s="139" t="n">
        <f aca="false">AA137</f>
        <v>0</v>
      </c>
      <c r="AC138" s="139" t="n">
        <f aca="false">AB137</f>
        <v>0</v>
      </c>
      <c r="AD138" s="12"/>
    </row>
    <row r="139" customFormat="false" ht="12.8" hidden="false" customHeight="false" outlineLevel="0" collapsed="false">
      <c r="A139" s="139" t="n">
        <v>6</v>
      </c>
      <c r="B139" s="139" t="n">
        <f aca="false">1/7*B$132</f>
        <v>163.428571428571</v>
      </c>
      <c r="C139" s="139" t="n">
        <f aca="false">1/7*C$132</f>
        <v>163.428571428571</v>
      </c>
      <c r="D139" s="139" t="n">
        <f aca="false">C138</f>
        <v>163.428571428571</v>
      </c>
      <c r="E139" s="139" t="n">
        <f aca="false">D138</f>
        <v>163.428571428571</v>
      </c>
      <c r="F139" s="139" t="n">
        <f aca="false">E138</f>
        <v>163.428571428571</v>
      </c>
      <c r="G139" s="139" t="n">
        <f aca="false">F138</f>
        <v>163.428571428571</v>
      </c>
      <c r="H139" s="139" t="n">
        <f aca="false">G138</f>
        <v>163.428571428571</v>
      </c>
      <c r="I139" s="139" t="n">
        <f aca="false">H138</f>
        <v>140.548571428571</v>
      </c>
      <c r="J139" s="139" t="n">
        <f aca="false">I138</f>
        <v>136.384411428571</v>
      </c>
      <c r="K139" s="139" t="n">
        <f aca="false">J138</f>
        <v>131.462374308571</v>
      </c>
      <c r="L139" s="139" t="n">
        <f aca="false">K138</f>
        <v>125.644526432731</v>
      </c>
      <c r="M139" s="139" t="n">
        <f aca="false">L138</f>
        <v>118.767830243489</v>
      </c>
      <c r="N139" s="139" t="n">
        <f aca="false">M138</f>
        <v>110.639575347803</v>
      </c>
      <c r="O139" s="139" t="n">
        <f aca="false">N138</f>
        <v>101.031978061104</v>
      </c>
      <c r="P139" s="139" t="n">
        <f aca="false">O138</f>
        <v>77.1211863386731</v>
      </c>
      <c r="Q139" s="139" t="n">
        <f aca="false">P138</f>
        <v>63.6344810786036</v>
      </c>
      <c r="R139" s="139" t="n">
        <f aca="false">Q138</f>
        <v>48.5753027088538</v>
      </c>
      <c r="S139" s="139" t="n">
        <f aca="false">R138</f>
        <v>32.0077670820787</v>
      </c>
      <c r="T139" s="139" t="n">
        <f aca="false">S138</f>
        <v>14.1467740396259</v>
      </c>
      <c r="U139" s="139" t="n">
        <f aca="false">T138</f>
        <v>0</v>
      </c>
      <c r="V139" s="139" t="n">
        <f aca="false">U138</f>
        <v>0</v>
      </c>
      <c r="W139" s="139" t="n">
        <f aca="false">V138</f>
        <v>0</v>
      </c>
      <c r="X139" s="139" t="n">
        <f aca="false">W138</f>
        <v>0</v>
      </c>
      <c r="Y139" s="139" t="n">
        <f aca="false">X138</f>
        <v>0</v>
      </c>
      <c r="Z139" s="139" t="n">
        <f aca="false">Y138</f>
        <v>0</v>
      </c>
      <c r="AA139" s="139" t="n">
        <f aca="false">Z138</f>
        <v>0</v>
      </c>
      <c r="AB139" s="139" t="n">
        <f aca="false">AA138</f>
        <v>0</v>
      </c>
      <c r="AC139" s="139" t="n">
        <f aca="false">AB138</f>
        <v>0</v>
      </c>
      <c r="AD139" s="12"/>
    </row>
    <row r="140" customFormat="false" ht="12.8" hidden="false" customHeight="false" outlineLevel="0" collapsed="false">
      <c r="A140" s="139" t="n">
        <v>7</v>
      </c>
      <c r="B140" s="139" t="n">
        <f aca="false">1/7*B$132</f>
        <v>163.428571428571</v>
      </c>
      <c r="C140" s="139" t="n">
        <f aca="false">1/7*C$132</f>
        <v>163.428571428571</v>
      </c>
      <c r="D140" s="139" t="n">
        <f aca="false">C139</f>
        <v>163.428571428571</v>
      </c>
      <c r="E140" s="139" t="n">
        <f aca="false">D139</f>
        <v>163.428571428571</v>
      </c>
      <c r="F140" s="139" t="n">
        <f aca="false">E139</f>
        <v>163.428571428571</v>
      </c>
      <c r="G140" s="139" t="n">
        <f aca="false">F139</f>
        <v>163.428571428571</v>
      </c>
      <c r="H140" s="139" t="n">
        <f aca="false">G139</f>
        <v>163.428571428571</v>
      </c>
      <c r="I140" s="139" t="n">
        <f aca="false">H139</f>
        <v>163.428571428571</v>
      </c>
      <c r="J140" s="139" t="n">
        <f aca="false">I139</f>
        <v>140.548571428571</v>
      </c>
      <c r="K140" s="139" t="n">
        <f aca="false">J139</f>
        <v>136.384411428571</v>
      </c>
      <c r="L140" s="139" t="n">
        <f aca="false">K139</f>
        <v>131.462374308571</v>
      </c>
      <c r="M140" s="139" t="n">
        <f aca="false">L139</f>
        <v>125.644526432731</v>
      </c>
      <c r="N140" s="139" t="n">
        <f aca="false">M139</f>
        <v>118.767830243489</v>
      </c>
      <c r="O140" s="139" t="n">
        <f aca="false">N139</f>
        <v>110.639575347803</v>
      </c>
      <c r="P140" s="139" t="n">
        <f aca="false">O139</f>
        <v>101.031978061104</v>
      </c>
      <c r="Q140" s="139" t="n">
        <f aca="false">P139</f>
        <v>77.1211863386731</v>
      </c>
      <c r="R140" s="139" t="n">
        <f aca="false">Q139</f>
        <v>63.6344810786036</v>
      </c>
      <c r="S140" s="139" t="n">
        <f aca="false">R139</f>
        <v>48.5753027088538</v>
      </c>
      <c r="T140" s="139" t="n">
        <f aca="false">S139</f>
        <v>32.0077670820787</v>
      </c>
      <c r="U140" s="139" t="n">
        <f aca="false">T139</f>
        <v>14.1467740396259</v>
      </c>
      <c r="V140" s="139" t="n">
        <f aca="false">U139</f>
        <v>0</v>
      </c>
      <c r="W140" s="139" t="n">
        <f aca="false">V139</f>
        <v>0</v>
      </c>
      <c r="X140" s="139" t="n">
        <f aca="false">W139</f>
        <v>0</v>
      </c>
      <c r="Y140" s="139" t="n">
        <f aca="false">X139</f>
        <v>0</v>
      </c>
      <c r="Z140" s="139" t="n">
        <f aca="false">Y139</f>
        <v>0</v>
      </c>
      <c r="AA140" s="139" t="n">
        <f aca="false">Z139</f>
        <v>0</v>
      </c>
      <c r="AB140" s="139" t="n">
        <f aca="false">AA139</f>
        <v>0</v>
      </c>
      <c r="AC140" s="139" t="n">
        <f aca="false">AB139</f>
        <v>0</v>
      </c>
      <c r="AD140" s="12"/>
    </row>
    <row r="141" customFormat="false" ht="12.8" hidden="false" customHeight="false" outlineLevel="0" collapsed="false">
      <c r="A141" s="130" t="s">
        <v>317</v>
      </c>
      <c r="B141" s="124" t="n">
        <v>2023</v>
      </c>
      <c r="C141" s="124" t="n">
        <v>2024</v>
      </c>
      <c r="D141" s="124" t="n">
        <v>2025</v>
      </c>
      <c r="E141" s="124" t="n">
        <v>2026</v>
      </c>
      <c r="F141" s="124" t="n">
        <v>2027</v>
      </c>
      <c r="G141" s="124" t="n">
        <v>2028</v>
      </c>
      <c r="H141" s="124" t="n">
        <v>2029</v>
      </c>
      <c r="I141" s="124" t="n">
        <v>2030</v>
      </c>
      <c r="J141" s="124" t="n">
        <v>2031</v>
      </c>
      <c r="K141" s="124" t="n">
        <v>2032</v>
      </c>
      <c r="L141" s="124" t="n">
        <v>2033</v>
      </c>
      <c r="M141" s="124" t="n">
        <v>2034</v>
      </c>
      <c r="N141" s="124" t="n">
        <v>2035</v>
      </c>
      <c r="O141" s="124" t="n">
        <v>2036</v>
      </c>
      <c r="P141" s="124" t="n">
        <v>2037</v>
      </c>
      <c r="Q141" s="124" t="n">
        <v>2038</v>
      </c>
      <c r="R141" s="124" t="n">
        <v>2039</v>
      </c>
      <c r="S141" s="124" t="n">
        <v>2040</v>
      </c>
      <c r="T141" s="124" t="n">
        <v>2041</v>
      </c>
      <c r="U141" s="124" t="n">
        <v>2042</v>
      </c>
      <c r="V141" s="124" t="n">
        <v>2043</v>
      </c>
      <c r="W141" s="124" t="n">
        <v>2044</v>
      </c>
      <c r="X141" s="124" t="n">
        <v>2045</v>
      </c>
      <c r="Y141" s="124" t="n">
        <v>2046</v>
      </c>
      <c r="Z141" s="124" t="n">
        <v>2047</v>
      </c>
      <c r="AA141" s="124" t="n">
        <v>2048</v>
      </c>
      <c r="AB141" s="124" t="n">
        <v>2049</v>
      </c>
      <c r="AC141" s="124" t="n">
        <v>2050</v>
      </c>
    </row>
    <row r="142" customFormat="false" ht="12.8" hidden="false" customHeight="false" outlineLevel="0" collapsed="false">
      <c r="A142" s="130" t="s">
        <v>312</v>
      </c>
      <c r="B142" s="136" t="n">
        <v>0</v>
      </c>
      <c r="C142" s="136" t="n">
        <v>0</v>
      </c>
      <c r="D142" s="136" t="n">
        <f aca="false">C142+D144</f>
        <v>40.8571428571429</v>
      </c>
      <c r="E142" s="136" t="n">
        <f aca="false">D142+E144</f>
        <v>89.1502857142857</v>
      </c>
      <c r="F142" s="136" t="n">
        <f aca="false">E142+F144</f>
        <v>146.232780571429</v>
      </c>
      <c r="G142" s="136" t="n">
        <f aca="false">F142+G144</f>
        <v>213.704289492571</v>
      </c>
      <c r="H142" s="136" t="n">
        <f aca="false">G142+H144</f>
        <v>293.455613037362</v>
      </c>
      <c r="I142" s="136" t="n">
        <f aca="false">H142+I144</f>
        <v>387.721677467305</v>
      </c>
      <c r="J142" s="136" t="n">
        <f aca="false">I142+J144</f>
        <v>499.144165623497</v>
      </c>
      <c r="K142" s="136" t="n">
        <f aca="false">J142+K144</f>
        <v>597.920201373962</v>
      </c>
      <c r="L142" s="136" t="n">
        <f aca="false">K142+L144</f>
        <v>707.590443659417</v>
      </c>
      <c r="M142" s="136" t="n">
        <f aca="false">L142+M144</f>
        <v>813.936520230845</v>
      </c>
      <c r="N142" s="136" t="n">
        <f aca="false">M142+N144</f>
        <v>909.893582738274</v>
      </c>
      <c r="O142" s="136" t="n">
        <f aca="false">N142+O144</f>
        <v>993.570830622054</v>
      </c>
      <c r="P142" s="136" t="n">
        <f aca="false">O142+P144</f>
        <v>1062.73333762068</v>
      </c>
      <c r="Q142" s="136" t="n">
        <f aca="false">P142+Q144</f>
        <v>1114.73942089306</v>
      </c>
      <c r="R142" s="136" t="n">
        <f aca="false">Q142+R144</f>
        <v>1138.53481371403</v>
      </c>
      <c r="S142" s="136" t="n">
        <f aca="false">R142+S144</f>
        <v>1144</v>
      </c>
      <c r="T142" s="136" t="n">
        <f aca="false">S142+T144</f>
        <v>1144</v>
      </c>
      <c r="U142" s="136" t="n">
        <f aca="false">T142+U144</f>
        <v>1144</v>
      </c>
      <c r="V142" s="136" t="n">
        <f aca="false">U142+V144</f>
        <v>1144</v>
      </c>
      <c r="W142" s="136" t="n">
        <f aca="false">V142+W144</f>
        <v>1144</v>
      </c>
      <c r="X142" s="136" t="n">
        <f aca="false">W142+X144</f>
        <v>1144</v>
      </c>
      <c r="Y142" s="136" t="n">
        <f aca="false">X142+Y144</f>
        <v>1144</v>
      </c>
      <c r="Z142" s="136" t="n">
        <f aca="false">Y142+Z144</f>
        <v>1144</v>
      </c>
      <c r="AA142" s="136" t="n">
        <f aca="false">Z142+AA144</f>
        <v>1144</v>
      </c>
      <c r="AB142" s="136" t="n">
        <f aca="false">AA142+AB144</f>
        <v>1144</v>
      </c>
      <c r="AC142" s="136" t="n">
        <f aca="false">AB142+AC144</f>
        <v>1144</v>
      </c>
    </row>
    <row r="143" customFormat="false" ht="12.8" hidden="false" customHeight="false" outlineLevel="0" collapsed="false">
      <c r="A143" s="130" t="s">
        <v>313</v>
      </c>
      <c r="B143" s="136" t="n">
        <v>1144</v>
      </c>
      <c r="C143" s="136" t="n">
        <f aca="false">$B143-C142</f>
        <v>1144</v>
      </c>
      <c r="D143" s="136" t="n">
        <f aca="false">$B143-D142</f>
        <v>1103.14285714286</v>
      </c>
      <c r="E143" s="136" t="n">
        <f aca="false">$B143-E142</f>
        <v>1054.84971428571</v>
      </c>
      <c r="F143" s="136" t="n">
        <f aca="false">$B143-F142</f>
        <v>997.767219428572</v>
      </c>
      <c r="G143" s="136" t="n">
        <f aca="false">$B143-G142</f>
        <v>930.295710507429</v>
      </c>
      <c r="H143" s="136" t="n">
        <f aca="false">$B143-H142</f>
        <v>850.544386962638</v>
      </c>
      <c r="I143" s="136" t="n">
        <f aca="false">$B143-I142</f>
        <v>756.278322532695</v>
      </c>
      <c r="J143" s="136" t="n">
        <f aca="false">$B143-J142</f>
        <v>644.855834376503</v>
      </c>
      <c r="K143" s="136" t="n">
        <f aca="false">$B143-K142</f>
        <v>546.079798626038</v>
      </c>
      <c r="L143" s="136" t="n">
        <f aca="false">$B143-L142</f>
        <v>436.409556340583</v>
      </c>
      <c r="M143" s="136" t="n">
        <f aca="false">$B143-M142</f>
        <v>330.063479769155</v>
      </c>
      <c r="N143" s="136" t="n">
        <f aca="false">$B143-N142</f>
        <v>234.106417261726</v>
      </c>
      <c r="O143" s="136" t="n">
        <f aca="false">$B143-O142</f>
        <v>150.429169377946</v>
      </c>
      <c r="P143" s="136" t="n">
        <f aca="false">$B143-P142</f>
        <v>81.266662379317</v>
      </c>
      <c r="Q143" s="136" t="n">
        <f aca="false">$B143-Q142</f>
        <v>29.2605791069379</v>
      </c>
      <c r="R143" s="136" t="n">
        <f aca="false">$B143-R142</f>
        <v>5.46518628597391</v>
      </c>
      <c r="S143" s="136" t="n">
        <f aca="false">$B143-S142</f>
        <v>0</v>
      </c>
      <c r="T143" s="136" t="n">
        <f aca="false">$B143-T142</f>
        <v>0</v>
      </c>
      <c r="U143" s="136" t="n">
        <f aca="false">$B143-U142</f>
        <v>0</v>
      </c>
      <c r="V143" s="136" t="n">
        <f aca="false">$B143-V142</f>
        <v>0</v>
      </c>
      <c r="W143" s="136" t="n">
        <f aca="false">$B143-W142</f>
        <v>0</v>
      </c>
      <c r="X143" s="136" t="n">
        <f aca="false">$B143-X142</f>
        <v>0</v>
      </c>
      <c r="Y143" s="136" t="n">
        <f aca="false">$B143-Y142</f>
        <v>0</v>
      </c>
      <c r="Z143" s="136" t="n">
        <f aca="false">$B143-Z142</f>
        <v>0</v>
      </c>
      <c r="AA143" s="136" t="n">
        <f aca="false">$B143-AA142</f>
        <v>0</v>
      </c>
      <c r="AB143" s="136" t="n">
        <f aca="false">$B143-AB142</f>
        <v>0</v>
      </c>
      <c r="AC143" s="136" t="n">
        <f aca="false">$B143-AC142</f>
        <v>0</v>
      </c>
    </row>
    <row r="144" customFormat="false" ht="11.9" hidden="false" customHeight="true" outlineLevel="0" collapsed="false">
      <c r="A144" s="0" t="s">
        <v>314</v>
      </c>
      <c r="B144" s="136"/>
      <c r="C144" s="136"/>
      <c r="D144" s="136" t="n">
        <f aca="false">B87*C151</f>
        <v>40.8571428571429</v>
      </c>
      <c r="E144" s="136" t="n">
        <f aca="false">C87*D151</f>
        <v>48.2931428571429</v>
      </c>
      <c r="F144" s="136" t="n">
        <f aca="false">D87*E151</f>
        <v>57.0824948571429</v>
      </c>
      <c r="G144" s="136" t="n">
        <f aca="false">E87*F151</f>
        <v>67.4715089211428</v>
      </c>
      <c r="H144" s="136" t="n">
        <f aca="false">F87*G151</f>
        <v>79.7513235447908</v>
      </c>
      <c r="I144" s="136" t="n">
        <f aca="false">G87*H151</f>
        <v>94.2660644299428</v>
      </c>
      <c r="J144" s="136" t="n">
        <f aca="false">H87*I151</f>
        <v>111.422488156192</v>
      </c>
      <c r="K144" s="136" t="n">
        <f aca="false">I87*J151</f>
        <v>98.7760357504645</v>
      </c>
      <c r="L144" s="136" t="n">
        <f aca="false">J87*K151</f>
        <v>109.670242285455</v>
      </c>
      <c r="M144" s="136" t="n">
        <f aca="false">K87*L151</f>
        <v>106.346076571429</v>
      </c>
      <c r="N144" s="136" t="n">
        <f aca="false">L87*M151</f>
        <v>95.9570625074286</v>
      </c>
      <c r="O144" s="136" t="n">
        <f aca="false">M87*N151</f>
        <v>83.6772478837806</v>
      </c>
      <c r="P144" s="136" t="n">
        <f aca="false">N87*O151</f>
        <v>69.1625069986287</v>
      </c>
      <c r="Q144" s="136" t="n">
        <f aca="false">O87*P151</f>
        <v>52.0060832723791</v>
      </c>
      <c r="R144" s="136" t="n">
        <f aca="false">P87*Q151</f>
        <v>23.7953928209641</v>
      </c>
      <c r="S144" s="136" t="n">
        <f aca="false">Q87*R151</f>
        <v>5.46518628597384</v>
      </c>
      <c r="T144" s="136" t="n">
        <f aca="false">R87*S151</f>
        <v>0</v>
      </c>
      <c r="U144" s="136" t="n">
        <f aca="false">S87*T151</f>
        <v>0</v>
      </c>
      <c r="V144" s="136" t="n">
        <f aca="false">T87*U151</f>
        <v>0</v>
      </c>
      <c r="W144" s="136" t="n">
        <f aca="false">U87*V151</f>
        <v>0</v>
      </c>
      <c r="X144" s="136" t="n">
        <f aca="false">V87*W151</f>
        <v>0</v>
      </c>
      <c r="Y144" s="136" t="n">
        <f aca="false">W87*X151</f>
        <v>0</v>
      </c>
      <c r="Z144" s="136" t="n">
        <f aca="false">X87*Y151</f>
        <v>0</v>
      </c>
      <c r="AA144" s="136" t="n">
        <f aca="false">Y87*Z151</f>
        <v>0</v>
      </c>
      <c r="AB144" s="136" t="n">
        <f aca="false">Z87*AA151</f>
        <v>0</v>
      </c>
      <c r="AC144" s="136" t="n">
        <f aca="false">AA87*AB151</f>
        <v>0</v>
      </c>
    </row>
    <row r="145" s="12" customFormat="true" ht="12.8" hidden="false" customHeight="false" outlineLevel="0" collapsed="false">
      <c r="A145" s="139" t="n">
        <v>1</v>
      </c>
      <c r="B145" s="139" t="n">
        <f aca="false">1/7*B$143</f>
        <v>163.428571428571</v>
      </c>
      <c r="C145" s="139" t="n">
        <f aca="false">1/7*C$143</f>
        <v>163.428571428571</v>
      </c>
      <c r="D145" s="139" t="n">
        <f aca="false">C151-D144</f>
        <v>122.571428571429</v>
      </c>
      <c r="E145" s="139" t="n">
        <f aca="false">D151-E144</f>
        <v>115.135428571429</v>
      </c>
      <c r="F145" s="139" t="n">
        <f aca="false">E151-F144</f>
        <v>106.346076571429</v>
      </c>
      <c r="G145" s="139" t="n">
        <f aca="false">F151-G144</f>
        <v>95.9570625074286</v>
      </c>
      <c r="H145" s="139" t="n">
        <f aca="false">G151-H144</f>
        <v>83.6772478837806</v>
      </c>
      <c r="I145" s="139" t="n">
        <f aca="false">H151-I144</f>
        <v>69.1625069986287</v>
      </c>
      <c r="J145" s="139" t="n">
        <f aca="false">I151-J144</f>
        <v>52.0060832723791</v>
      </c>
      <c r="K145" s="139" t="n">
        <f aca="false">J151-K144</f>
        <v>23.7953928209641</v>
      </c>
      <c r="L145" s="139" t="n">
        <f aca="false">K151-L144</f>
        <v>5.46518628597384</v>
      </c>
      <c r="M145" s="139" t="n">
        <f aca="false">L151-M144</f>
        <v>0</v>
      </c>
      <c r="N145" s="139" t="n">
        <f aca="false">M151-N144</f>
        <v>0</v>
      </c>
      <c r="O145" s="139" t="n">
        <f aca="false">N151-O144</f>
        <v>0</v>
      </c>
      <c r="P145" s="139" t="n">
        <f aca="false">O151-P144</f>
        <v>0</v>
      </c>
      <c r="Q145" s="139" t="n">
        <f aca="false">P151-Q144</f>
        <v>0</v>
      </c>
      <c r="R145" s="139" t="n">
        <f aca="false">Q151-R144</f>
        <v>0</v>
      </c>
      <c r="S145" s="139" t="n">
        <f aca="false">R151-S144</f>
        <v>0</v>
      </c>
      <c r="T145" s="139" t="n">
        <f aca="false">S151-T144</f>
        <v>0</v>
      </c>
      <c r="U145" s="139" t="n">
        <f aca="false">T151-U144</f>
        <v>0</v>
      </c>
      <c r="V145" s="139" t="n">
        <f aca="false">U151-V144</f>
        <v>0</v>
      </c>
      <c r="W145" s="139" t="n">
        <f aca="false">V151-W144</f>
        <v>0</v>
      </c>
      <c r="X145" s="139" t="n">
        <f aca="false">W151-X144</f>
        <v>0</v>
      </c>
      <c r="Y145" s="139" t="n">
        <f aca="false">X151-Y144</f>
        <v>0</v>
      </c>
      <c r="Z145" s="139" t="n">
        <f aca="false">Y151-Z144</f>
        <v>0</v>
      </c>
      <c r="AA145" s="139" t="n">
        <f aca="false">Z151-AA144</f>
        <v>0</v>
      </c>
      <c r="AB145" s="139" t="n">
        <f aca="false">AA151-AB144</f>
        <v>0</v>
      </c>
      <c r="AC145" s="139" t="n">
        <f aca="false">AB151-AC144</f>
        <v>0</v>
      </c>
    </row>
    <row r="146" s="12" customFormat="true" ht="12.8" hidden="false" customHeight="false" outlineLevel="0" collapsed="false">
      <c r="A146" s="139" t="n">
        <v>2</v>
      </c>
      <c r="B146" s="139" t="n">
        <f aca="false">1/7*B$143</f>
        <v>163.428571428571</v>
      </c>
      <c r="C146" s="139" t="n">
        <f aca="false">1/7*C$143</f>
        <v>163.428571428571</v>
      </c>
      <c r="D146" s="139" t="n">
        <f aca="false">C145</f>
        <v>163.428571428571</v>
      </c>
      <c r="E146" s="139" t="n">
        <f aca="false">D145</f>
        <v>122.571428571429</v>
      </c>
      <c r="F146" s="139" t="n">
        <f aca="false">E145</f>
        <v>115.135428571429</v>
      </c>
      <c r="G146" s="139" t="n">
        <f aca="false">F145</f>
        <v>106.346076571429</v>
      </c>
      <c r="H146" s="139" t="n">
        <f aca="false">G145</f>
        <v>95.9570625074286</v>
      </c>
      <c r="I146" s="139" t="n">
        <f aca="false">H145</f>
        <v>83.6772478837806</v>
      </c>
      <c r="J146" s="139" t="n">
        <f aca="false">I145</f>
        <v>69.1625069986287</v>
      </c>
      <c r="K146" s="139" t="n">
        <f aca="false">J145</f>
        <v>52.0060832723791</v>
      </c>
      <c r="L146" s="139" t="n">
        <f aca="false">K145</f>
        <v>23.7953928209641</v>
      </c>
      <c r="M146" s="139" t="n">
        <f aca="false">L145</f>
        <v>5.46518628597384</v>
      </c>
      <c r="N146" s="139" t="n">
        <f aca="false">M145</f>
        <v>0</v>
      </c>
      <c r="O146" s="139" t="n">
        <f aca="false">N145</f>
        <v>0</v>
      </c>
      <c r="P146" s="139" t="n">
        <f aca="false">O145</f>
        <v>0</v>
      </c>
      <c r="Q146" s="139" t="n">
        <f aca="false">P145</f>
        <v>0</v>
      </c>
      <c r="R146" s="139" t="n">
        <f aca="false">Q145</f>
        <v>0</v>
      </c>
      <c r="S146" s="139" t="n">
        <f aca="false">R145</f>
        <v>0</v>
      </c>
      <c r="T146" s="139" t="n">
        <f aca="false">S145</f>
        <v>0</v>
      </c>
      <c r="U146" s="139" t="n">
        <f aca="false">T145</f>
        <v>0</v>
      </c>
      <c r="V146" s="139" t="n">
        <f aca="false">U145</f>
        <v>0</v>
      </c>
      <c r="W146" s="139" t="n">
        <f aca="false">V145</f>
        <v>0</v>
      </c>
      <c r="X146" s="139" t="n">
        <f aca="false">W145</f>
        <v>0</v>
      </c>
      <c r="Y146" s="139" t="n">
        <f aca="false">X145</f>
        <v>0</v>
      </c>
      <c r="Z146" s="139" t="n">
        <f aca="false">Y145</f>
        <v>0</v>
      </c>
      <c r="AA146" s="139" t="n">
        <f aca="false">Z145</f>
        <v>0</v>
      </c>
      <c r="AB146" s="139" t="n">
        <f aca="false">AA145</f>
        <v>0</v>
      </c>
      <c r="AC146" s="139" t="n">
        <f aca="false">AB145</f>
        <v>0</v>
      </c>
    </row>
    <row r="147" s="12" customFormat="true" ht="12.8" hidden="false" customHeight="false" outlineLevel="0" collapsed="false">
      <c r="A147" s="139" t="n">
        <v>3</v>
      </c>
      <c r="B147" s="139" t="n">
        <f aca="false">1/7*B$143</f>
        <v>163.428571428571</v>
      </c>
      <c r="C147" s="139" t="n">
        <f aca="false">1/7*C$143</f>
        <v>163.428571428571</v>
      </c>
      <c r="D147" s="139" t="n">
        <f aca="false">C146</f>
        <v>163.428571428571</v>
      </c>
      <c r="E147" s="139" t="n">
        <f aca="false">D146</f>
        <v>163.428571428571</v>
      </c>
      <c r="F147" s="139" t="n">
        <f aca="false">E146</f>
        <v>122.571428571429</v>
      </c>
      <c r="G147" s="139" t="n">
        <f aca="false">F146</f>
        <v>115.135428571429</v>
      </c>
      <c r="H147" s="139" t="n">
        <f aca="false">G146</f>
        <v>106.346076571429</v>
      </c>
      <c r="I147" s="139" t="n">
        <f aca="false">H146</f>
        <v>95.9570625074286</v>
      </c>
      <c r="J147" s="139" t="n">
        <f aca="false">I146</f>
        <v>83.6772478837806</v>
      </c>
      <c r="K147" s="139" t="n">
        <f aca="false">J146</f>
        <v>69.1625069986287</v>
      </c>
      <c r="L147" s="139" t="n">
        <f aca="false">K146</f>
        <v>52.0060832723791</v>
      </c>
      <c r="M147" s="139" t="n">
        <f aca="false">L146</f>
        <v>23.7953928209641</v>
      </c>
      <c r="N147" s="139" t="n">
        <f aca="false">M146</f>
        <v>5.46518628597384</v>
      </c>
      <c r="O147" s="139" t="n">
        <f aca="false">N146</f>
        <v>0</v>
      </c>
      <c r="P147" s="139" t="n">
        <f aca="false">O146</f>
        <v>0</v>
      </c>
      <c r="Q147" s="139" t="n">
        <f aca="false">P146</f>
        <v>0</v>
      </c>
      <c r="R147" s="139" t="n">
        <f aca="false">Q146</f>
        <v>0</v>
      </c>
      <c r="S147" s="139" t="n">
        <f aca="false">R146</f>
        <v>0</v>
      </c>
      <c r="T147" s="139" t="n">
        <f aca="false">S146</f>
        <v>0</v>
      </c>
      <c r="U147" s="139" t="n">
        <f aca="false">T146</f>
        <v>0</v>
      </c>
      <c r="V147" s="139" t="n">
        <f aca="false">U146</f>
        <v>0</v>
      </c>
      <c r="W147" s="139" t="n">
        <f aca="false">V146</f>
        <v>0</v>
      </c>
      <c r="X147" s="139" t="n">
        <f aca="false">W146</f>
        <v>0</v>
      </c>
      <c r="Y147" s="139" t="n">
        <f aca="false">X146</f>
        <v>0</v>
      </c>
      <c r="Z147" s="139" t="n">
        <f aca="false">Y146</f>
        <v>0</v>
      </c>
      <c r="AA147" s="139" t="n">
        <f aca="false">Z146</f>
        <v>0</v>
      </c>
      <c r="AB147" s="139" t="n">
        <f aca="false">AA146</f>
        <v>0</v>
      </c>
      <c r="AC147" s="139" t="n">
        <f aca="false">AB146</f>
        <v>0</v>
      </c>
    </row>
    <row r="148" s="12" customFormat="true" ht="12.8" hidden="false" customHeight="false" outlineLevel="0" collapsed="false">
      <c r="A148" s="139" t="n">
        <v>4</v>
      </c>
      <c r="B148" s="139" t="n">
        <f aca="false">1/7*B$143</f>
        <v>163.428571428571</v>
      </c>
      <c r="C148" s="139" t="n">
        <f aca="false">1/7*C$143</f>
        <v>163.428571428571</v>
      </c>
      <c r="D148" s="139" t="n">
        <f aca="false">C147</f>
        <v>163.428571428571</v>
      </c>
      <c r="E148" s="139" t="n">
        <f aca="false">D147</f>
        <v>163.428571428571</v>
      </c>
      <c r="F148" s="139" t="n">
        <f aca="false">E147</f>
        <v>163.428571428571</v>
      </c>
      <c r="G148" s="139" t="n">
        <f aca="false">F147</f>
        <v>122.571428571429</v>
      </c>
      <c r="H148" s="139" t="n">
        <f aca="false">G147</f>
        <v>115.135428571429</v>
      </c>
      <c r="I148" s="139" t="n">
        <f aca="false">H147</f>
        <v>106.346076571429</v>
      </c>
      <c r="J148" s="139" t="n">
        <f aca="false">I147</f>
        <v>95.9570625074286</v>
      </c>
      <c r="K148" s="139" t="n">
        <f aca="false">J147</f>
        <v>83.6772478837806</v>
      </c>
      <c r="L148" s="139" t="n">
        <f aca="false">K147</f>
        <v>69.1625069986287</v>
      </c>
      <c r="M148" s="139" t="n">
        <f aca="false">L147</f>
        <v>52.0060832723791</v>
      </c>
      <c r="N148" s="139" t="n">
        <f aca="false">M147</f>
        <v>23.7953928209641</v>
      </c>
      <c r="O148" s="139" t="n">
        <f aca="false">N147</f>
        <v>5.46518628597384</v>
      </c>
      <c r="P148" s="139" t="n">
        <f aca="false">O147</f>
        <v>0</v>
      </c>
      <c r="Q148" s="139" t="n">
        <f aca="false">P147</f>
        <v>0</v>
      </c>
      <c r="R148" s="139" t="n">
        <f aca="false">Q147</f>
        <v>0</v>
      </c>
      <c r="S148" s="139" t="n">
        <f aca="false">R147</f>
        <v>0</v>
      </c>
      <c r="T148" s="139" t="n">
        <f aca="false">S147</f>
        <v>0</v>
      </c>
      <c r="U148" s="139" t="n">
        <f aca="false">T147</f>
        <v>0</v>
      </c>
      <c r="V148" s="139" t="n">
        <f aca="false">U147</f>
        <v>0</v>
      </c>
      <c r="W148" s="139" t="n">
        <f aca="false">V147</f>
        <v>0</v>
      </c>
      <c r="X148" s="139" t="n">
        <f aca="false">W147</f>
        <v>0</v>
      </c>
      <c r="Y148" s="139" t="n">
        <f aca="false">X147</f>
        <v>0</v>
      </c>
      <c r="Z148" s="139" t="n">
        <f aca="false">Y147</f>
        <v>0</v>
      </c>
      <c r="AA148" s="139" t="n">
        <f aca="false">Z147</f>
        <v>0</v>
      </c>
      <c r="AB148" s="139" t="n">
        <f aca="false">AA147</f>
        <v>0</v>
      </c>
      <c r="AC148" s="139" t="n">
        <f aca="false">AB147</f>
        <v>0</v>
      </c>
    </row>
    <row r="149" s="12" customFormat="true" ht="12.8" hidden="false" customHeight="false" outlineLevel="0" collapsed="false">
      <c r="A149" s="139" t="n">
        <v>5</v>
      </c>
      <c r="B149" s="139" t="n">
        <f aca="false">1/7*B$143</f>
        <v>163.428571428571</v>
      </c>
      <c r="C149" s="139" t="n">
        <f aca="false">1/7*C$143</f>
        <v>163.428571428571</v>
      </c>
      <c r="D149" s="139" t="n">
        <f aca="false">C148</f>
        <v>163.428571428571</v>
      </c>
      <c r="E149" s="139" t="n">
        <f aca="false">D148</f>
        <v>163.428571428571</v>
      </c>
      <c r="F149" s="139" t="n">
        <f aca="false">E148</f>
        <v>163.428571428571</v>
      </c>
      <c r="G149" s="139" t="n">
        <f aca="false">F148</f>
        <v>163.428571428571</v>
      </c>
      <c r="H149" s="139" t="n">
        <f aca="false">G148</f>
        <v>122.571428571429</v>
      </c>
      <c r="I149" s="139" t="n">
        <f aca="false">H148</f>
        <v>115.135428571429</v>
      </c>
      <c r="J149" s="139" t="n">
        <f aca="false">I148</f>
        <v>106.346076571429</v>
      </c>
      <c r="K149" s="139" t="n">
        <f aca="false">J148</f>
        <v>95.9570625074286</v>
      </c>
      <c r="L149" s="139" t="n">
        <f aca="false">K148</f>
        <v>83.6772478837806</v>
      </c>
      <c r="M149" s="139" t="n">
        <f aca="false">L148</f>
        <v>69.1625069986287</v>
      </c>
      <c r="N149" s="139" t="n">
        <f aca="false">M148</f>
        <v>52.0060832723791</v>
      </c>
      <c r="O149" s="139" t="n">
        <f aca="false">N148</f>
        <v>23.7953928209641</v>
      </c>
      <c r="P149" s="139" t="n">
        <f aca="false">O148</f>
        <v>5.46518628597384</v>
      </c>
      <c r="Q149" s="139" t="n">
        <f aca="false">P148</f>
        <v>0</v>
      </c>
      <c r="R149" s="139" t="n">
        <f aca="false">Q148</f>
        <v>0</v>
      </c>
      <c r="S149" s="139" t="n">
        <f aca="false">R148</f>
        <v>0</v>
      </c>
      <c r="T149" s="139" t="n">
        <f aca="false">S148</f>
        <v>0</v>
      </c>
      <c r="U149" s="139" t="n">
        <f aca="false">T148</f>
        <v>0</v>
      </c>
      <c r="V149" s="139" t="n">
        <f aca="false">U148</f>
        <v>0</v>
      </c>
      <c r="W149" s="139" t="n">
        <f aca="false">V148</f>
        <v>0</v>
      </c>
      <c r="X149" s="139" t="n">
        <f aca="false">W148</f>
        <v>0</v>
      </c>
      <c r="Y149" s="139" t="n">
        <f aca="false">X148</f>
        <v>0</v>
      </c>
      <c r="Z149" s="139" t="n">
        <f aca="false">Y148</f>
        <v>0</v>
      </c>
      <c r="AA149" s="139" t="n">
        <f aca="false">Z148</f>
        <v>0</v>
      </c>
      <c r="AB149" s="139" t="n">
        <f aca="false">AA148</f>
        <v>0</v>
      </c>
      <c r="AC149" s="139" t="n">
        <f aca="false">AB148</f>
        <v>0</v>
      </c>
    </row>
    <row r="150" s="12" customFormat="true" ht="12.8" hidden="false" customHeight="false" outlineLevel="0" collapsed="false">
      <c r="A150" s="139" t="n">
        <v>6</v>
      </c>
      <c r="B150" s="139" t="n">
        <f aca="false">1/7*B$143</f>
        <v>163.428571428571</v>
      </c>
      <c r="C150" s="139" t="n">
        <f aca="false">1/7*C$143</f>
        <v>163.428571428571</v>
      </c>
      <c r="D150" s="139" t="n">
        <f aca="false">C149</f>
        <v>163.428571428571</v>
      </c>
      <c r="E150" s="139" t="n">
        <f aca="false">D149</f>
        <v>163.428571428571</v>
      </c>
      <c r="F150" s="139" t="n">
        <f aca="false">E149</f>
        <v>163.428571428571</v>
      </c>
      <c r="G150" s="139" t="n">
        <f aca="false">F149</f>
        <v>163.428571428571</v>
      </c>
      <c r="H150" s="139" t="n">
        <f aca="false">G149</f>
        <v>163.428571428571</v>
      </c>
      <c r="I150" s="139" t="n">
        <f aca="false">H149</f>
        <v>122.571428571429</v>
      </c>
      <c r="J150" s="139" t="n">
        <f aca="false">I149</f>
        <v>115.135428571429</v>
      </c>
      <c r="K150" s="139" t="n">
        <f aca="false">J149</f>
        <v>106.346076571429</v>
      </c>
      <c r="L150" s="139" t="n">
        <f aca="false">K149</f>
        <v>95.9570625074286</v>
      </c>
      <c r="M150" s="139" t="n">
        <f aca="false">L149</f>
        <v>83.6772478837806</v>
      </c>
      <c r="N150" s="139" t="n">
        <f aca="false">M149</f>
        <v>69.1625069986287</v>
      </c>
      <c r="O150" s="139" t="n">
        <f aca="false">N149</f>
        <v>52.0060832723791</v>
      </c>
      <c r="P150" s="139" t="n">
        <f aca="false">O149</f>
        <v>23.7953928209641</v>
      </c>
      <c r="Q150" s="139" t="n">
        <f aca="false">P149</f>
        <v>5.46518628597384</v>
      </c>
      <c r="R150" s="139" t="n">
        <f aca="false">Q149</f>
        <v>0</v>
      </c>
      <c r="S150" s="139" t="n">
        <f aca="false">R149</f>
        <v>0</v>
      </c>
      <c r="T150" s="139" t="n">
        <f aca="false">S149</f>
        <v>0</v>
      </c>
      <c r="U150" s="139" t="n">
        <f aca="false">T149</f>
        <v>0</v>
      </c>
      <c r="V150" s="139" t="n">
        <f aca="false">U149</f>
        <v>0</v>
      </c>
      <c r="W150" s="139" t="n">
        <f aca="false">V149</f>
        <v>0</v>
      </c>
      <c r="X150" s="139" t="n">
        <f aca="false">W149</f>
        <v>0</v>
      </c>
      <c r="Y150" s="139" t="n">
        <f aca="false">X149</f>
        <v>0</v>
      </c>
      <c r="Z150" s="139" t="n">
        <f aca="false">Y149</f>
        <v>0</v>
      </c>
      <c r="AA150" s="139" t="n">
        <f aca="false">Z149</f>
        <v>0</v>
      </c>
      <c r="AB150" s="139" t="n">
        <f aca="false">AA149</f>
        <v>0</v>
      </c>
      <c r="AC150" s="139" t="n">
        <f aca="false">AB149</f>
        <v>0</v>
      </c>
    </row>
    <row r="151" s="12" customFormat="true" ht="12.8" hidden="false" customHeight="false" outlineLevel="0" collapsed="false">
      <c r="A151" s="139" t="n">
        <v>7</v>
      </c>
      <c r="B151" s="139" t="n">
        <f aca="false">1/7*B$143</f>
        <v>163.428571428571</v>
      </c>
      <c r="C151" s="139" t="n">
        <f aca="false">1/7*C$143</f>
        <v>163.428571428571</v>
      </c>
      <c r="D151" s="139" t="n">
        <f aca="false">C150</f>
        <v>163.428571428571</v>
      </c>
      <c r="E151" s="139" t="n">
        <f aca="false">D150</f>
        <v>163.428571428571</v>
      </c>
      <c r="F151" s="139" t="n">
        <f aca="false">E150</f>
        <v>163.428571428571</v>
      </c>
      <c r="G151" s="139" t="n">
        <f aca="false">F150</f>
        <v>163.428571428571</v>
      </c>
      <c r="H151" s="139" t="n">
        <f aca="false">G150</f>
        <v>163.428571428571</v>
      </c>
      <c r="I151" s="139" t="n">
        <f aca="false">H150</f>
        <v>163.428571428571</v>
      </c>
      <c r="J151" s="139" t="n">
        <f aca="false">I150</f>
        <v>122.571428571429</v>
      </c>
      <c r="K151" s="139" t="n">
        <f aca="false">J150</f>
        <v>115.135428571429</v>
      </c>
      <c r="L151" s="139" t="n">
        <f aca="false">K150</f>
        <v>106.346076571429</v>
      </c>
      <c r="M151" s="139" t="n">
        <f aca="false">L150</f>
        <v>95.9570625074286</v>
      </c>
      <c r="N151" s="139" t="n">
        <f aca="false">M150</f>
        <v>83.6772478837806</v>
      </c>
      <c r="O151" s="139" t="n">
        <f aca="false">N150</f>
        <v>69.1625069986287</v>
      </c>
      <c r="P151" s="139" t="n">
        <f aca="false">O150</f>
        <v>52.0060832723791</v>
      </c>
      <c r="Q151" s="139" t="n">
        <f aca="false">P150</f>
        <v>23.7953928209641</v>
      </c>
      <c r="R151" s="139" t="n">
        <f aca="false">Q150</f>
        <v>5.46518628597384</v>
      </c>
      <c r="S151" s="139" t="n">
        <f aca="false">R150</f>
        <v>0</v>
      </c>
      <c r="T151" s="139" t="n">
        <f aca="false">S150</f>
        <v>0</v>
      </c>
      <c r="U151" s="139" t="n">
        <f aca="false">T150</f>
        <v>0</v>
      </c>
      <c r="V151" s="139" t="n">
        <f aca="false">U150</f>
        <v>0</v>
      </c>
      <c r="W151" s="139" t="n">
        <f aca="false">V150</f>
        <v>0</v>
      </c>
      <c r="X151" s="139" t="n">
        <f aca="false">W150</f>
        <v>0</v>
      </c>
      <c r="Y151" s="139" t="n">
        <f aca="false">X150</f>
        <v>0</v>
      </c>
      <c r="Z151" s="139" t="n">
        <f aca="false">Y150</f>
        <v>0</v>
      </c>
      <c r="AA151" s="139" t="n">
        <f aca="false">Z150</f>
        <v>0</v>
      </c>
      <c r="AB151" s="139" t="n">
        <f aca="false">AA150</f>
        <v>0</v>
      </c>
      <c r="AC151" s="139" t="n">
        <f aca="false">AB150</f>
        <v>0</v>
      </c>
    </row>
    <row r="152" customFormat="false" ht="12.8" hidden="false" customHeight="false" outlineLevel="0" collapsed="false">
      <c r="A152" s="124"/>
      <c r="B152" s="130"/>
      <c r="C152" s="130"/>
      <c r="D152" s="130"/>
      <c r="E152" s="130"/>
      <c r="F152" s="130"/>
      <c r="G152" s="130"/>
      <c r="H152" s="130"/>
      <c r="I152" s="130"/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</row>
    <row r="153" customFormat="false" ht="12.8" hidden="false" customHeight="false" outlineLevel="0" collapsed="false">
      <c r="A153" s="124"/>
      <c r="B153" s="130"/>
      <c r="C153" s="130"/>
      <c r="D153" s="130"/>
      <c r="E153" s="130"/>
      <c r="F153" s="130"/>
      <c r="G153" s="130"/>
      <c r="H153" s="130"/>
      <c r="I153" s="130"/>
      <c r="J153" s="130"/>
      <c r="K153" s="130"/>
      <c r="L153" s="130"/>
      <c r="M153" s="130"/>
      <c r="N153" s="130"/>
      <c r="O153" s="130"/>
      <c r="P153" s="130"/>
      <c r="Q153" s="130"/>
      <c r="R153" s="130"/>
      <c r="S153" s="130"/>
      <c r="T153" s="130"/>
      <c r="U153" s="130"/>
      <c r="V153" s="130"/>
      <c r="W153" s="130"/>
      <c r="X153" s="130"/>
      <c r="Y153" s="130"/>
      <c r="Z153" s="130"/>
      <c r="AA153" s="130"/>
      <c r="AB153" s="130"/>
      <c r="AC153" s="130"/>
    </row>
    <row r="154" customFormat="false" ht="12.8" hidden="false" customHeight="false" outlineLevel="0" collapsed="false">
      <c r="A154" s="124"/>
      <c r="B154" s="130"/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</row>
    <row r="155" customFormat="false" ht="12.8" hidden="false" customHeight="false" outlineLevel="0" collapsed="false">
      <c r="A155" s="124"/>
      <c r="B155" s="130"/>
      <c r="C155" s="130"/>
      <c r="D155" s="130"/>
      <c r="E155" s="130"/>
      <c r="F155" s="130"/>
      <c r="G155" s="130"/>
      <c r="H155" s="130"/>
      <c r="I155" s="130"/>
      <c r="J155" s="130"/>
      <c r="K155" s="130"/>
      <c r="L155" s="130"/>
      <c r="M155" s="130"/>
      <c r="N155" s="130"/>
      <c r="O155" s="130"/>
      <c r="P155" s="130"/>
      <c r="Q155" s="130"/>
      <c r="R155" s="130"/>
      <c r="S155" s="130"/>
      <c r="T155" s="130"/>
      <c r="U155" s="130"/>
      <c r="V155" s="130"/>
      <c r="W155" s="130"/>
      <c r="X155" s="130"/>
      <c r="Y155" s="130"/>
      <c r="Z155" s="130"/>
      <c r="AA155" s="130"/>
      <c r="AB155" s="130"/>
      <c r="AC155" s="130"/>
    </row>
    <row r="156" customFormat="false" ht="12.8" hidden="false" customHeight="false" outlineLevel="0" collapsed="false">
      <c r="A156" s="124"/>
      <c r="B156" s="130"/>
      <c r="C156" s="130"/>
      <c r="D156" s="130"/>
      <c r="E156" s="130"/>
      <c r="F156" s="130"/>
      <c r="G156" s="130"/>
      <c r="H156" s="130"/>
      <c r="I156" s="130"/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</row>
    <row r="157" customFormat="false" ht="12.8" hidden="false" customHeight="false" outlineLevel="0" collapsed="false">
      <c r="A157" s="130" t="s">
        <v>318</v>
      </c>
      <c r="B157" s="1" t="s">
        <v>575</v>
      </c>
      <c r="C157" s="1" t="n">
        <v>2024</v>
      </c>
      <c r="D157" s="1" t="n">
        <v>2025</v>
      </c>
      <c r="E157" s="1" t="n">
        <v>2026</v>
      </c>
      <c r="F157" s="1" t="n">
        <v>2027</v>
      </c>
      <c r="G157" s="1" t="n">
        <v>2028</v>
      </c>
      <c r="H157" s="1" t="n">
        <v>2029</v>
      </c>
      <c r="I157" s="1" t="n">
        <v>2030</v>
      </c>
      <c r="J157" s="1" t="n">
        <v>2031</v>
      </c>
      <c r="K157" s="1" t="n">
        <v>2032</v>
      </c>
      <c r="L157" s="1" t="n">
        <v>2033</v>
      </c>
      <c r="M157" s="1" t="n">
        <v>2034</v>
      </c>
      <c r="N157" s="1" t="n">
        <v>2035</v>
      </c>
      <c r="O157" s="1" t="n">
        <v>2036</v>
      </c>
      <c r="P157" s="1" t="n">
        <v>2037</v>
      </c>
      <c r="Q157" s="1" t="n">
        <v>2038</v>
      </c>
      <c r="R157" s="1" t="n">
        <v>2039</v>
      </c>
      <c r="S157" s="1" t="n">
        <v>2040</v>
      </c>
      <c r="T157" s="1" t="n">
        <v>2041</v>
      </c>
      <c r="U157" s="1" t="n">
        <v>2042</v>
      </c>
      <c r="V157" s="1" t="n">
        <v>2043</v>
      </c>
      <c r="W157" s="1" t="n">
        <v>2044</v>
      </c>
      <c r="X157" s="1" t="n">
        <v>2045</v>
      </c>
      <c r="Y157" s="1" t="n">
        <v>2046</v>
      </c>
      <c r="Z157" s="1" t="n">
        <v>2047</v>
      </c>
      <c r="AA157" s="1" t="n">
        <v>2048</v>
      </c>
      <c r="AB157" s="1" t="n">
        <v>2049</v>
      </c>
      <c r="AC157" s="1" t="n">
        <v>2050</v>
      </c>
    </row>
    <row r="158" customFormat="false" ht="11.15" hidden="false" customHeight="true" outlineLevel="0" collapsed="false">
      <c r="A158" s="1" t="s">
        <v>37</v>
      </c>
      <c r="B158" s="1" t="n">
        <f aca="false">($B$30*$B$28)+($B$39*$B$42)</f>
        <v>71.3503343390438</v>
      </c>
      <c r="C158" s="1" t="n">
        <f aca="false">($B$30*$B$28)+($B$39*$B$42)</f>
        <v>71.3503343390438</v>
      </c>
      <c r="D158" s="1" t="n">
        <f aca="false">($B$30*$B$28)+($B$39*$B$42)</f>
        <v>71.3503343390438</v>
      </c>
      <c r="E158" s="1" t="n">
        <f aca="false">($B$30*$B$28)+($B$39*$B$42)</f>
        <v>71.3503343390438</v>
      </c>
      <c r="F158" s="1" t="n">
        <f aca="false">($B$30*$B$28)+($B$39*$B$42)</f>
        <v>71.3503343390438</v>
      </c>
      <c r="G158" s="1" t="n">
        <f aca="false">($B$30*$B$28)+($B$39*$B$42)</f>
        <v>71.3503343390438</v>
      </c>
      <c r="H158" s="1" t="n">
        <f aca="false">($B$30*$B$28)+($B$39*$B$42)</f>
        <v>71.3503343390438</v>
      </c>
      <c r="I158" s="1" t="n">
        <f aca="false">($B$158/$B$162)*I162</f>
        <v>70.8408932212684</v>
      </c>
      <c r="J158" s="1" t="n">
        <f aca="false">($B$158/$B$162)*J162</f>
        <v>70.7062103149153</v>
      </c>
      <c r="K158" s="1" t="n">
        <f aca="false">($B$158/$B$162)*K162</f>
        <v>70.5494836268365</v>
      </c>
      <c r="L158" s="1" t="n">
        <f aca="false">($B$158/$B$162)*L162</f>
        <v>70.3665559824501</v>
      </c>
      <c r="M158" s="1" t="n">
        <f aca="false">($B$158/$B$162)*M162</f>
        <v>70.152522142948</v>
      </c>
      <c r="N158" s="1" t="n">
        <f aca="false">($B$158/$B$162)*N162</f>
        <v>69.9015921551625</v>
      </c>
      <c r="O158" s="1" t="n">
        <f aca="false">($B$158/$B$162)*O162</f>
        <v>69.6069298606646</v>
      </c>
      <c r="P158" s="1" t="n">
        <f aca="false">($B$158/$B$162)*P162</f>
        <v>69.2604620413346</v>
      </c>
      <c r="Q158" s="1" t="n">
        <f aca="false">($B$158/$B$162)*Q162</f>
        <v>68.8526528556079</v>
      </c>
      <c r="R158" s="1" t="n">
        <f aca="false">($B$158/$B$162)*R162</f>
        <v>68.3722372467581</v>
      </c>
      <c r="S158" s="1" t="n">
        <f aca="false">($B$158/$B$162)*S162</f>
        <v>67.8059058546779</v>
      </c>
      <c r="T158" s="1" t="n">
        <f aca="false">($B$158/$B$162)*T162</f>
        <v>67.1379326034322</v>
      </c>
      <c r="U158" s="1" t="n">
        <f aca="false">($B$158/$B$162)*U162</f>
        <v>66.3497345302887</v>
      </c>
      <c r="V158" s="1" t="n">
        <f aca="false">($B$158/$B$162)*V162</f>
        <v>65.4193515229662</v>
      </c>
      <c r="W158" s="1" t="n">
        <f aca="false">($B$158/$B$162)*W162</f>
        <v>64.3208313872597</v>
      </c>
      <c r="X158" s="1" t="n">
        <f aca="false">($B$158/$B$162)*X162</f>
        <v>63.0235030141006</v>
      </c>
      <c r="Y158" s="1" t="n">
        <f aca="false">($B$158/$B$162)*Y162</f>
        <v>61.4911172791403</v>
      </c>
      <c r="Z158" s="1" t="n">
        <f aca="false">($B$158/$B$162)*Z162</f>
        <v>59.6808316012302</v>
      </c>
      <c r="AA158" s="1" t="n">
        <f aca="false">($B$158/$B$162)*AA162</f>
        <v>57.5420097048233</v>
      </c>
      <c r="AB158" s="1" t="n">
        <f aca="false">($B$158/$B$162)*AB162</f>
        <v>55.4792653290572</v>
      </c>
      <c r="AC158" s="1" t="n">
        <f aca="false">($B$158/$B$162)*AC162</f>
        <v>53.5378588577478</v>
      </c>
    </row>
    <row r="159" customFormat="false" ht="12.8" hidden="false" customHeight="false" outlineLevel="0" collapsed="false">
      <c r="A159" s="1" t="s">
        <v>18</v>
      </c>
      <c r="B159" s="1" t="n">
        <f aca="false">$B$10</f>
        <v>114.460356578722</v>
      </c>
      <c r="C159" s="1" t="n">
        <f aca="false">$B$10</f>
        <v>114.460356578722</v>
      </c>
      <c r="D159" s="1" t="n">
        <f aca="false">$B$10</f>
        <v>114.460356578722</v>
      </c>
      <c r="E159" s="1" t="n">
        <f aca="false">$B$10</f>
        <v>114.460356578722</v>
      </c>
      <c r="F159" s="1" t="n">
        <f aca="false">$B$10</f>
        <v>114.460356578722</v>
      </c>
      <c r="G159" s="1" t="n">
        <f aca="false">$B$10</f>
        <v>114.460356578722</v>
      </c>
      <c r="H159" s="1" t="n">
        <f aca="false">$B$10</f>
        <v>114.460356578722</v>
      </c>
      <c r="I159" s="1" t="n">
        <f aca="false">$B$10</f>
        <v>114.460356578722</v>
      </c>
      <c r="J159" s="1" t="n">
        <f aca="false">$B$10</f>
        <v>114.460356578722</v>
      </c>
      <c r="K159" s="1" t="n">
        <f aca="false">$B$10</f>
        <v>114.460356578722</v>
      </c>
      <c r="L159" s="1" t="n">
        <f aca="false">$B$10</f>
        <v>114.460356578722</v>
      </c>
      <c r="M159" s="1" t="n">
        <f aca="false">$B$10</f>
        <v>114.460356578722</v>
      </c>
      <c r="N159" s="1" t="n">
        <f aca="false">$B$10</f>
        <v>114.460356578722</v>
      </c>
      <c r="O159" s="1" t="n">
        <f aca="false">$B$10</f>
        <v>114.460356578722</v>
      </c>
      <c r="P159" s="1" t="n">
        <f aca="false">$B$10</f>
        <v>114.460356578722</v>
      </c>
      <c r="Q159" s="1" t="n">
        <f aca="false">$B$10</f>
        <v>114.460356578722</v>
      </c>
      <c r="R159" s="1" t="n">
        <f aca="false">$B$10</f>
        <v>114.460356578722</v>
      </c>
      <c r="S159" s="1" t="n">
        <f aca="false">$B$10</f>
        <v>114.460356578722</v>
      </c>
      <c r="T159" s="1" t="n">
        <f aca="false">$B$10</f>
        <v>114.460356578722</v>
      </c>
      <c r="U159" s="1" t="n">
        <f aca="false">$B$10</f>
        <v>114.460356578722</v>
      </c>
      <c r="V159" s="1" t="n">
        <f aca="false">$B$10</f>
        <v>114.460356578722</v>
      </c>
      <c r="W159" s="1" t="n">
        <f aca="false">$B$10</f>
        <v>114.460356578722</v>
      </c>
      <c r="X159" s="1" t="n">
        <f aca="false">$B$10</f>
        <v>114.460356578722</v>
      </c>
      <c r="Y159" s="1" t="n">
        <f aca="false">$B$10</f>
        <v>114.460356578722</v>
      </c>
      <c r="Z159" s="1" t="n">
        <f aca="false">$B$10</f>
        <v>114.460356578722</v>
      </c>
      <c r="AA159" s="1" t="n">
        <f aca="false">$B$10</f>
        <v>114.460356578722</v>
      </c>
      <c r="AB159" s="1" t="n">
        <f aca="false">$B$10</f>
        <v>114.460356578722</v>
      </c>
      <c r="AC159" s="1" t="n">
        <f aca="false">$B$10</f>
        <v>114.460356578722</v>
      </c>
      <c r="AD159" s="1"/>
    </row>
    <row r="160" customFormat="false" ht="12.8" hidden="false" customHeight="false" outlineLevel="0" collapsed="false">
      <c r="A160" s="3" t="s">
        <v>39</v>
      </c>
      <c r="B160" s="1" t="n">
        <f aca="false">SUM(B158:B159)</f>
        <v>185.810690917766</v>
      </c>
      <c r="C160" s="1" t="n">
        <f aca="false">SUM(C158:C159)</f>
        <v>185.810690917766</v>
      </c>
      <c r="D160" s="1" t="n">
        <f aca="false">SUM(D158:D159)</f>
        <v>185.810690917766</v>
      </c>
      <c r="E160" s="1" t="n">
        <f aca="false">SUM(E158:E159)</f>
        <v>185.810690917766</v>
      </c>
      <c r="F160" s="1" t="n">
        <f aca="false">SUM(F158:F159)</f>
        <v>185.810690917766</v>
      </c>
      <c r="G160" s="1" t="n">
        <f aca="false">SUM(G158:G159)</f>
        <v>185.810690917766</v>
      </c>
      <c r="H160" s="1" t="n">
        <f aca="false">SUM(H158:H159)</f>
        <v>185.810690917766</v>
      </c>
      <c r="I160" s="1" t="n">
        <f aca="false">SUM(I158:I159)</f>
        <v>185.301249799991</v>
      </c>
      <c r="J160" s="1" t="n">
        <f aca="false">SUM(J158:J159)</f>
        <v>185.166566893638</v>
      </c>
      <c r="K160" s="1" t="n">
        <f aca="false">SUM(K158:K159)</f>
        <v>185.009840205559</v>
      </c>
      <c r="L160" s="1" t="n">
        <f aca="false">SUM(L158:L159)</f>
        <v>184.826912561172</v>
      </c>
      <c r="M160" s="1" t="n">
        <f aca="false">SUM(M158:M159)</f>
        <v>184.61287872167</v>
      </c>
      <c r="N160" s="1" t="n">
        <f aca="false">SUM(N158:N159)</f>
        <v>184.361948733885</v>
      </c>
      <c r="O160" s="1" t="n">
        <f aca="false">SUM(O158:O159)</f>
        <v>184.067286439387</v>
      </c>
      <c r="P160" s="1" t="n">
        <f aca="false">SUM(P158:P159)</f>
        <v>183.720818620057</v>
      </c>
      <c r="Q160" s="1" t="n">
        <f aca="false">SUM(Q158:Q159)</f>
        <v>183.31300943433</v>
      </c>
      <c r="R160" s="1" t="n">
        <f aca="false">SUM(R158:R159)</f>
        <v>182.83259382548</v>
      </c>
      <c r="S160" s="1" t="n">
        <f aca="false">SUM(S158:S159)</f>
        <v>182.2662624334</v>
      </c>
      <c r="T160" s="1" t="n">
        <f aca="false">SUM(T158:T159)</f>
        <v>181.598289182154</v>
      </c>
      <c r="U160" s="1" t="n">
        <f aca="false">SUM(U158:U159)</f>
        <v>180.810091109011</v>
      </c>
      <c r="V160" s="1" t="n">
        <f aca="false">SUM(V158:V159)</f>
        <v>179.879708101688</v>
      </c>
      <c r="W160" s="1" t="n">
        <f aca="false">SUM(W158:W159)</f>
        <v>178.781187965982</v>
      </c>
      <c r="X160" s="1" t="n">
        <f aca="false">SUM(X158:X159)</f>
        <v>177.483859592823</v>
      </c>
      <c r="Y160" s="1" t="n">
        <f aca="false">SUM(Y158:Y159)</f>
        <v>175.951473857863</v>
      </c>
      <c r="Z160" s="1" t="n">
        <f aca="false">SUM(Z158:Z159)</f>
        <v>174.141188179952</v>
      </c>
      <c r="AA160" s="1" t="n">
        <f aca="false">SUM(AA158:AA159)</f>
        <v>172.002366283546</v>
      </c>
      <c r="AB160" s="1" t="n">
        <f aca="false">SUM(AB158:AB159)</f>
        <v>169.939621907779</v>
      </c>
      <c r="AC160" s="1" t="n">
        <f aca="false">SUM(AC158:AC159)</f>
        <v>167.99821543647</v>
      </c>
      <c r="AD160" s="1"/>
    </row>
    <row r="161" customFormat="false" ht="12.8" hidden="false" customHeight="false" outlineLevel="0" collapsed="false">
      <c r="A161" s="1" t="s">
        <v>40</v>
      </c>
      <c r="B161" s="1" t="n">
        <f aca="false">($B$70*(1-B$90))+($B$76*B$90)</f>
        <v>1907.7</v>
      </c>
      <c r="C161" s="1" t="n">
        <f aca="false">($B$70*(1-C$90))+($B$76*C$90)</f>
        <v>1907.7</v>
      </c>
      <c r="D161" s="1" t="n">
        <f aca="false">($B$70*(1-D$90))+($B$76*D$90)</f>
        <v>1907.7</v>
      </c>
      <c r="E161" s="1" t="n">
        <f aca="false">($B$70*(1-E$90))+($B$76*E$90)</f>
        <v>1907.7</v>
      </c>
      <c r="F161" s="1" t="n">
        <f aca="false">($B$70*(1-F$90))+($B$76*F$90)</f>
        <v>1907.7</v>
      </c>
      <c r="G161" s="1" t="n">
        <f aca="false">($B$70*(1-G$90))+($B$76*G$90)</f>
        <v>1907.7</v>
      </c>
      <c r="H161" s="1" t="n">
        <f aca="false">($B$70*(1-H$90))+($B$76*H$90)</f>
        <v>1907.7</v>
      </c>
      <c r="I161" s="1" t="n">
        <f aca="false">($B$70*(1-I$90))+($B$76*I$90)</f>
        <v>1903.41158654723</v>
      </c>
      <c r="J161" s="1" t="n">
        <f aca="false">($B$70*(1-J$90))+($B$76*J$90)</f>
        <v>1902.55390385668</v>
      </c>
      <c r="K161" s="1" t="n">
        <f aca="false">($B$70*(1-K$90))+($B$76*K$90)</f>
        <v>1901.52468462801</v>
      </c>
      <c r="L161" s="1" t="n">
        <f aca="false">($B$70*(1-L$90))+($B$76*L$90)</f>
        <v>1900.28962155362</v>
      </c>
      <c r="M161" s="1" t="n">
        <f aca="false">($B$70*(1-M$90))+($B$76*M$90)</f>
        <v>1898.80754586434</v>
      </c>
      <c r="N161" s="1" t="n">
        <f aca="false">($B$70*(1-N$90))+($B$76*N$90)</f>
        <v>1897.02905503721</v>
      </c>
      <c r="O161" s="1" t="n">
        <f aca="false">($B$70*(1-O$90))+($B$76*O$90)</f>
        <v>1896.06866999056</v>
      </c>
      <c r="P161" s="1" t="n">
        <f aca="false">($B$70*(1-P$90))+($B$76*P$90)</f>
        <v>1895.02185028971</v>
      </c>
      <c r="Q161" s="1" t="n">
        <f aca="false">($B$70*(1-Q$90))+($B$76*Q$90)</f>
        <v>1893.88081681578</v>
      </c>
      <c r="R161" s="1" t="n">
        <f aca="false">($B$70*(1-R$90))+($B$76*R$90)</f>
        <v>1892.6370903292</v>
      </c>
      <c r="S161" s="1" t="n">
        <f aca="false">($B$70*(1-S$90))+($B$76*S$90)</f>
        <v>1891.28142845883</v>
      </c>
      <c r="T161" s="1" t="n">
        <f aca="false">($B$70*(1-T$90))+($B$76*T$90)</f>
        <v>1889.80375702012</v>
      </c>
      <c r="U161" s="1" t="n">
        <f aca="false">($B$70*(1-U$90))+($B$76*U$90)</f>
        <v>1888.19309515194</v>
      </c>
      <c r="V161" s="1" t="n">
        <f aca="false">($B$70*(1-V$90))+($B$76*V$90)</f>
        <v>1886.43747371561</v>
      </c>
      <c r="W161" s="1" t="n">
        <f aca="false">($B$70*(1-W$90))+($B$76*W$90)</f>
        <v>1884.52384635002</v>
      </c>
      <c r="X161" s="1" t="n">
        <f aca="false">($B$70*(1-X$90))+($B$76*X$90)</f>
        <v>1882.43799252152</v>
      </c>
      <c r="Y161" s="1" t="n">
        <f aca="false">($B$70*(1-Y$90))+($B$76*Y$90)</f>
        <v>1880.16441184845</v>
      </c>
      <c r="Z161" s="1" t="n">
        <f aca="false">($B$70*(1-Z$90))+($B$76*Z$90)</f>
        <v>1877.68620891481</v>
      </c>
      <c r="AA161" s="1" t="n">
        <f aca="false">($B$70*(1-AA$90))+($B$76*AA$90)</f>
        <v>1874.98496771715</v>
      </c>
      <c r="AB161" s="1" t="n">
        <f aca="false">($B$70*(1-AB$90))+($B$76*AB$90)</f>
        <v>1872.04061481169</v>
      </c>
      <c r="AC161" s="1" t="n">
        <f aca="false">($B$70*(1-AC$90))+($B$76*AC$90)</f>
        <v>1868.83127014474</v>
      </c>
    </row>
    <row r="162" customFormat="false" ht="12.8" hidden="false" customHeight="false" outlineLevel="0" collapsed="false">
      <c r="A162" s="1" t="s">
        <v>41</v>
      </c>
      <c r="B162" s="1" t="n">
        <f aca="false">($C$57*(1-B$97))+($C$58*B$97)</f>
        <v>4249.46462992242</v>
      </c>
      <c r="C162" s="1" t="n">
        <f aca="false">($C$57*(1-C$97))+($C$58*C$97)</f>
        <v>4249.46462992242</v>
      </c>
      <c r="D162" s="1" t="n">
        <f aca="false">($C$57*(1-D$97))+($C$58*D$97)</f>
        <v>4245.86883293998</v>
      </c>
      <c r="E162" s="1" t="n">
        <f aca="false">($C$57*(1-E$97))+($C$58*E$97)</f>
        <v>4241.8301183763</v>
      </c>
      <c r="F162" s="1" t="n">
        <f aca="false">($C$57*(1-F$97))+($C$58*F$97)</f>
        <v>4237.25543302748</v>
      </c>
      <c r="G162" s="1" t="n">
        <f aca="false">($C$57*(1-G$97))+($C$58*G$97)</f>
        <v>4232.03551990092</v>
      </c>
      <c r="H162" s="1" t="n">
        <f aca="false">($C$57*(1-H$97))+($C$58*H$97)</f>
        <v>4226.04192607306</v>
      </c>
      <c r="I162" s="1" t="n">
        <f aca="false">($C$57*(1-I$97))+($C$58*I$97)</f>
        <v>4219.12346850995</v>
      </c>
      <c r="J162" s="1" t="n">
        <f aca="false">($C$57*(1-J$97))+($C$58*J$97)</f>
        <v>4211.10205905049</v>
      </c>
      <c r="K162" s="1" t="n">
        <f aca="false">($C$57*(1-K$97))+($C$58*K$97)</f>
        <v>4201.76777178014</v>
      </c>
      <c r="L162" s="1" t="n">
        <f aca="false">($C$57*(1-L$97))+($C$58*L$97)</f>
        <v>4190.87301477787</v>
      </c>
      <c r="M162" s="1" t="n">
        <f aca="false">($C$57*(1-M$97))+($C$58*M$97)</f>
        <v>4178.12564310826</v>
      </c>
      <c r="N162" s="1" t="n">
        <f aca="false">($C$57*(1-N$97))+($C$58*N$97)</f>
        <v>4163.18082024851</v>
      </c>
      <c r="O162" s="1" t="n">
        <f aca="false">($C$57*(1-O$97))+($C$58*O$97)</f>
        <v>4145.63140005531</v>
      </c>
      <c r="P162" s="1" t="n">
        <f aca="false">($C$57*(1-P$97))+($C$58*P$97)</f>
        <v>4124.99655990651</v>
      </c>
      <c r="Q162" s="1" t="n">
        <f aca="false">($C$57*(1-Q$97))+($C$58*Q$97)</f>
        <v>4100.70836663376</v>
      </c>
      <c r="R162" s="1" t="n">
        <f aca="false">($C$57*(1-R$97))+($C$58*R$97)</f>
        <v>4072.0958989224</v>
      </c>
      <c r="S162" s="1" t="n">
        <f aca="false">($C$57*(1-S$97))+($C$58*S$97)</f>
        <v>4038.36648136952</v>
      </c>
      <c r="T162" s="1" t="n">
        <f aca="false">($C$57*(1-T$97))+($C$58*T$97)</f>
        <v>3998.58350444029</v>
      </c>
      <c r="U162" s="1" t="n">
        <f aca="false">($C$57*(1-U$97))+($C$58*U$97)</f>
        <v>3951.6402088801</v>
      </c>
      <c r="V162" s="1" t="n">
        <f aca="false">($C$57*(1-V$97))+($C$58*V$97)</f>
        <v>3896.22870004104</v>
      </c>
      <c r="W162" s="1" t="n">
        <f aca="false">($C$57*(1-W$97))+($C$58*W$97)</f>
        <v>3830.8033238997</v>
      </c>
      <c r="X162" s="1" t="n">
        <f aca="false">($C$57*(1-X$97))+($C$58*X$97)</f>
        <v>3753.53737853022</v>
      </c>
      <c r="Y162" s="1" t="n">
        <f aca="false">($C$57*(1-Y$97))+($C$58*Y$97)</f>
        <v>3662.27194802546</v>
      </c>
      <c r="Z162" s="1" t="n">
        <f aca="false">($C$57*(1-Z$97))+($C$58*Z$97)</f>
        <v>3554.45542509539</v>
      </c>
      <c r="AA162" s="1" t="n">
        <f aca="false">($C$57*(1-AA$97))+($C$58*AA$97)</f>
        <v>3427.07202762879</v>
      </c>
      <c r="AB162" s="1" t="n">
        <f aca="false">($C$57*(1-AB$97))+($C$58*AB$97)</f>
        <v>3304.21963532272</v>
      </c>
      <c r="AC162" s="1" t="n">
        <f aca="false">($C$57*(1-AC$97))+($C$58*AC$97)</f>
        <v>3188.59385432877</v>
      </c>
    </row>
    <row r="163" customFormat="false" ht="12.8" hidden="false" customHeight="false" outlineLevel="0" collapsed="false">
      <c r="A163" s="1" t="s">
        <v>20</v>
      </c>
      <c r="B163" s="1" t="n">
        <f aca="false">SUM(B158:B162)</f>
        <v>6528.78601175795</v>
      </c>
      <c r="C163" s="1" t="n">
        <f aca="false">SUM(C158:C162)</f>
        <v>6528.78601175795</v>
      </c>
      <c r="D163" s="1" t="n">
        <f aca="false">SUM(D158:D162)</f>
        <v>6525.19021477551</v>
      </c>
      <c r="E163" s="1" t="n">
        <f aca="false">SUM(E158:E162)</f>
        <v>6521.15150021183</v>
      </c>
      <c r="F163" s="1" t="n">
        <f aca="false">SUM(F158:F162)</f>
        <v>6516.57681486302</v>
      </c>
      <c r="G163" s="1" t="n">
        <f aca="false">SUM(G158:G162)</f>
        <v>6511.35690173645</v>
      </c>
      <c r="H163" s="1" t="n">
        <f aca="false">SUM(H158:H162)</f>
        <v>6505.3633079086</v>
      </c>
      <c r="I163" s="1" t="n">
        <f aca="false">SUM(I158:I162)</f>
        <v>6493.13755465716</v>
      </c>
      <c r="J163" s="1" t="n">
        <f aca="false">SUM(J158:J162)</f>
        <v>6483.98909669445</v>
      </c>
      <c r="K163" s="1" t="n">
        <f aca="false">SUM(K158:K162)</f>
        <v>6473.31213681928</v>
      </c>
      <c r="L163" s="1" t="n">
        <f aca="false">SUM(L158:L162)</f>
        <v>6460.81646145383</v>
      </c>
      <c r="M163" s="1" t="n">
        <f aca="false">SUM(M158:M162)</f>
        <v>6446.15894641594</v>
      </c>
      <c r="N163" s="1" t="n">
        <f aca="false">SUM(N158:N162)</f>
        <v>6428.93377275348</v>
      </c>
      <c r="O163" s="1" t="n">
        <f aca="false">SUM(O158:O162)</f>
        <v>6409.83464292464</v>
      </c>
      <c r="P163" s="1" t="n">
        <f aca="false">SUM(P158:P162)</f>
        <v>6387.46004743634</v>
      </c>
      <c r="Q163" s="1" t="n">
        <f aca="false">SUM(Q158:Q162)</f>
        <v>6361.2152023182</v>
      </c>
      <c r="R163" s="1" t="n">
        <f aca="false">SUM(R158:R162)</f>
        <v>6330.39817690257</v>
      </c>
      <c r="S163" s="1" t="n">
        <f aca="false">SUM(S158:S162)</f>
        <v>6294.18043469515</v>
      </c>
      <c r="T163" s="1" t="n">
        <f aca="false">SUM(T158:T162)</f>
        <v>6251.58383982472</v>
      </c>
      <c r="U163" s="1" t="n">
        <f aca="false">SUM(U158:U162)</f>
        <v>6201.45348625006</v>
      </c>
      <c r="V163" s="1" t="n">
        <f aca="false">SUM(V158:V162)</f>
        <v>6142.42558996003</v>
      </c>
      <c r="W163" s="1" t="n">
        <f aca="false">SUM(W158:W162)</f>
        <v>6072.88954618168</v>
      </c>
      <c r="X163" s="1" t="n">
        <f aca="false">SUM(X158:X162)</f>
        <v>5990.94309023739</v>
      </c>
      <c r="Y163" s="1" t="n">
        <f aca="false">SUM(Y158:Y162)</f>
        <v>5894.33930758964</v>
      </c>
      <c r="Z163" s="1" t="n">
        <f aca="false">SUM(Z158:Z162)</f>
        <v>5780.42401037011</v>
      </c>
      <c r="AA163" s="1" t="n">
        <f aca="false">SUM(AA158:AA162)</f>
        <v>5646.06172791303</v>
      </c>
      <c r="AB163" s="1" t="n">
        <f aca="false">SUM(AB158:AB162)</f>
        <v>5516.13949394997</v>
      </c>
      <c r="AC163" s="1" t="n">
        <f aca="false">SUM(AC158:AC162)</f>
        <v>5393.42155534645</v>
      </c>
    </row>
    <row r="165" customFormat="false" ht="12.8" hidden="false" customHeight="false" outlineLevel="0" collapsed="false">
      <c r="A165" s="1" t="s">
        <v>319</v>
      </c>
      <c r="B165" s="1" t="s">
        <v>575</v>
      </c>
      <c r="C165" s="1" t="n">
        <v>2024</v>
      </c>
      <c r="D165" s="1" t="n">
        <v>2025</v>
      </c>
      <c r="E165" s="1" t="n">
        <v>2026</v>
      </c>
      <c r="F165" s="1" t="n">
        <v>2027</v>
      </c>
      <c r="G165" s="1" t="n">
        <v>2028</v>
      </c>
      <c r="H165" s="1" t="n">
        <v>2029</v>
      </c>
      <c r="I165" s="1" t="n">
        <v>2030</v>
      </c>
      <c r="J165" s="1" t="n">
        <v>2031</v>
      </c>
      <c r="K165" s="1" t="n">
        <v>2032</v>
      </c>
      <c r="L165" s="1" t="n">
        <v>2033</v>
      </c>
      <c r="M165" s="1" t="n">
        <v>2034</v>
      </c>
      <c r="N165" s="1" t="n">
        <v>2035</v>
      </c>
      <c r="O165" s="1" t="n">
        <v>2036</v>
      </c>
      <c r="P165" s="1" t="n">
        <v>2037</v>
      </c>
      <c r="Q165" s="1" t="n">
        <v>2038</v>
      </c>
      <c r="R165" s="1" t="n">
        <v>2039</v>
      </c>
      <c r="S165" s="1" t="n">
        <v>2040</v>
      </c>
      <c r="T165" s="1" t="n">
        <v>2041</v>
      </c>
      <c r="U165" s="1" t="n">
        <v>2042</v>
      </c>
      <c r="V165" s="1" t="n">
        <v>2043</v>
      </c>
      <c r="W165" s="1" t="n">
        <v>2044</v>
      </c>
      <c r="X165" s="1" t="n">
        <v>2045</v>
      </c>
      <c r="Y165" s="1" t="n">
        <v>2046</v>
      </c>
      <c r="Z165" s="1" t="n">
        <v>2047</v>
      </c>
      <c r="AA165" s="1" t="n">
        <v>2048</v>
      </c>
      <c r="AB165" s="1" t="n">
        <v>2049</v>
      </c>
      <c r="AC165" s="1" t="n">
        <v>2050</v>
      </c>
    </row>
    <row r="166" customFormat="false" ht="12.8" hidden="false" customHeight="false" outlineLevel="0" collapsed="false">
      <c r="A166" s="1" t="s">
        <v>37</v>
      </c>
      <c r="B166" s="1" t="n">
        <f aca="false">($B$30*$B$28)+($B$39*$B$42)</f>
        <v>71.3503343390438</v>
      </c>
      <c r="C166" s="1" t="n">
        <f aca="false">($B$30*$B$28)+($B$39*$B$42)</f>
        <v>71.3503343390438</v>
      </c>
      <c r="D166" s="1" t="n">
        <f aca="false">($B$30*$B$33)+($B$44*$B$47)</f>
        <v>25.4547138723075</v>
      </c>
      <c r="E166" s="1" t="n">
        <f aca="false">($B$30*$B$33)+($B$44*$B$47)</f>
        <v>25.4547138723075</v>
      </c>
      <c r="F166" s="1" t="n">
        <f aca="false">($B$30*$B$33)+($B$44*$B$47)</f>
        <v>25.4547138723075</v>
      </c>
      <c r="G166" s="1" t="n">
        <f aca="false">($B$30*$B$33)+($B$44*$B$47)</f>
        <v>25.4547138723075</v>
      </c>
      <c r="H166" s="1" t="n">
        <f aca="false">($B$30*$B$33)+($B$44*$B$47)</f>
        <v>25.4547138723075</v>
      </c>
      <c r="I166" s="1" t="n">
        <f aca="false">($B$30*$B$33)+($B$44*$B$47)</f>
        <v>25.4547138723075</v>
      </c>
      <c r="J166" s="1" t="n">
        <f aca="false">($B$30*$B$33)+($B$44*$B$47)</f>
        <v>25.4547138723075</v>
      </c>
      <c r="K166" s="1" t="n">
        <f aca="false">($B$30*$B$33)+($B$44*$B$47)</f>
        <v>25.4547138723075</v>
      </c>
      <c r="L166" s="1" t="n">
        <f aca="false">$K166*0.9</f>
        <v>22.9092424850768</v>
      </c>
      <c r="M166" s="1" t="n">
        <f aca="false">L166</f>
        <v>22.9092424850768</v>
      </c>
      <c r="N166" s="1" t="n">
        <f aca="false">M166</f>
        <v>22.9092424850768</v>
      </c>
      <c r="O166" s="1" t="n">
        <f aca="false">N166</f>
        <v>22.9092424850768</v>
      </c>
      <c r="P166" s="1" t="n">
        <f aca="false">O166</f>
        <v>22.9092424850768</v>
      </c>
      <c r="Q166" s="1" t="n">
        <f aca="false">P166</f>
        <v>22.9092424850768</v>
      </c>
      <c r="R166" s="1" t="n">
        <f aca="false">Q166</f>
        <v>22.9092424850768</v>
      </c>
      <c r="S166" s="1" t="n">
        <f aca="false">$L166*0.9</f>
        <v>20.6183182365691</v>
      </c>
      <c r="T166" s="1" t="n">
        <f aca="false">S166</f>
        <v>20.6183182365691</v>
      </c>
      <c r="U166" s="1" t="n">
        <f aca="false">T166</f>
        <v>20.6183182365691</v>
      </c>
      <c r="V166" s="1" t="n">
        <f aca="false">U166</f>
        <v>20.6183182365691</v>
      </c>
      <c r="W166" s="1" t="n">
        <f aca="false">V166</f>
        <v>20.6183182365691</v>
      </c>
      <c r="X166" s="1" t="n">
        <f aca="false">W166</f>
        <v>20.6183182365691</v>
      </c>
      <c r="Y166" s="1" t="n">
        <f aca="false">X166</f>
        <v>20.6183182365691</v>
      </c>
      <c r="Z166" s="1" t="n">
        <f aca="false">$S166*0.9</f>
        <v>18.5564864129122</v>
      </c>
      <c r="AA166" s="1" t="n">
        <f aca="false">Z166</f>
        <v>18.5564864129122</v>
      </c>
      <c r="AB166" s="1" t="n">
        <f aca="false">$S166*0.9</f>
        <v>18.5564864129122</v>
      </c>
      <c r="AC166" s="1" t="n">
        <f aca="false">$S166*0.9</f>
        <v>18.5564864129122</v>
      </c>
    </row>
    <row r="167" customFormat="false" ht="12.8" hidden="false" customHeight="false" outlineLevel="0" collapsed="false">
      <c r="A167" s="1" t="s">
        <v>18</v>
      </c>
      <c r="B167" s="1" t="n">
        <f aca="false">$B$10</f>
        <v>114.460356578722</v>
      </c>
      <c r="C167" s="1" t="n">
        <f aca="false">$B$10</f>
        <v>114.460356578722</v>
      </c>
      <c r="D167" s="1" t="n">
        <f aca="false">$B$10</f>
        <v>114.460356578722</v>
      </c>
      <c r="E167" s="1" t="n">
        <f aca="false">($B$18*0.25)+($B$10*0.75)</f>
        <v>87.1829676973752</v>
      </c>
      <c r="F167" s="141" t="n">
        <f aca="false">$B$18</f>
        <v>5.35080105333394</v>
      </c>
      <c r="G167" s="141" t="n">
        <f aca="false">$B$18</f>
        <v>5.35080105333394</v>
      </c>
      <c r="H167" s="141" t="n">
        <f aca="false">$B$18</f>
        <v>5.35080105333394</v>
      </c>
      <c r="I167" s="141" t="n">
        <f aca="false">$B$18</f>
        <v>5.35080105333394</v>
      </c>
      <c r="J167" s="141" t="n">
        <f aca="false">$B$18</f>
        <v>5.35080105333394</v>
      </c>
      <c r="K167" s="141" t="n">
        <f aca="false">$B$18</f>
        <v>5.35080105333394</v>
      </c>
      <c r="L167" s="141" t="n">
        <f aca="false">$B$18</f>
        <v>5.35080105333394</v>
      </c>
      <c r="M167" s="141" t="n">
        <f aca="false">$B$18</f>
        <v>5.35080105333394</v>
      </c>
      <c r="N167" s="141" t="n">
        <f aca="false">$B$18</f>
        <v>5.35080105333394</v>
      </c>
      <c r="O167" s="141" t="n">
        <f aca="false">$B$18</f>
        <v>5.35080105333394</v>
      </c>
      <c r="P167" s="141" t="n">
        <f aca="false">$B$18</f>
        <v>5.35080105333394</v>
      </c>
      <c r="Q167" s="141" t="n">
        <f aca="false">$B$18</f>
        <v>5.35080105333394</v>
      </c>
      <c r="R167" s="141" t="n">
        <f aca="false">$B$18</f>
        <v>5.35080105333394</v>
      </c>
      <c r="S167" s="141" t="n">
        <f aca="false">$B$18</f>
        <v>5.35080105333394</v>
      </c>
      <c r="T167" s="141" t="n">
        <f aca="false">$B$18</f>
        <v>5.35080105333394</v>
      </c>
      <c r="U167" s="141" t="n">
        <f aca="false">$B$18</f>
        <v>5.35080105333394</v>
      </c>
      <c r="V167" s="141" t="n">
        <f aca="false">$B$18</f>
        <v>5.35080105333394</v>
      </c>
      <c r="W167" s="141" t="n">
        <f aca="false">$B$18</f>
        <v>5.35080105333394</v>
      </c>
      <c r="X167" s="141" t="n">
        <f aca="false">$B$18</f>
        <v>5.35080105333394</v>
      </c>
      <c r="Y167" s="141" t="n">
        <f aca="false">$B$18</f>
        <v>5.35080105333394</v>
      </c>
      <c r="Z167" s="141" t="n">
        <f aca="false">$B$18</f>
        <v>5.35080105333394</v>
      </c>
      <c r="AA167" s="141" t="n">
        <f aca="false">$B$18</f>
        <v>5.35080105333394</v>
      </c>
      <c r="AB167" s="141" t="n">
        <f aca="false">$B$18</f>
        <v>5.35080105333394</v>
      </c>
      <c r="AC167" s="141" t="n">
        <f aca="false">$B$18</f>
        <v>5.35080105333394</v>
      </c>
      <c r="AD167" s="1"/>
    </row>
    <row r="168" customFormat="false" ht="12.8" hidden="false" customHeight="false" outlineLevel="0" collapsed="false">
      <c r="A168" s="3" t="s">
        <v>39</v>
      </c>
      <c r="B168" s="1" t="n">
        <f aca="false">SUM(B166:B167)</f>
        <v>185.810690917766</v>
      </c>
      <c r="C168" s="1" t="n">
        <f aca="false">SUM(C166:C167)</f>
        <v>185.810690917766</v>
      </c>
      <c r="D168" s="1" t="n">
        <f aca="false">SUM(D166:D167)</f>
        <v>139.91507045103</v>
      </c>
      <c r="E168" s="1" t="n">
        <f aca="false">SUM(E166:E167)</f>
        <v>112.637681569683</v>
      </c>
      <c r="F168" s="1" t="n">
        <f aca="false">SUM(F166:F167)</f>
        <v>30.8055149256415</v>
      </c>
      <c r="G168" s="1" t="n">
        <f aca="false">SUM(G166:G167)</f>
        <v>30.8055149256415</v>
      </c>
      <c r="H168" s="1" t="n">
        <f aca="false">SUM(H166:H167)</f>
        <v>30.8055149256415</v>
      </c>
      <c r="I168" s="1" t="n">
        <f aca="false">SUM(I166:I167)</f>
        <v>30.8055149256415</v>
      </c>
      <c r="J168" s="1" t="n">
        <f aca="false">SUM(J166:J167)</f>
        <v>30.8055149256415</v>
      </c>
      <c r="K168" s="1" t="n">
        <f aca="false">SUM(K166:K167)</f>
        <v>30.8055149256415</v>
      </c>
      <c r="L168" s="1" t="n">
        <f aca="false">SUM(L166:L167)</f>
        <v>28.2600435384107</v>
      </c>
      <c r="M168" s="1" t="n">
        <f aca="false">SUM(M166:M167)</f>
        <v>28.2600435384107</v>
      </c>
      <c r="N168" s="1" t="n">
        <f aca="false">SUM(N166:N167)</f>
        <v>28.2600435384107</v>
      </c>
      <c r="O168" s="1" t="n">
        <f aca="false">SUM(O166:O167)</f>
        <v>28.2600435384107</v>
      </c>
      <c r="P168" s="1" t="n">
        <f aca="false">SUM(P166:P167)</f>
        <v>28.2600435384107</v>
      </c>
      <c r="Q168" s="1" t="n">
        <f aca="false">SUM(Q166:Q167)</f>
        <v>28.2600435384107</v>
      </c>
      <c r="R168" s="1" t="n">
        <f aca="false">SUM(R166:R167)</f>
        <v>28.2600435384107</v>
      </c>
      <c r="S168" s="1" t="n">
        <f aca="false">SUM(S166:S167)</f>
        <v>25.969119289903</v>
      </c>
      <c r="T168" s="1" t="n">
        <f aca="false">SUM(T166:T167)</f>
        <v>25.969119289903</v>
      </c>
      <c r="U168" s="1" t="n">
        <f aca="false">SUM(U166:U167)</f>
        <v>25.969119289903</v>
      </c>
      <c r="V168" s="1" t="n">
        <f aca="false">SUM(V166:V167)</f>
        <v>25.969119289903</v>
      </c>
      <c r="W168" s="1" t="n">
        <f aca="false">SUM(W166:W167)</f>
        <v>25.969119289903</v>
      </c>
      <c r="X168" s="1" t="n">
        <f aca="false">SUM(X166:X167)</f>
        <v>25.969119289903</v>
      </c>
      <c r="Y168" s="1" t="n">
        <f aca="false">SUM(Y166:Y167)</f>
        <v>25.969119289903</v>
      </c>
      <c r="Z168" s="1" t="n">
        <f aca="false">SUM(Z166:Z167)</f>
        <v>23.9072874662461</v>
      </c>
      <c r="AA168" s="1" t="n">
        <f aca="false">SUM(AA166:AA167)</f>
        <v>23.9072874662461</v>
      </c>
      <c r="AB168" s="1" t="n">
        <f aca="false">SUM(AB166:AB167)</f>
        <v>23.9072874662461</v>
      </c>
      <c r="AC168" s="1" t="n">
        <f aca="false">SUM(AC166:AC167)</f>
        <v>23.9072874662461</v>
      </c>
      <c r="AD168" s="1"/>
    </row>
    <row r="169" customFormat="false" ht="12.8" hidden="false" customHeight="false" outlineLevel="0" collapsed="false">
      <c r="A169" s="1" t="s">
        <v>40</v>
      </c>
      <c r="B169" s="1" t="n">
        <f aca="false">($B$70*(1-B$90))+($B$76*B$90)</f>
        <v>1907.7</v>
      </c>
      <c r="C169" s="1" t="n">
        <f aca="false">($B$70*(1-C$90))+($B$76*C$90)</f>
        <v>1907.7</v>
      </c>
      <c r="D169" s="1" t="n">
        <f aca="false">($B$70*(1-D$90))+($B$76*D$90)</f>
        <v>1907.7</v>
      </c>
      <c r="E169" s="1" t="n">
        <f aca="false">($B$70*(1-E$90))+($B$76*E$90)</f>
        <v>1907.7</v>
      </c>
      <c r="F169" s="1" t="n">
        <f aca="false">($B$70*(1-F$90))+($B$76*F$90)</f>
        <v>1907.7</v>
      </c>
      <c r="G169" s="1" t="n">
        <f aca="false">($B$70*(1-G$90))+($B$76*G$90)</f>
        <v>1907.7</v>
      </c>
      <c r="H169" s="1" t="n">
        <f aca="false">($B$70*(1-H$90))+($B$76*H$90)</f>
        <v>1907.7</v>
      </c>
      <c r="I169" s="1" t="n">
        <f aca="false">($B$70*(1-I$90))+($B$76*I$90)</f>
        <v>1903.41158654723</v>
      </c>
      <c r="J169" s="1" t="n">
        <f aca="false">($B$70*(1-J$90))+($B$76*J$90)</f>
        <v>1902.55390385668</v>
      </c>
      <c r="K169" s="1" t="n">
        <f aca="false">($B$70*(1-K$90))+($B$76*K$90)</f>
        <v>1901.52468462801</v>
      </c>
      <c r="L169" s="1" t="n">
        <f aca="false">($B$70*(1-L$90))+($B$76*L$90)</f>
        <v>1900.28962155362</v>
      </c>
      <c r="M169" s="1" t="n">
        <f aca="false">($B$70*(1-M$90))+($B$76*M$90)</f>
        <v>1898.80754586434</v>
      </c>
      <c r="N169" s="1" t="n">
        <f aca="false">($B$70*(1-N$90))+($B$76*N$90)</f>
        <v>1897.02905503721</v>
      </c>
      <c r="O169" s="1" t="n">
        <f aca="false">($B$70*(1-O$90))+($B$76*O$90)</f>
        <v>1896.06866999056</v>
      </c>
      <c r="P169" s="1" t="n">
        <f aca="false">($B$70*(1-P$90))+($B$76*P$90)</f>
        <v>1895.02185028971</v>
      </c>
      <c r="Q169" s="1" t="n">
        <f aca="false">($B$70*(1-Q$90))+($B$76*Q$90)</f>
        <v>1893.88081681578</v>
      </c>
      <c r="R169" s="1" t="n">
        <f aca="false">($B$70*(1-R$90))+($B$76*R$90)</f>
        <v>1892.6370903292</v>
      </c>
      <c r="S169" s="1" t="n">
        <f aca="false">($B$70*(1-S$90))+($B$76*S$90)</f>
        <v>1891.28142845883</v>
      </c>
      <c r="T169" s="1" t="n">
        <f aca="false">($B$70*(1-T$90))+($B$76*T$90)</f>
        <v>1889.80375702012</v>
      </c>
      <c r="U169" s="1" t="n">
        <f aca="false">($B$70*(1-U$90))+($B$76*U$90)</f>
        <v>1888.19309515194</v>
      </c>
      <c r="V169" s="1" t="n">
        <f aca="false">($B$70*(1-V$90))+($B$76*V$90)</f>
        <v>1886.43747371561</v>
      </c>
      <c r="W169" s="1" t="n">
        <f aca="false">($B$70*(1-W$90))+($B$76*W$90)</f>
        <v>1884.52384635002</v>
      </c>
      <c r="X169" s="1" t="n">
        <f aca="false">($B$70*(1-X$90))+($B$76*X$90)</f>
        <v>1882.43799252152</v>
      </c>
      <c r="Y169" s="1" t="n">
        <f aca="false">($B$70*(1-Y$90))+($B$76*Y$90)</f>
        <v>1880.16441184845</v>
      </c>
      <c r="Z169" s="1" t="n">
        <f aca="false">($B$70*(1-Z$90))+($B$76*Z$90)</f>
        <v>1877.68620891481</v>
      </c>
      <c r="AA169" s="1" t="n">
        <f aca="false">($B$70*(1-AA$90))+($B$76*AA$90)</f>
        <v>1874.98496771715</v>
      </c>
      <c r="AB169" s="1" t="n">
        <f aca="false">($B$70*(1-AB$90))+($B$76*AB$90)</f>
        <v>1872.04061481169</v>
      </c>
      <c r="AC169" s="1" t="n">
        <f aca="false">($B$70*(1-AC$90))+($B$76*AC$90)</f>
        <v>1868.83127014474</v>
      </c>
      <c r="AD169" s="1"/>
    </row>
    <row r="170" customFormat="false" ht="12.8" hidden="false" customHeight="false" outlineLevel="0" collapsed="false">
      <c r="A170" s="1" t="s">
        <v>41</v>
      </c>
      <c r="B170" s="1" t="n">
        <f aca="false">($C$57*(1-B$97))+($C$58*B$97)</f>
        <v>4249.46462992242</v>
      </c>
      <c r="C170" s="1" t="n">
        <f aca="false">($C$57*(1-C$97))+($C$58*C$97)</f>
        <v>4249.46462992242</v>
      </c>
      <c r="D170" s="1" t="n">
        <f aca="false">($C$57*(1-D$97))+($C$58*D$97)</f>
        <v>4245.86883293998</v>
      </c>
      <c r="E170" s="1" t="n">
        <f aca="false">($C$57*(1-E$97))+($C$58*E$97)</f>
        <v>4241.8301183763</v>
      </c>
      <c r="F170" s="1" t="n">
        <f aca="false">($C$57*(1-F$97))+($C$58*F$97)</f>
        <v>4237.25543302748</v>
      </c>
      <c r="G170" s="1" t="n">
        <f aca="false">($C$57*(1-G$97))+($C$58*G$97)</f>
        <v>4232.03551990092</v>
      </c>
      <c r="H170" s="1" t="n">
        <f aca="false">($C$57*(1-H$97))+($C$58*H$97)</f>
        <v>4226.04192607306</v>
      </c>
      <c r="I170" s="1" t="n">
        <f aca="false">($C$57*(1-I$97))+($C$58*I$97)</f>
        <v>4219.12346850995</v>
      </c>
      <c r="J170" s="1" t="n">
        <f aca="false">($C$57*(1-J$97))+($C$58*J$97)</f>
        <v>4211.10205905049</v>
      </c>
      <c r="K170" s="1" t="n">
        <f aca="false">($C$57*(1-K$97))+($C$58*K$97)</f>
        <v>4201.76777178014</v>
      </c>
      <c r="L170" s="1" t="n">
        <f aca="false">($C$57*(1-L$97))+($C$58*L$97)</f>
        <v>4190.87301477787</v>
      </c>
      <c r="M170" s="1" t="n">
        <f aca="false">($C$57*(1-M$97))+($C$58*M$97)</f>
        <v>4178.12564310826</v>
      </c>
      <c r="N170" s="1" t="n">
        <f aca="false">($C$57*(1-N$97))+($C$58*N$97)</f>
        <v>4163.18082024851</v>
      </c>
      <c r="O170" s="1" t="n">
        <f aca="false">($C$57*(1-O$97))+($C$58*O$97)</f>
        <v>4145.63140005531</v>
      </c>
      <c r="P170" s="1" t="n">
        <f aca="false">($C$57*(1-P$97))+($C$58*P$97)</f>
        <v>4124.99655990651</v>
      </c>
      <c r="Q170" s="1" t="n">
        <f aca="false">($C$57*(1-Q$97))+($C$58*Q$97)</f>
        <v>4100.70836663376</v>
      </c>
      <c r="R170" s="1" t="n">
        <f aca="false">($C$57*(1-R$97))+($C$58*R$97)</f>
        <v>4072.0958989224</v>
      </c>
      <c r="S170" s="1" t="n">
        <f aca="false">($C$57*(1-S$97))+($C$58*S$97)</f>
        <v>4038.36648136952</v>
      </c>
      <c r="T170" s="1" t="n">
        <f aca="false">($C$57*(1-T$97))+($C$58*T$97)</f>
        <v>3998.58350444029</v>
      </c>
      <c r="U170" s="1" t="n">
        <f aca="false">($C$57*(1-U$97))+($C$58*U$97)</f>
        <v>3951.6402088801</v>
      </c>
      <c r="V170" s="1" t="n">
        <f aca="false">($C$57*(1-V$97))+($C$58*V$97)</f>
        <v>3896.22870004104</v>
      </c>
      <c r="W170" s="1" t="n">
        <f aca="false">($C$57*(1-W$97))+($C$58*W$97)</f>
        <v>3830.8033238997</v>
      </c>
      <c r="X170" s="1" t="n">
        <f aca="false">($C$57*(1-X$97))+($C$58*X$97)</f>
        <v>3753.53737853022</v>
      </c>
      <c r="Y170" s="1" t="n">
        <f aca="false">($C$57*(1-Y$97))+($C$58*Y$97)</f>
        <v>3662.27194802546</v>
      </c>
      <c r="Z170" s="1" t="n">
        <f aca="false">($C$57*(1-Z$97))+($C$58*Z$97)</f>
        <v>3554.45542509539</v>
      </c>
      <c r="AA170" s="1" t="n">
        <f aca="false">($C$57*(1-AA$97))+($C$58*AA$97)</f>
        <v>3427.07202762879</v>
      </c>
      <c r="AB170" s="1" t="n">
        <f aca="false">($C$57*(1-AB$97))+($C$58*AB$97)</f>
        <v>3304.21963532272</v>
      </c>
      <c r="AC170" s="1" t="n">
        <f aca="false">($C$57*(1-AC$97))+($C$58*AC$97)</f>
        <v>3188.59385432877</v>
      </c>
    </row>
    <row r="171" customFormat="false" ht="12.8" hidden="false" customHeight="false" outlineLevel="0" collapsed="false">
      <c r="A171" s="1" t="s">
        <v>20</v>
      </c>
      <c r="B171" s="1" t="n">
        <f aca="false">SUM(B166:B170)</f>
        <v>6528.78601175795</v>
      </c>
      <c r="C171" s="1" t="n">
        <f aca="false">SUM(C166:C170)</f>
        <v>6528.78601175795</v>
      </c>
      <c r="D171" s="1" t="n">
        <f aca="false">SUM(D166:D170)</f>
        <v>6433.39897384204</v>
      </c>
      <c r="E171" s="1" t="n">
        <f aca="false">SUM(E166:E170)</f>
        <v>6374.80548151566</v>
      </c>
      <c r="F171" s="1" t="n">
        <f aca="false">SUM(F166:F170)</f>
        <v>6206.56646287877</v>
      </c>
      <c r="G171" s="1" t="n">
        <f aca="false">SUM(G166:G170)</f>
        <v>6201.3465497522</v>
      </c>
      <c r="H171" s="1" t="n">
        <f aca="false">SUM(H166:H170)</f>
        <v>6195.35295592435</v>
      </c>
      <c r="I171" s="1" t="n">
        <f aca="false">SUM(I166:I170)</f>
        <v>6184.14608490846</v>
      </c>
      <c r="J171" s="1" t="n">
        <f aca="false">SUM(J166:J170)</f>
        <v>6175.26699275845</v>
      </c>
      <c r="K171" s="1" t="n">
        <f aca="false">SUM(K166:K170)</f>
        <v>6164.90348625944</v>
      </c>
      <c r="L171" s="1" t="n">
        <f aca="false">SUM(L166:L170)</f>
        <v>6147.68272340831</v>
      </c>
      <c r="M171" s="1" t="n">
        <f aca="false">SUM(M166:M170)</f>
        <v>6133.45327604942</v>
      </c>
      <c r="N171" s="1" t="n">
        <f aca="false">SUM(N166:N170)</f>
        <v>6116.72996236254</v>
      </c>
      <c r="O171" s="1" t="n">
        <f aca="false">SUM(O166:O170)</f>
        <v>6098.22015712269</v>
      </c>
      <c r="P171" s="1" t="n">
        <f aca="false">SUM(P166:P170)</f>
        <v>6076.53849727304</v>
      </c>
      <c r="Q171" s="1" t="n">
        <f aca="false">SUM(Q166:Q170)</f>
        <v>6051.10927052636</v>
      </c>
      <c r="R171" s="1" t="n">
        <f aca="false">SUM(R166:R170)</f>
        <v>6021.25307632843</v>
      </c>
      <c r="S171" s="1" t="n">
        <f aca="false">SUM(S166:S170)</f>
        <v>5981.58614840815</v>
      </c>
      <c r="T171" s="1" t="n">
        <f aca="false">SUM(T166:T170)</f>
        <v>5940.32550004022</v>
      </c>
      <c r="U171" s="1" t="n">
        <f aca="false">SUM(U166:U170)</f>
        <v>5891.77154261184</v>
      </c>
      <c r="V171" s="1" t="n">
        <f aca="false">SUM(V166:V170)</f>
        <v>5834.60441233645</v>
      </c>
      <c r="W171" s="1" t="n">
        <f aca="false">SUM(W166:W170)</f>
        <v>5767.26540882952</v>
      </c>
      <c r="X171" s="1" t="n">
        <f aca="false">SUM(X166:X170)</f>
        <v>5687.91360963155</v>
      </c>
      <c r="Y171" s="1" t="n">
        <f aca="false">SUM(Y166:Y170)</f>
        <v>5594.37459845372</v>
      </c>
      <c r="Z171" s="1" t="n">
        <f aca="false">SUM(Z166:Z170)</f>
        <v>5479.95620894269</v>
      </c>
      <c r="AA171" s="1" t="n">
        <f aca="false">SUM(AA166:AA170)</f>
        <v>5349.87157027843</v>
      </c>
      <c r="AB171" s="1" t="n">
        <f aca="false">SUM(AB166:AB170)</f>
        <v>5224.0748250669</v>
      </c>
      <c r="AC171" s="1" t="n">
        <f aca="false">SUM(AC166:AC170)</f>
        <v>5105.239699406</v>
      </c>
    </row>
    <row r="172" customFormat="false" ht="12.8" hidden="false" customHeight="false" outlineLevel="0" collapsed="false">
      <c r="A172" s="1" t="s">
        <v>320</v>
      </c>
      <c r="B172" s="1" t="s">
        <v>575</v>
      </c>
      <c r="C172" s="1" t="n">
        <v>2024</v>
      </c>
      <c r="D172" s="1" t="n">
        <v>2025</v>
      </c>
      <c r="E172" s="1" t="n">
        <v>2026</v>
      </c>
      <c r="F172" s="1" t="n">
        <v>2027</v>
      </c>
      <c r="G172" s="1" t="n">
        <v>2028</v>
      </c>
      <c r="H172" s="1" t="n">
        <v>2029</v>
      </c>
      <c r="I172" s="1" t="n">
        <v>2030</v>
      </c>
      <c r="J172" s="1" t="n">
        <v>2031</v>
      </c>
      <c r="K172" s="1" t="n">
        <v>2032</v>
      </c>
      <c r="L172" s="1" t="n">
        <v>2033</v>
      </c>
      <c r="M172" s="1" t="n">
        <v>2034</v>
      </c>
      <c r="N172" s="1" t="n">
        <v>2035</v>
      </c>
      <c r="O172" s="1" t="n">
        <v>2036</v>
      </c>
      <c r="P172" s="1" t="n">
        <v>2037</v>
      </c>
      <c r="Q172" s="1" t="n">
        <v>2038</v>
      </c>
      <c r="R172" s="1" t="n">
        <v>2039</v>
      </c>
      <c r="S172" s="1" t="n">
        <v>2040</v>
      </c>
      <c r="T172" s="1" t="n">
        <v>2041</v>
      </c>
      <c r="U172" s="1" t="n">
        <v>2042</v>
      </c>
      <c r="V172" s="1" t="n">
        <v>2043</v>
      </c>
      <c r="W172" s="1" t="n">
        <v>2044</v>
      </c>
      <c r="X172" s="1" t="n">
        <v>2045</v>
      </c>
      <c r="Y172" s="1" t="n">
        <v>2046</v>
      </c>
      <c r="Z172" s="1" t="n">
        <v>2047</v>
      </c>
      <c r="AA172" s="1" t="n">
        <v>2048</v>
      </c>
      <c r="AB172" s="1" t="n">
        <v>2049</v>
      </c>
      <c r="AC172" s="1" t="n">
        <v>2050</v>
      </c>
    </row>
    <row r="173" customFormat="false" ht="12.8" hidden="false" customHeight="false" outlineLevel="0" collapsed="false">
      <c r="A173" s="1" t="s">
        <v>37</v>
      </c>
      <c r="B173" s="1" t="n">
        <f aca="false">($B$30*$B$28)+($B$39*$B$42)</f>
        <v>71.3503343390438</v>
      </c>
      <c r="C173" s="1" t="n">
        <f aca="false">($B$30*$B$28)+($B$39*$B$42)</f>
        <v>71.3503343390438</v>
      </c>
      <c r="D173" s="1" t="n">
        <f aca="false">($B$30*$B$33)+($B$44*$B$47)</f>
        <v>25.4547138723075</v>
      </c>
      <c r="E173" s="1" t="n">
        <f aca="false">($B$30*$B$33)+($B$44*$B$47)</f>
        <v>25.4547138723075</v>
      </c>
      <c r="F173" s="1" t="n">
        <f aca="false">($B$30*$B$33)+($B$44*$B$47)</f>
        <v>25.4547138723075</v>
      </c>
      <c r="G173" s="1" t="n">
        <f aca="false">($B$30*$B$33)+($B$44*$B$47)</f>
        <v>25.4547138723075</v>
      </c>
      <c r="H173" s="1" t="n">
        <f aca="false">($B$30*$B$33)+($B$44*$B$47)</f>
        <v>25.4547138723075</v>
      </c>
      <c r="I173" s="1" t="n">
        <f aca="false">($B$30*$B$33)+($B$44*$B$47)</f>
        <v>25.4547138723075</v>
      </c>
      <c r="J173" s="1" t="n">
        <f aca="false">($B$30*$B$33)+($B$44*$B$47)</f>
        <v>25.4547138723075</v>
      </c>
      <c r="K173" s="1" t="n">
        <f aca="false">($B$30*$B$33)+($B$44*$B$47)</f>
        <v>25.4547138723075</v>
      </c>
      <c r="L173" s="1" t="n">
        <f aca="false">$K173*0.9</f>
        <v>22.9092424850768</v>
      </c>
      <c r="M173" s="1" t="n">
        <v>22.0256904333107</v>
      </c>
      <c r="N173" s="1" t="n">
        <v>22.0256904333107</v>
      </c>
      <c r="O173" s="1" t="n">
        <v>22.0256904333107</v>
      </c>
      <c r="P173" s="1" t="n">
        <v>22.0256904333107</v>
      </c>
      <c r="Q173" s="1" t="n">
        <v>22.0256904333107</v>
      </c>
      <c r="R173" s="1" t="n">
        <v>22.0256904333107</v>
      </c>
      <c r="S173" s="1" t="n">
        <f aca="false">$L173*0.9</f>
        <v>20.6183182365691</v>
      </c>
      <c r="T173" s="1" t="n">
        <v>19.8231213899797</v>
      </c>
      <c r="U173" s="1" t="n">
        <v>19.8231213899797</v>
      </c>
      <c r="V173" s="1" t="n">
        <v>19.8231213899797</v>
      </c>
      <c r="W173" s="1" t="n">
        <v>19.8231213899797</v>
      </c>
      <c r="X173" s="1" t="n">
        <v>19.8231213899797</v>
      </c>
      <c r="Y173" s="1" t="n">
        <v>19.8231213899797</v>
      </c>
      <c r="Z173" s="1" t="n">
        <f aca="false">$S173*0.9</f>
        <v>18.5564864129122</v>
      </c>
      <c r="AA173" s="1" t="n">
        <v>17.8408092509817</v>
      </c>
      <c r="AB173" s="1" t="n">
        <f aca="false">$S173*0.9</f>
        <v>18.5564864129122</v>
      </c>
      <c r="AC173" s="1" t="n">
        <f aca="false">$S173*0.9</f>
        <v>18.5564864129122</v>
      </c>
    </row>
    <row r="174" customFormat="false" ht="12.8" hidden="false" customHeight="false" outlineLevel="0" collapsed="false">
      <c r="A174" s="1" t="s">
        <v>18</v>
      </c>
      <c r="B174" s="1" t="n">
        <f aca="false">$B$10</f>
        <v>114.460356578722</v>
      </c>
      <c r="C174" s="1" t="n">
        <f aca="false">$B$10</f>
        <v>114.460356578722</v>
      </c>
      <c r="D174" s="1" t="n">
        <f aca="false">$B$10</f>
        <v>114.460356578722</v>
      </c>
      <c r="E174" s="1" t="n">
        <f aca="false">($B$18*0.25)+($B$10*0.75)</f>
        <v>87.1829676973752</v>
      </c>
      <c r="F174" s="141" t="n">
        <f aca="false">$B$18</f>
        <v>5.35080105333394</v>
      </c>
      <c r="G174" s="141" t="n">
        <f aca="false">$B$18</f>
        <v>5.35080105333394</v>
      </c>
      <c r="H174" s="141" t="n">
        <f aca="false">$B$18</f>
        <v>5.35080105333394</v>
      </c>
      <c r="I174" s="141" t="n">
        <f aca="false">$B$18</f>
        <v>5.35080105333394</v>
      </c>
      <c r="J174" s="141" t="n">
        <f aca="false">$B$18</f>
        <v>5.35080105333394</v>
      </c>
      <c r="K174" s="141" t="n">
        <f aca="false">$B$18</f>
        <v>5.35080105333394</v>
      </c>
      <c r="L174" s="141" t="n">
        <f aca="false">$B$18</f>
        <v>5.35080105333394</v>
      </c>
      <c r="M174" s="141" t="n">
        <f aca="false">$B$18</f>
        <v>5.35080105333394</v>
      </c>
      <c r="N174" s="141" t="n">
        <f aca="false">$B$18</f>
        <v>5.35080105333394</v>
      </c>
      <c r="O174" s="141" t="n">
        <f aca="false">$B$18</f>
        <v>5.35080105333394</v>
      </c>
      <c r="P174" s="141" t="n">
        <f aca="false">$B$18</f>
        <v>5.35080105333394</v>
      </c>
      <c r="Q174" s="141" t="n">
        <f aca="false">$B$18</f>
        <v>5.35080105333394</v>
      </c>
      <c r="R174" s="141" t="n">
        <f aca="false">$B$18</f>
        <v>5.35080105333394</v>
      </c>
      <c r="S174" s="141" t="n">
        <f aca="false">$B$18</f>
        <v>5.35080105333394</v>
      </c>
      <c r="T174" s="141" t="n">
        <f aca="false">$B$18</f>
        <v>5.35080105333394</v>
      </c>
      <c r="U174" s="141" t="n">
        <f aca="false">$B$18</f>
        <v>5.35080105333394</v>
      </c>
      <c r="V174" s="141" t="n">
        <f aca="false">$B$18</f>
        <v>5.35080105333394</v>
      </c>
      <c r="W174" s="141" t="n">
        <f aca="false">$B$18</f>
        <v>5.35080105333394</v>
      </c>
      <c r="X174" s="141" t="n">
        <f aca="false">$B$18</f>
        <v>5.35080105333394</v>
      </c>
      <c r="Y174" s="141" t="n">
        <f aca="false">$B$18</f>
        <v>5.35080105333394</v>
      </c>
      <c r="Z174" s="141" t="n">
        <f aca="false">$B$18</f>
        <v>5.35080105333394</v>
      </c>
      <c r="AA174" s="141" t="n">
        <f aca="false">$B$18</f>
        <v>5.35080105333394</v>
      </c>
      <c r="AB174" s="141" t="n">
        <f aca="false">$B$18</f>
        <v>5.35080105333394</v>
      </c>
      <c r="AC174" s="141" t="n">
        <f aca="false">$B$18</f>
        <v>5.35080105333394</v>
      </c>
    </row>
    <row r="175" customFormat="false" ht="12.8" hidden="false" customHeight="false" outlineLevel="0" collapsed="false">
      <c r="A175" s="3" t="s">
        <v>39</v>
      </c>
      <c r="B175" s="1" t="n">
        <f aca="false">SUM(B173:B174)</f>
        <v>185.810690917766</v>
      </c>
      <c r="C175" s="1" t="n">
        <f aca="false">SUM(C173:C174)</f>
        <v>185.810690917766</v>
      </c>
      <c r="D175" s="1" t="n">
        <f aca="false">SUM(D173:D174)</f>
        <v>139.91507045103</v>
      </c>
      <c r="E175" s="1" t="n">
        <f aca="false">SUM(E173:E174)</f>
        <v>112.637681569683</v>
      </c>
      <c r="F175" s="1" t="n">
        <f aca="false">SUM(F173:F174)</f>
        <v>30.8055149256415</v>
      </c>
      <c r="G175" s="1" t="n">
        <f aca="false">SUM(G173:G174)</f>
        <v>30.8055149256415</v>
      </c>
      <c r="H175" s="1" t="n">
        <f aca="false">SUM(H173:H174)</f>
        <v>30.8055149256415</v>
      </c>
      <c r="I175" s="1" t="n">
        <f aca="false">SUM(I173:I174)</f>
        <v>30.8055149256415</v>
      </c>
      <c r="J175" s="1" t="n">
        <f aca="false">SUM(J173:J174)</f>
        <v>30.8055149256415</v>
      </c>
      <c r="K175" s="1" t="n">
        <f aca="false">SUM(K173:K174)</f>
        <v>30.8055149256415</v>
      </c>
      <c r="L175" s="1" t="n">
        <f aca="false">SUM(L173:L174)</f>
        <v>28.2600435384107</v>
      </c>
      <c r="M175" s="1" t="n">
        <f aca="false">SUM(M173:M174)</f>
        <v>27.3764914866446</v>
      </c>
      <c r="N175" s="1" t="n">
        <f aca="false">SUM(N173:N174)</f>
        <v>27.3764914866446</v>
      </c>
      <c r="O175" s="1" t="n">
        <f aca="false">SUM(O173:O174)</f>
        <v>27.3764914866446</v>
      </c>
      <c r="P175" s="1" t="n">
        <f aca="false">SUM(P173:P174)</f>
        <v>27.3764914866446</v>
      </c>
      <c r="Q175" s="1" t="n">
        <f aca="false">SUM(Q173:Q174)</f>
        <v>27.3764914866446</v>
      </c>
      <c r="R175" s="1" t="n">
        <f aca="false">SUM(R173:R174)</f>
        <v>27.3764914866446</v>
      </c>
      <c r="S175" s="1" t="n">
        <f aca="false">SUM(S173:S174)</f>
        <v>25.969119289903</v>
      </c>
      <c r="T175" s="1" t="n">
        <f aca="false">SUM(T173:T174)</f>
        <v>25.1739224433136</v>
      </c>
      <c r="U175" s="1" t="n">
        <f aca="false">SUM(U173:U174)</f>
        <v>25.1739224433136</v>
      </c>
      <c r="V175" s="1" t="n">
        <f aca="false">SUM(V173:V174)</f>
        <v>25.1739224433136</v>
      </c>
      <c r="W175" s="1" t="n">
        <f aca="false">SUM(W173:W174)</f>
        <v>25.1739224433136</v>
      </c>
      <c r="X175" s="1" t="n">
        <f aca="false">SUM(X173:X174)</f>
        <v>25.1739224433136</v>
      </c>
      <c r="Y175" s="1" t="n">
        <f aca="false">SUM(Y173:Y174)</f>
        <v>25.1739224433136</v>
      </c>
      <c r="Z175" s="1" t="n">
        <f aca="false">SUM(Z173:Z174)</f>
        <v>23.9072874662461</v>
      </c>
      <c r="AA175" s="1" t="n">
        <f aca="false">SUM(AA173:AA174)</f>
        <v>23.1916103043156</v>
      </c>
      <c r="AB175" s="1" t="n">
        <f aca="false">SUM(AB173:AB174)</f>
        <v>23.9072874662461</v>
      </c>
      <c r="AC175" s="1" t="n">
        <f aca="false">SUM(AC173:AC174)</f>
        <v>23.9072874662461</v>
      </c>
    </row>
    <row r="176" customFormat="false" ht="12.8" hidden="false" customHeight="false" outlineLevel="0" collapsed="false">
      <c r="A176" s="1" t="s">
        <v>40</v>
      </c>
      <c r="B176" s="1" t="n">
        <f aca="false">($B$70*(1-B$90))+($B$76*B$90)</f>
        <v>1907.7</v>
      </c>
      <c r="C176" s="1" t="n">
        <f aca="false">($B$70*(1-C$90))+($B$76*C$90)</f>
        <v>1907.7</v>
      </c>
      <c r="D176" s="1" t="n">
        <f aca="false">($B$70*(1-D$90))+($B$76*D$90)</f>
        <v>1907.7</v>
      </c>
      <c r="E176" s="1" t="n">
        <f aca="false">($B$70*(1-E$90))+($B$76*E$90)</f>
        <v>1907.7</v>
      </c>
      <c r="F176" s="1" t="n">
        <f aca="false">($B$70*(1-F$90))+($B$76*F$90)</f>
        <v>1907.7</v>
      </c>
      <c r="G176" s="1" t="n">
        <f aca="false">($B$70*(1-G$90))+($B$76*G$90)</f>
        <v>1907.7</v>
      </c>
      <c r="H176" s="1" t="n">
        <f aca="false">($B$70*(1-H$90))+($B$76*H$90)</f>
        <v>1907.7</v>
      </c>
      <c r="I176" s="1" t="n">
        <f aca="false">($B$70*(1-I$90))+($B$76*I$90)</f>
        <v>1903.41158654723</v>
      </c>
      <c r="J176" s="1" t="n">
        <f aca="false">($B$70*(1-J$90))+($B$76*J$90)</f>
        <v>1902.55390385668</v>
      </c>
      <c r="K176" s="1" t="n">
        <f aca="false">($B$70*(1-K$90))+($B$76*K$90)</f>
        <v>1901.52468462801</v>
      </c>
      <c r="L176" s="1" t="n">
        <f aca="false">($B$70*(1-L$90))+($B$76*L$90)</f>
        <v>1900.28962155362</v>
      </c>
      <c r="M176" s="1" t="n">
        <f aca="false">($B$70*(1-M$90))+($B$76*M$90)</f>
        <v>1898.80754586434</v>
      </c>
      <c r="N176" s="1" t="n">
        <f aca="false">($B$70*(1-N$90))+($B$76*N$90)</f>
        <v>1897.02905503721</v>
      </c>
      <c r="O176" s="1" t="n">
        <f aca="false">($B$70*(1-O$90))+($B$76*O$90)</f>
        <v>1896.06866999056</v>
      </c>
      <c r="P176" s="1" t="n">
        <f aca="false">($B$70*(1-P$90))+($B$76*P$90)</f>
        <v>1895.02185028971</v>
      </c>
      <c r="Q176" s="1" t="n">
        <f aca="false">($B$70*(1-Q$90))+($B$76*Q$90)</f>
        <v>1893.88081681578</v>
      </c>
      <c r="R176" s="1" t="n">
        <f aca="false">($B$70*(1-R$90))+($B$76*R$90)</f>
        <v>1892.6370903292</v>
      </c>
      <c r="S176" s="1" t="n">
        <f aca="false">($B$70*(1-S$90))+($B$76*S$90)</f>
        <v>1891.28142845883</v>
      </c>
      <c r="T176" s="1" t="n">
        <f aca="false">($B$70*(1-T$90))+($B$76*T$90)</f>
        <v>1889.80375702012</v>
      </c>
      <c r="U176" s="1" t="n">
        <f aca="false">($B$70*(1-U$90))+($B$76*U$90)</f>
        <v>1888.19309515194</v>
      </c>
      <c r="V176" s="1" t="n">
        <f aca="false">($B$70*(1-V$90))+($B$76*V$90)</f>
        <v>1886.43747371561</v>
      </c>
      <c r="W176" s="1" t="n">
        <f aca="false">($B$70*(1-W$90))+($B$76*W$90)</f>
        <v>1884.52384635002</v>
      </c>
      <c r="X176" s="1" t="n">
        <f aca="false">($B$70*(1-X$90))+($B$76*X$90)</f>
        <v>1882.43799252152</v>
      </c>
      <c r="Y176" s="1" t="n">
        <f aca="false">($B$70*(1-Y$90))+($B$76*Y$90)</f>
        <v>1880.16441184845</v>
      </c>
      <c r="Z176" s="1" t="n">
        <f aca="false">($B$70*(1-Z$90))+($B$76*Z$90)</f>
        <v>1877.68620891481</v>
      </c>
      <c r="AA176" s="1" t="n">
        <f aca="false">($B$70*(1-AA$90))+($B$76*AA$90)</f>
        <v>1874.98496771715</v>
      </c>
      <c r="AB176" s="1" t="n">
        <f aca="false">($B$70*(1-AB$90))+($B$76*AB$90)</f>
        <v>1872.04061481169</v>
      </c>
      <c r="AC176" s="1" t="n">
        <f aca="false">($B$70*(1-AC$90))+($B$76*AC$90)</f>
        <v>1868.83127014474</v>
      </c>
    </row>
    <row r="177" customFormat="false" ht="12.8" hidden="false" customHeight="false" outlineLevel="0" collapsed="false">
      <c r="A177" s="1" t="s">
        <v>41</v>
      </c>
      <c r="B177" s="1" t="n">
        <f aca="false">($C$57*(1-B$97))+($C$58*B$97)</f>
        <v>4249.46462992242</v>
      </c>
      <c r="C177" s="1" t="n">
        <f aca="false">($C$57*(1-C$97))+($C$58*C$97)</f>
        <v>4249.46462992242</v>
      </c>
      <c r="D177" s="1" t="n">
        <f aca="false">($C$57*(1-D$97))+($C$58*D$97)</f>
        <v>4245.86883293998</v>
      </c>
      <c r="E177" s="1" t="n">
        <f aca="false">($C$57*(1-E$97))+($C$58*E$97)</f>
        <v>4241.8301183763</v>
      </c>
      <c r="F177" s="1" t="n">
        <f aca="false">($C$57*(1-F$97))+($C$58*F$97)</f>
        <v>4237.25543302748</v>
      </c>
      <c r="G177" s="1" t="n">
        <f aca="false">($C$57*(1-G$97))+($C$58*G$97)</f>
        <v>4232.03551990092</v>
      </c>
      <c r="H177" s="1" t="n">
        <f aca="false">($C$57*(1-H$97))+($C$58*H$97)</f>
        <v>4226.04192607306</v>
      </c>
      <c r="I177" s="1" t="n">
        <f aca="false">($C$57*(1-I$97))+($C$58*I$97)</f>
        <v>4219.12346850995</v>
      </c>
      <c r="J177" s="1" t="n">
        <f aca="false">($C$57*(1-J$97))+($C$58*J$97)</f>
        <v>4211.10205905049</v>
      </c>
      <c r="K177" s="1" t="n">
        <f aca="false">($C$57*(1-K$97))+($C$58*K$97)</f>
        <v>4201.76777178014</v>
      </c>
      <c r="L177" s="1" t="n">
        <f aca="false">($C$57*(1-L$97))+($C$58*L$97)</f>
        <v>4190.87301477787</v>
      </c>
      <c r="M177" s="1" t="n">
        <f aca="false">($C$57*(1-M$97))+($C$58*M$97)</f>
        <v>4178.12564310826</v>
      </c>
      <c r="N177" s="1" t="n">
        <f aca="false">($C$57*(1-N$97))+($C$58*N$97)</f>
        <v>4163.18082024851</v>
      </c>
      <c r="O177" s="1" t="n">
        <f aca="false">($C$57*(1-O$97))+($C$58*O$97)</f>
        <v>4145.63140005531</v>
      </c>
      <c r="P177" s="1" t="n">
        <f aca="false">($C$57*(1-P$97))+($C$58*P$97)</f>
        <v>4124.99655990651</v>
      </c>
      <c r="Q177" s="1" t="n">
        <f aca="false">($C$57*(1-Q$97))+($C$58*Q$97)</f>
        <v>4100.70836663376</v>
      </c>
      <c r="R177" s="1" t="n">
        <f aca="false">($C$57*(1-R$97))+($C$58*R$97)</f>
        <v>4072.0958989224</v>
      </c>
      <c r="S177" s="1" t="n">
        <f aca="false">($C$57*(1-S$97))+($C$58*S$97)</f>
        <v>4038.36648136952</v>
      </c>
      <c r="T177" s="1" t="n">
        <f aca="false">($C$57*(1-T$97))+($C$58*T$97)</f>
        <v>3998.58350444029</v>
      </c>
      <c r="U177" s="1" t="n">
        <f aca="false">($C$57*(1-U$97))+($C$58*U$97)</f>
        <v>3951.6402088801</v>
      </c>
      <c r="V177" s="1" t="n">
        <f aca="false">($C$57*(1-V$97))+($C$58*V$97)</f>
        <v>3896.22870004104</v>
      </c>
      <c r="W177" s="1" t="n">
        <f aca="false">($C$57*(1-W$97))+($C$58*W$97)</f>
        <v>3830.8033238997</v>
      </c>
      <c r="X177" s="1" t="n">
        <f aca="false">($C$57*(1-X$97))+($C$58*X$97)</f>
        <v>3753.53737853022</v>
      </c>
      <c r="Y177" s="1" t="n">
        <f aca="false">($C$57*(1-Y$97))+($C$58*Y$97)</f>
        <v>3662.27194802546</v>
      </c>
      <c r="Z177" s="1" t="n">
        <f aca="false">($C$57*(1-Z$97))+($C$58*Z$97)</f>
        <v>3554.45542509539</v>
      </c>
      <c r="AA177" s="1" t="n">
        <f aca="false">($C$57*(1-AA$97))+($C$58*AA$97)</f>
        <v>3427.07202762879</v>
      </c>
      <c r="AB177" s="1" t="n">
        <f aca="false">($C$57*(1-AB$97))+($C$58*AB$97)</f>
        <v>3304.21963532272</v>
      </c>
      <c r="AC177" s="1" t="n">
        <f aca="false">($C$57*(1-AC$97))+($C$58*AC$97)</f>
        <v>3188.59385432877</v>
      </c>
    </row>
    <row r="178" customFormat="false" ht="12.8" hidden="false" customHeight="false" outlineLevel="0" collapsed="false">
      <c r="A178" s="1" t="s">
        <v>20</v>
      </c>
      <c r="B178" s="1" t="n">
        <f aca="false">SUM(B173:B177)</f>
        <v>6528.78601175795</v>
      </c>
      <c r="C178" s="1" t="n">
        <f aca="false">SUM(C173:C177)</f>
        <v>6528.78601175795</v>
      </c>
      <c r="D178" s="1" t="n">
        <f aca="false">SUM(D173:D177)</f>
        <v>6433.39897384204</v>
      </c>
      <c r="E178" s="1" t="n">
        <f aca="false">SUM(E173:E177)</f>
        <v>6374.80548151566</v>
      </c>
      <c r="F178" s="1" t="n">
        <f aca="false">SUM(F173:F177)</f>
        <v>6206.56646287877</v>
      </c>
      <c r="G178" s="1" t="n">
        <f aca="false">SUM(G173:G177)</f>
        <v>6201.3465497522</v>
      </c>
      <c r="H178" s="1" t="n">
        <f aca="false">SUM(H173:H177)</f>
        <v>6195.35295592435</v>
      </c>
      <c r="I178" s="1" t="n">
        <f aca="false">SUM(I173:I177)</f>
        <v>6184.14608490846</v>
      </c>
      <c r="J178" s="1" t="n">
        <f aca="false">SUM(J173:J177)</f>
        <v>6175.26699275845</v>
      </c>
      <c r="K178" s="1" t="n">
        <f aca="false">SUM(K173:K177)</f>
        <v>6164.90348625944</v>
      </c>
      <c r="L178" s="1" t="n">
        <f aca="false">SUM(L173:L177)</f>
        <v>6147.68272340831</v>
      </c>
      <c r="M178" s="1" t="n">
        <f aca="false">SUM(M173:M177)</f>
        <v>6131.68617194589</v>
      </c>
      <c r="N178" s="1" t="n">
        <f aca="false">SUM(N173:N177)</f>
        <v>6114.962858259</v>
      </c>
      <c r="O178" s="1" t="n">
        <f aca="false">SUM(O173:O177)</f>
        <v>6096.45305301916</v>
      </c>
      <c r="P178" s="1" t="n">
        <f aca="false">SUM(P173:P177)</f>
        <v>6074.77139316951</v>
      </c>
      <c r="Q178" s="1" t="n">
        <f aca="false">SUM(Q173:Q177)</f>
        <v>6049.34216642283</v>
      </c>
      <c r="R178" s="1" t="n">
        <f aca="false">SUM(R173:R177)</f>
        <v>6019.48597222489</v>
      </c>
      <c r="S178" s="1" t="n">
        <f aca="false">SUM(S173:S177)</f>
        <v>5981.58614840815</v>
      </c>
      <c r="T178" s="1" t="n">
        <f aca="false">SUM(T173:T177)</f>
        <v>5938.73510634704</v>
      </c>
      <c r="U178" s="1" t="n">
        <f aca="false">SUM(U173:U177)</f>
        <v>5890.18114891866</v>
      </c>
      <c r="V178" s="1" t="n">
        <f aca="false">SUM(V173:V177)</f>
        <v>5833.01401864328</v>
      </c>
      <c r="W178" s="1" t="n">
        <f aca="false">SUM(W173:W177)</f>
        <v>5765.67501513634</v>
      </c>
      <c r="X178" s="1" t="n">
        <f aca="false">SUM(X173:X177)</f>
        <v>5686.32321593837</v>
      </c>
      <c r="Y178" s="1" t="n">
        <f aca="false">SUM(Y173:Y177)</f>
        <v>5592.78420476054</v>
      </c>
      <c r="Z178" s="1" t="n">
        <f aca="false">SUM(Z173:Z177)</f>
        <v>5479.95620894269</v>
      </c>
      <c r="AA178" s="1" t="n">
        <f aca="false">SUM(AA173:AA177)</f>
        <v>5348.44021595457</v>
      </c>
      <c r="AB178" s="1" t="n">
        <f aca="false">SUM(AB173:AB177)</f>
        <v>5224.0748250669</v>
      </c>
      <c r="AC178" s="1" t="n">
        <f aca="false">SUM(AC173:AC177)</f>
        <v>5105.239699406</v>
      </c>
    </row>
    <row r="180" customFormat="false" ht="12.8" hidden="false" customHeight="false" outlineLevel="0" collapsed="false">
      <c r="A180" s="1" t="s">
        <v>321</v>
      </c>
      <c r="B180" s="1" t="s">
        <v>575</v>
      </c>
      <c r="C180" s="1" t="n">
        <v>2024</v>
      </c>
      <c r="D180" s="1" t="n">
        <v>2025</v>
      </c>
      <c r="E180" s="1" t="n">
        <v>2026</v>
      </c>
      <c r="F180" s="1" t="n">
        <v>2027</v>
      </c>
      <c r="G180" s="1" t="n">
        <v>2028</v>
      </c>
      <c r="H180" s="1" t="n">
        <v>2029</v>
      </c>
      <c r="I180" s="1" t="n">
        <v>2030</v>
      </c>
      <c r="J180" s="1" t="n">
        <v>2031</v>
      </c>
      <c r="K180" s="1" t="n">
        <v>2032</v>
      </c>
      <c r="L180" s="1" t="n">
        <v>2033</v>
      </c>
      <c r="M180" s="1" t="n">
        <v>2034</v>
      </c>
      <c r="N180" s="1" t="n">
        <v>2035</v>
      </c>
      <c r="O180" s="1" t="n">
        <v>2036</v>
      </c>
      <c r="P180" s="1" t="n">
        <v>2037</v>
      </c>
      <c r="Q180" s="1" t="n">
        <v>2038</v>
      </c>
      <c r="R180" s="1" t="n">
        <v>2039</v>
      </c>
      <c r="S180" s="1" t="n">
        <v>2040</v>
      </c>
      <c r="T180" s="1" t="n">
        <v>2041</v>
      </c>
      <c r="U180" s="1" t="n">
        <v>2042</v>
      </c>
      <c r="V180" s="1" t="n">
        <v>2043</v>
      </c>
      <c r="W180" s="1" t="n">
        <v>2044</v>
      </c>
      <c r="X180" s="1" t="n">
        <v>2045</v>
      </c>
      <c r="Y180" s="1" t="n">
        <v>2046</v>
      </c>
      <c r="Z180" s="1" t="n">
        <v>2047</v>
      </c>
      <c r="AA180" s="1" t="n">
        <v>2048</v>
      </c>
      <c r="AB180" s="1" t="n">
        <v>2049</v>
      </c>
      <c r="AC180" s="1" t="n">
        <v>2050</v>
      </c>
    </row>
    <row r="181" customFormat="false" ht="12.8" hidden="false" customHeight="false" outlineLevel="0" collapsed="false">
      <c r="A181" s="1" t="s">
        <v>37</v>
      </c>
      <c r="B181" s="1" t="n">
        <f aca="false">($B$30*$B$28)+($B$39*$B$42)</f>
        <v>71.3503343390438</v>
      </c>
      <c r="C181" s="1" t="n">
        <f aca="false">($B$30*$B$28)+($B$39*$B$42)</f>
        <v>71.3503343390438</v>
      </c>
      <c r="D181" s="1" t="n">
        <f aca="false">($B$30*$B$33)+($B$44*$B$47)</f>
        <v>25.4547138723075</v>
      </c>
      <c r="E181" s="1" t="n">
        <f aca="false">($B$30*$B$33)+($B$44*$B$47)</f>
        <v>25.4547138723075</v>
      </c>
      <c r="F181" s="1" t="n">
        <f aca="false">($B$30*$B$33)+($B$44*$B$47)</f>
        <v>25.4547138723075</v>
      </c>
      <c r="G181" s="1" t="n">
        <f aca="false">($B$30*$B$33)+($B$44*$B$47)</f>
        <v>25.4547138723075</v>
      </c>
      <c r="H181" s="1" t="n">
        <f aca="false">($B$30*$B$33)+($B$44*$B$47)</f>
        <v>25.4547138723075</v>
      </c>
      <c r="I181" s="1" t="n">
        <f aca="false">($B$30*$B$33)+($B$44*$B$47)</f>
        <v>25.4547138723075</v>
      </c>
      <c r="J181" s="1" t="n">
        <f aca="false">($B$30*$B$33)+($B$44*$B$47)</f>
        <v>25.4547138723075</v>
      </c>
      <c r="K181" s="1" t="n">
        <f aca="false">($B$30*$B$33)+($B$44*$B$47)</f>
        <v>25.4547138723075</v>
      </c>
      <c r="L181" s="1" t="n">
        <f aca="false">$K181*0.9</f>
        <v>22.9092424850768</v>
      </c>
      <c r="M181" s="1" t="n">
        <f aca="false">M166</f>
        <v>22.9092424850768</v>
      </c>
      <c r="N181" s="1" t="n">
        <f aca="false">N166</f>
        <v>22.9092424850768</v>
      </c>
      <c r="O181" s="1" t="n">
        <f aca="false">O166</f>
        <v>22.9092424850768</v>
      </c>
      <c r="P181" s="1" t="n">
        <f aca="false">P166</f>
        <v>22.9092424850768</v>
      </c>
      <c r="Q181" s="1" t="n">
        <f aca="false">Q166</f>
        <v>22.9092424850768</v>
      </c>
      <c r="R181" s="1" t="n">
        <f aca="false">R166</f>
        <v>22.9092424850768</v>
      </c>
      <c r="S181" s="1" t="n">
        <f aca="false">S166</f>
        <v>20.6183182365691</v>
      </c>
      <c r="T181" s="1" t="n">
        <f aca="false">T166</f>
        <v>20.6183182365691</v>
      </c>
      <c r="U181" s="1" t="n">
        <f aca="false">U166</f>
        <v>20.6183182365691</v>
      </c>
      <c r="V181" s="1" t="n">
        <f aca="false">V166</f>
        <v>20.6183182365691</v>
      </c>
      <c r="W181" s="1" t="n">
        <f aca="false">W166</f>
        <v>20.6183182365691</v>
      </c>
      <c r="X181" s="1" t="n">
        <f aca="false">X166</f>
        <v>20.6183182365691</v>
      </c>
      <c r="Y181" s="1" t="n">
        <f aca="false">Y166</f>
        <v>20.6183182365691</v>
      </c>
      <c r="Z181" s="1" t="n">
        <f aca="false">Z166</f>
        <v>18.5564864129122</v>
      </c>
      <c r="AA181" s="1" t="n">
        <f aca="false">AA166</f>
        <v>18.5564864129122</v>
      </c>
      <c r="AB181" s="1" t="n">
        <f aca="false">AB166</f>
        <v>18.5564864129122</v>
      </c>
      <c r="AC181" s="1" t="n">
        <f aca="false">AC166</f>
        <v>18.5564864129122</v>
      </c>
    </row>
    <row r="182" customFormat="false" ht="12.8" hidden="false" customHeight="false" outlineLevel="0" collapsed="false">
      <c r="A182" s="1" t="s">
        <v>18</v>
      </c>
      <c r="B182" s="1" t="n">
        <f aca="false">$B$10</f>
        <v>114.460356578722</v>
      </c>
      <c r="C182" s="1" t="n">
        <f aca="false">$B$10</f>
        <v>114.460356578722</v>
      </c>
      <c r="D182" s="1" t="n">
        <f aca="false">$B$10</f>
        <v>114.460356578722</v>
      </c>
      <c r="E182" s="1" t="n">
        <f aca="false">($B$18*0.25)+($B$10*0.75)</f>
        <v>87.1829676973752</v>
      </c>
      <c r="F182" s="141" t="n">
        <f aca="false">$B$18</f>
        <v>5.35080105333394</v>
      </c>
      <c r="G182" s="141" t="n">
        <f aca="false">$B$18</f>
        <v>5.35080105333394</v>
      </c>
      <c r="H182" s="141" t="n">
        <f aca="false">$B$18</f>
        <v>5.35080105333394</v>
      </c>
      <c r="I182" s="141" t="n">
        <f aca="false">$B$18</f>
        <v>5.35080105333394</v>
      </c>
      <c r="J182" s="141" t="n">
        <f aca="false">$B$18</f>
        <v>5.35080105333394</v>
      </c>
      <c r="K182" s="141" t="n">
        <f aca="false">$B$18</f>
        <v>5.35080105333394</v>
      </c>
      <c r="L182" s="141" t="n">
        <f aca="false">$B$18</f>
        <v>5.35080105333394</v>
      </c>
      <c r="M182" s="141" t="n">
        <f aca="false">$B$18</f>
        <v>5.35080105333394</v>
      </c>
      <c r="N182" s="141" t="n">
        <f aca="false">$B$18</f>
        <v>5.35080105333394</v>
      </c>
      <c r="O182" s="141" t="n">
        <f aca="false">$B$18</f>
        <v>5.35080105333394</v>
      </c>
      <c r="P182" s="141" t="n">
        <f aca="false">$B$18</f>
        <v>5.35080105333394</v>
      </c>
      <c r="Q182" s="141" t="n">
        <f aca="false">$B$18</f>
        <v>5.35080105333394</v>
      </c>
      <c r="R182" s="141" t="n">
        <f aca="false">$B$18</f>
        <v>5.35080105333394</v>
      </c>
      <c r="S182" s="141" t="n">
        <f aca="false">$B$18</f>
        <v>5.35080105333394</v>
      </c>
      <c r="T182" s="141" t="n">
        <f aca="false">$B$18</f>
        <v>5.35080105333394</v>
      </c>
      <c r="U182" s="141" t="n">
        <f aca="false">$B$18</f>
        <v>5.35080105333394</v>
      </c>
      <c r="V182" s="141" t="n">
        <f aca="false">$B$18</f>
        <v>5.35080105333394</v>
      </c>
      <c r="W182" s="141" t="n">
        <f aca="false">$B$18</f>
        <v>5.35080105333394</v>
      </c>
      <c r="X182" s="141" t="n">
        <f aca="false">$B$18</f>
        <v>5.35080105333394</v>
      </c>
      <c r="Y182" s="141" t="n">
        <f aca="false">$B$18</f>
        <v>5.35080105333394</v>
      </c>
      <c r="Z182" s="141" t="n">
        <f aca="false">$B$18</f>
        <v>5.35080105333394</v>
      </c>
      <c r="AA182" s="141" t="n">
        <f aca="false">$B$18</f>
        <v>5.35080105333394</v>
      </c>
      <c r="AB182" s="141" t="n">
        <f aca="false">$B$18</f>
        <v>5.35080105333394</v>
      </c>
      <c r="AC182" s="141" t="n">
        <f aca="false">$B$18</f>
        <v>5.35080105333394</v>
      </c>
      <c r="AD182" s="1"/>
    </row>
    <row r="183" customFormat="false" ht="12.8" hidden="false" customHeight="false" outlineLevel="0" collapsed="false">
      <c r="A183" s="3" t="s">
        <v>39</v>
      </c>
      <c r="B183" s="1" t="n">
        <f aca="false">SUM(B181:B182)</f>
        <v>185.810690917766</v>
      </c>
      <c r="C183" s="1" t="n">
        <f aca="false">SUM(C181:C182)</f>
        <v>185.810690917766</v>
      </c>
      <c r="D183" s="1" t="n">
        <f aca="false">SUM(D181:D182)</f>
        <v>139.91507045103</v>
      </c>
      <c r="E183" s="1" t="n">
        <f aca="false">SUM(E181:E182)</f>
        <v>112.637681569683</v>
      </c>
      <c r="F183" s="1" t="n">
        <f aca="false">SUM(F181:F182)</f>
        <v>30.8055149256415</v>
      </c>
      <c r="G183" s="1" t="n">
        <f aca="false">SUM(G181:G182)</f>
        <v>30.8055149256415</v>
      </c>
      <c r="H183" s="1" t="n">
        <f aca="false">SUM(H181:H182)</f>
        <v>30.8055149256415</v>
      </c>
      <c r="I183" s="1" t="n">
        <f aca="false">SUM(I181:I182)</f>
        <v>30.8055149256415</v>
      </c>
      <c r="J183" s="1" t="n">
        <f aca="false">SUM(J181:J182)</f>
        <v>30.8055149256415</v>
      </c>
      <c r="K183" s="1" t="n">
        <f aca="false">SUM(K181:K182)</f>
        <v>30.8055149256415</v>
      </c>
      <c r="L183" s="1" t="n">
        <f aca="false">SUM(L181:L182)</f>
        <v>28.2600435384107</v>
      </c>
      <c r="M183" s="1" t="n">
        <f aca="false">SUM(M181:M182)</f>
        <v>28.2600435384107</v>
      </c>
      <c r="N183" s="1" t="n">
        <f aca="false">SUM(N181:N182)</f>
        <v>28.2600435384107</v>
      </c>
      <c r="O183" s="1" t="n">
        <f aca="false">SUM(O181:O182)</f>
        <v>28.2600435384107</v>
      </c>
      <c r="P183" s="1" t="n">
        <f aca="false">SUM(P181:P182)</f>
        <v>28.2600435384107</v>
      </c>
      <c r="Q183" s="1" t="n">
        <f aca="false">SUM(Q181:Q182)</f>
        <v>28.2600435384107</v>
      </c>
      <c r="R183" s="1" t="n">
        <f aca="false">SUM(R181:R182)</f>
        <v>28.2600435384107</v>
      </c>
      <c r="S183" s="1" t="n">
        <f aca="false">SUM(S181:S182)</f>
        <v>25.969119289903</v>
      </c>
      <c r="T183" s="1" t="n">
        <f aca="false">SUM(T181:T182)</f>
        <v>25.969119289903</v>
      </c>
      <c r="U183" s="1" t="n">
        <f aca="false">SUM(U181:U182)</f>
        <v>25.969119289903</v>
      </c>
      <c r="V183" s="1" t="n">
        <f aca="false">SUM(V181:V182)</f>
        <v>25.969119289903</v>
      </c>
      <c r="W183" s="1" t="n">
        <f aca="false">SUM(W181:W182)</f>
        <v>25.969119289903</v>
      </c>
      <c r="X183" s="1" t="n">
        <f aca="false">SUM(X181:X182)</f>
        <v>25.969119289903</v>
      </c>
      <c r="Y183" s="1" t="n">
        <f aca="false">SUM(Y181:Y182)</f>
        <v>25.969119289903</v>
      </c>
      <c r="Z183" s="1" t="n">
        <f aca="false">SUM(Z181:Z182)</f>
        <v>23.9072874662461</v>
      </c>
      <c r="AA183" s="1" t="n">
        <f aca="false">SUM(AA181:AA182)</f>
        <v>23.9072874662461</v>
      </c>
      <c r="AB183" s="1" t="n">
        <f aca="false">SUM(AB181:AB182)</f>
        <v>23.9072874662461</v>
      </c>
      <c r="AC183" s="1" t="n">
        <f aca="false">SUM(AC181:AC182)</f>
        <v>23.9072874662461</v>
      </c>
    </row>
    <row r="184" customFormat="false" ht="12.8" hidden="false" customHeight="false" outlineLevel="0" collapsed="false">
      <c r="A184" s="1" t="s">
        <v>40</v>
      </c>
      <c r="B184" s="1" t="n">
        <f aca="false">$B$70</f>
        <v>1907.7</v>
      </c>
      <c r="C184" s="1" t="n">
        <f aca="false">$B$70</f>
        <v>1907.7</v>
      </c>
      <c r="D184" s="1" t="n">
        <f aca="false">($B$70*(1-C$91))+($B$76*C$91)</f>
        <v>1900.55264424539</v>
      </c>
      <c r="E184" s="1" t="n">
        <f aca="false">($B$70*(1-D$91))+($B$76*D$91)</f>
        <v>1898.76580530673</v>
      </c>
      <c r="F184" s="1" t="n">
        <f aca="false">($B$70*(1-E$91))+($B$76*E$91)</f>
        <v>1896.53225663342</v>
      </c>
      <c r="G184" s="1" t="n">
        <f aca="false">($B$70*(1-F$91))+($B$76*F$91)</f>
        <v>1893.74032079177</v>
      </c>
      <c r="H184" s="1" t="n">
        <f aca="false">($B$70*(1-G$91))+($B$76*G$91)</f>
        <v>1890.25040098971</v>
      </c>
      <c r="I184" s="1" t="n">
        <f aca="false">($B$70*(1-H$91))+($B$76*H$91)</f>
        <v>1885.01552128663</v>
      </c>
      <c r="J184" s="1" t="n">
        <f aca="false">($B$70*(1-I$91))+($B$76*I$91)</f>
        <v>1878.21017767262</v>
      </c>
      <c r="K184" s="1" t="n">
        <f aca="false">($B$70*(1-J$91))+($B$76*J$91)</f>
        <v>1869.3632309744</v>
      </c>
      <c r="L184" s="1" t="n">
        <f aca="false">($B$70*(1-K$91))+($B$76*K$91)</f>
        <v>1857.86220026672</v>
      </c>
      <c r="M184" s="1" t="n">
        <f aca="false">($B$70*(1-L$91))+($B$76*L$91)</f>
        <v>1842.91086034674</v>
      </c>
      <c r="N184" s="1" t="n">
        <f aca="false">($B$70*(1-M$91))+($B$76*M$91)</f>
        <v>1823.47411845076</v>
      </c>
      <c r="O184" s="1" t="n">
        <f aca="false">($B$70*(1-N$91))+($B$76*N$91)</f>
        <v>1798.20635398599</v>
      </c>
      <c r="P184" s="1" t="n">
        <f aca="false">($B$70*(1-O$91))+($B$76*O$91)</f>
        <v>1788.35192584473</v>
      </c>
      <c r="Q184" s="1" t="n">
        <f aca="false">($B$70*(1-P$91))+($B$76*P$91)</f>
        <v>1777.61059917075</v>
      </c>
      <c r="R184" s="1" t="n">
        <f aca="false">($B$70*(1-Q$91))+($B$76*Q$91)</f>
        <v>1765.90255309612</v>
      </c>
      <c r="S184" s="1" t="n">
        <f aca="false">($B$70*(1-R$91))+($B$76*R$91)</f>
        <v>1753.14078287477</v>
      </c>
      <c r="T184" s="1" t="n">
        <f aca="false">($B$70*(1-S$91))+($B$76*S$91)</f>
        <v>1739.2304533335</v>
      </c>
      <c r="U184" s="1" t="n">
        <f aca="false">($B$70*(1-T$91))+($B$76*T$91)</f>
        <v>1724.06819413352</v>
      </c>
      <c r="V184" s="1" t="n">
        <f aca="false">($B$70*(1-U$91))+($B$76*U$91)</f>
        <v>1707.54133160553</v>
      </c>
      <c r="W184" s="1" t="n">
        <f aca="false">($B$70*(1-V$91))+($B$76*V$91)</f>
        <v>1689.52705145003</v>
      </c>
      <c r="X184" s="1" t="n">
        <f aca="false">($B$70*(1-W$91))+($B$76*W$91)</f>
        <v>1669.89148608054</v>
      </c>
      <c r="Y184" s="1" t="n">
        <f aca="false">($B$70*(1-X$91))+($B$76*X$91)</f>
        <v>1648.48871982778</v>
      </c>
      <c r="Z184" s="1" t="n">
        <f aca="false">($B$70*(1-Y$91))+($B$76*Y$91)</f>
        <v>1625.15970461228</v>
      </c>
      <c r="AA184" s="1" t="n">
        <f aca="false">($B$70*(1-Z$91))+($B$76*Z$91)</f>
        <v>1599.73107802739</v>
      </c>
      <c r="AB184" s="1" t="n">
        <f aca="false">($B$70*(1-AA$91))+($B$76*AA$91)</f>
        <v>1572.01387504985</v>
      </c>
      <c r="AC184" s="1" t="n">
        <f aca="false">($B$70*(1-AB$91))+($B$76*AB$91)</f>
        <v>1541.80212380434</v>
      </c>
    </row>
    <row r="185" customFormat="false" ht="12.8" hidden="false" customHeight="false" outlineLevel="0" collapsed="false">
      <c r="A185" s="1" t="s">
        <v>41</v>
      </c>
      <c r="B185" s="1" t="n">
        <f aca="false">($C$57*(1-B$98))+($C$58*B$98)</f>
        <v>4249.46462992242</v>
      </c>
      <c r="C185" s="1" t="n">
        <f aca="false">($C$57*(1-C$98))+($C$58*C$98)</f>
        <v>4249.46462992242</v>
      </c>
      <c r="D185" s="1" t="n">
        <f aca="false">($C$57*(1-D$98))+($C$58*D$98)</f>
        <v>4228.67260655459</v>
      </c>
      <c r="E185" s="1" t="n">
        <f aca="false">($C$57*(1-E$98))+($C$58*E$98)</f>
        <v>4204.0964349338</v>
      </c>
      <c r="F185" s="1" t="n">
        <f aca="false">($C$57*(1-F$98))+($C$58*F$98)</f>
        <v>4175.04740007804</v>
      </c>
      <c r="G185" s="1" t="n">
        <f aca="false">($C$57*(1-G$98))+($C$58*G$98)</f>
        <v>4140.71144087853</v>
      </c>
      <c r="H185" s="1" t="n">
        <f aca="false">($C$57*(1-H$98))+($C$58*H$98)</f>
        <v>4100.12633710471</v>
      </c>
      <c r="I185" s="1" t="n">
        <f aca="false">($C$57*(1-I$98))+($C$58*I$98)</f>
        <v>4052.15474444405</v>
      </c>
      <c r="J185" s="1" t="n">
        <f aca="false">($C$57*(1-J$98))+($C$58*J$98)</f>
        <v>3995.45232191915</v>
      </c>
      <c r="K185" s="1" t="n">
        <f aca="false">($C$57*(1-K$98))+($C$58*K$98)</f>
        <v>3931.78117166594</v>
      </c>
      <c r="L185" s="1" t="n">
        <f aca="false">($C$57*(1-L$98))+($C$58*L$98)</f>
        <v>3857.2427769365</v>
      </c>
      <c r="M185" s="1" t="n">
        <f aca="false">($C$57*(1-M$98))+($C$58*M$98)</f>
        <v>3770.14558786167</v>
      </c>
      <c r="N185" s="1" t="n">
        <f aca="false">($C$57*(1-N$98))+($C$58*N$98)</f>
        <v>3668.60388458026</v>
      </c>
      <c r="O185" s="1" t="n">
        <f aca="false">($C$57*(1-O$98))+($C$58*O$98)</f>
        <v>3550.54758815568</v>
      </c>
      <c r="P185" s="1" t="n">
        <f aca="false">($C$57*(1-P$98))+($C$58*P$98)</f>
        <v>3413.75178717052</v>
      </c>
      <c r="Q185" s="1" t="n">
        <f aca="false">($C$57*(1-Q$98))+($C$58*Q$98)</f>
        <v>3255.89668872201</v>
      </c>
      <c r="R185" s="1" t="n">
        <f aca="false">($C$57*(1-R$98))+($C$58*R$98)</f>
        <v>3083.7346397122</v>
      </c>
      <c r="S185" s="1" t="n">
        <f aca="false">($C$57*(1-S$98))+($C$58*S$98)</f>
        <v>2889.23637417967</v>
      </c>
      <c r="T185" s="1" t="n">
        <f aca="false">($C$57*(1-T$98))+($C$58*T$98)</f>
        <v>2671.7019311955</v>
      </c>
      <c r="U185" s="1" t="n">
        <f aca="false">($C$57*(1-U$98))+($C$58*U$98)</f>
        <v>2431.5050071428</v>
      </c>
      <c r="V185" s="1" t="n">
        <f aca="false">($C$57*(1-V$98))+($C$58*V$98)</f>
        <v>2174.30593998451</v>
      </c>
      <c r="W185" s="1" t="n">
        <f aca="false">($C$57*(1-W$98))+($C$58*W$98)</f>
        <v>1943.23286627363</v>
      </c>
      <c r="X185" s="1" t="n">
        <f aca="false">($C$57*(1-X$98))+($C$58*X$98)</f>
        <v>1741.94991989035</v>
      </c>
      <c r="Y185" s="1" t="n">
        <f aca="false">($C$57*(1-Y$98))+($C$58*Y$98)</f>
        <v>1582.7346751645</v>
      </c>
      <c r="Z185" s="1" t="n">
        <f aca="false">($C$57*(1-Z$98))+($C$58*Z$98)</f>
        <v>1460.50703969057</v>
      </c>
      <c r="AA185" s="1" t="n">
        <f aca="false">($C$57*(1-AA$98))+($C$58*AA$98)</f>
        <v>1378.34723924863</v>
      </c>
      <c r="AB185" s="1" t="n">
        <f aca="false">($C$57*(1-AB$98))+($C$58*AB$98)</f>
        <v>1338.58135842556</v>
      </c>
      <c r="AC185" s="1" t="n">
        <f aca="false">($C$57*(1-AC$98))+($C$58*AC$98)</f>
        <v>1338.58135842556</v>
      </c>
    </row>
    <row r="186" customFormat="false" ht="12.8" hidden="false" customHeight="false" outlineLevel="0" collapsed="false">
      <c r="A186" s="1" t="s">
        <v>20</v>
      </c>
      <c r="B186" s="1" t="n">
        <f aca="false">SUM(B181:B185)</f>
        <v>6528.78601175795</v>
      </c>
      <c r="C186" s="1" t="n">
        <f aca="false">SUM(C173:C177)</f>
        <v>6528.78601175795</v>
      </c>
      <c r="D186" s="1" t="n">
        <f aca="false">SUM(D173:D177)</f>
        <v>6433.39897384204</v>
      </c>
      <c r="E186" s="1" t="n">
        <f aca="false">SUM(E173:E177)</f>
        <v>6374.80548151566</v>
      </c>
      <c r="F186" s="1" t="n">
        <f aca="false">SUM(F173:F177)</f>
        <v>6206.56646287877</v>
      </c>
      <c r="G186" s="1" t="n">
        <f aca="false">SUM(G173:G177)</f>
        <v>6201.3465497522</v>
      </c>
      <c r="H186" s="1" t="n">
        <f aca="false">SUM(H173:H177)</f>
        <v>6195.35295592435</v>
      </c>
      <c r="I186" s="1" t="n">
        <f aca="false">SUM(I173:I177)</f>
        <v>6184.14608490846</v>
      </c>
      <c r="J186" s="1" t="n">
        <f aca="false">SUM(J173:J177)</f>
        <v>6175.26699275845</v>
      </c>
      <c r="K186" s="1" t="n">
        <f aca="false">SUM(K173:K177)</f>
        <v>6164.90348625944</v>
      </c>
      <c r="L186" s="1" t="n">
        <f aca="false">SUM(L173:L177)</f>
        <v>6147.68272340831</v>
      </c>
      <c r="M186" s="1" t="n">
        <f aca="false">SUM(M173:M177)</f>
        <v>6131.68617194589</v>
      </c>
      <c r="N186" s="1" t="n">
        <f aca="false">SUM(N173:N177)</f>
        <v>6114.962858259</v>
      </c>
      <c r="O186" s="1" t="n">
        <f aca="false">SUM(O173:O177)</f>
        <v>6096.45305301916</v>
      </c>
      <c r="P186" s="1" t="n">
        <f aca="false">SUM(P173:P177)</f>
        <v>6074.77139316951</v>
      </c>
      <c r="Q186" s="1" t="n">
        <f aca="false">SUM(Q173:Q177)</f>
        <v>6049.34216642283</v>
      </c>
      <c r="R186" s="1" t="n">
        <f aca="false">SUM(R173:R177)</f>
        <v>6019.48597222489</v>
      </c>
      <c r="S186" s="1" t="n">
        <f aca="false">SUM(S173:S177)</f>
        <v>5981.58614840815</v>
      </c>
      <c r="T186" s="1" t="n">
        <f aca="false">SUM(T173:T177)</f>
        <v>5938.73510634704</v>
      </c>
      <c r="U186" s="1" t="n">
        <f aca="false">SUM(U173:U177)</f>
        <v>5890.18114891866</v>
      </c>
      <c r="V186" s="1" t="n">
        <f aca="false">SUM(V173:V177)</f>
        <v>5833.01401864328</v>
      </c>
      <c r="W186" s="1" t="n">
        <f aca="false">SUM(W173:W177)</f>
        <v>5765.67501513634</v>
      </c>
      <c r="X186" s="1" t="n">
        <f aca="false">SUM(X173:X177)</f>
        <v>5686.32321593837</v>
      </c>
      <c r="Y186" s="1" t="n">
        <f aca="false">SUM(Y173:Y177)</f>
        <v>5592.78420476054</v>
      </c>
      <c r="Z186" s="1" t="n">
        <f aca="false">SUM(Z173:Z177)</f>
        <v>5479.95620894269</v>
      </c>
      <c r="AA186" s="1" t="n">
        <f aca="false">SUM(AA173:AA177)</f>
        <v>5348.44021595457</v>
      </c>
      <c r="AB186" s="1" t="n">
        <f aca="false">SUM(AB173:AB177)</f>
        <v>5224.0748250669</v>
      </c>
      <c r="AC186" s="1" t="n">
        <f aca="false">SUM(AC173:AC177)</f>
        <v>5105.239699406</v>
      </c>
    </row>
    <row r="188" customFormat="false" ht="12.8" hidden="false" customHeight="false" outlineLevel="0" collapsed="false">
      <c r="A188" s="1" t="s">
        <v>322</v>
      </c>
      <c r="B188" s="1" t="s">
        <v>575</v>
      </c>
      <c r="C188" s="1" t="n">
        <v>2024</v>
      </c>
      <c r="D188" s="1" t="n">
        <v>2025</v>
      </c>
      <c r="E188" s="1" t="n">
        <v>2026</v>
      </c>
      <c r="F188" s="1" t="n">
        <v>2027</v>
      </c>
      <c r="G188" s="1" t="n">
        <v>2028</v>
      </c>
      <c r="H188" s="1" t="n">
        <v>2029</v>
      </c>
      <c r="I188" s="1" t="n">
        <v>2030</v>
      </c>
      <c r="J188" s="1" t="n">
        <v>2031</v>
      </c>
      <c r="K188" s="1" t="n">
        <v>2032</v>
      </c>
      <c r="L188" s="1" t="n">
        <v>2033</v>
      </c>
      <c r="M188" s="1" t="n">
        <v>2034</v>
      </c>
      <c r="N188" s="1" t="n">
        <v>2035</v>
      </c>
      <c r="O188" s="1" t="n">
        <v>2036</v>
      </c>
      <c r="P188" s="1" t="n">
        <v>2037</v>
      </c>
      <c r="Q188" s="1" t="n">
        <v>2038</v>
      </c>
      <c r="R188" s="1" t="n">
        <v>2039</v>
      </c>
      <c r="S188" s="1" t="n">
        <v>2040</v>
      </c>
      <c r="T188" s="1" t="n">
        <v>2041</v>
      </c>
      <c r="U188" s="1" t="n">
        <v>2042</v>
      </c>
      <c r="V188" s="1" t="n">
        <v>2043</v>
      </c>
      <c r="W188" s="1" t="n">
        <v>2044</v>
      </c>
      <c r="X188" s="1" t="n">
        <v>2045</v>
      </c>
      <c r="Y188" s="1" t="n">
        <v>2046</v>
      </c>
      <c r="Z188" s="1" t="n">
        <v>2047</v>
      </c>
      <c r="AA188" s="1" t="n">
        <v>2048</v>
      </c>
      <c r="AB188" s="1" t="n">
        <v>2049</v>
      </c>
      <c r="AC188" s="1" t="n">
        <v>2050</v>
      </c>
    </row>
    <row r="189" customFormat="false" ht="12.8" hidden="false" customHeight="false" outlineLevel="0" collapsed="false">
      <c r="A189" s="1" t="s">
        <v>37</v>
      </c>
      <c r="B189" s="1" t="n">
        <f aca="false">($B$30*$B$28)+($B$39*$B$42)</f>
        <v>71.3503343390438</v>
      </c>
      <c r="C189" s="1" t="n">
        <f aca="false">($B$30*$B$28)+($B$39*$B$42)</f>
        <v>71.3503343390438</v>
      </c>
      <c r="D189" s="1" t="n">
        <f aca="false">($B$30*$B$33)+($B$44*$B$47)</f>
        <v>25.4547138723075</v>
      </c>
      <c r="E189" s="1" t="n">
        <f aca="false">($B$30*$B$33)+($B$44*$B$47)</f>
        <v>25.4547138723075</v>
      </c>
      <c r="F189" s="1" t="n">
        <f aca="false">($B$30*$B$33)+($B$44*$B$47)</f>
        <v>25.4547138723075</v>
      </c>
      <c r="G189" s="1" t="n">
        <f aca="false">($B$30*$B$33)+($B$44*$B$47)</f>
        <v>25.4547138723075</v>
      </c>
      <c r="H189" s="1" t="n">
        <f aca="false">($B$30*$B$33)+($B$44*$B$47)</f>
        <v>25.4547138723075</v>
      </c>
      <c r="I189" s="1" t="n">
        <f aca="false">($B$30*$B$33)+($B$44*$B$47)</f>
        <v>25.4547138723075</v>
      </c>
      <c r="J189" s="1" t="n">
        <f aca="false">($B$30*$B$33)+($B$44*$B$47)</f>
        <v>25.4547138723075</v>
      </c>
      <c r="K189" s="1" t="n">
        <f aca="false">($B$30*$B$33)+($B$44*$B$47)</f>
        <v>25.4547138723075</v>
      </c>
      <c r="L189" s="1" t="n">
        <f aca="false">$K189*0.9</f>
        <v>22.9092424850768</v>
      </c>
      <c r="M189" s="1" t="n">
        <v>22.0256904333107</v>
      </c>
      <c r="N189" s="1" t="n">
        <v>22.0256904333107</v>
      </c>
      <c r="O189" s="1" t="n">
        <v>22.0256904333107</v>
      </c>
      <c r="P189" s="1" t="n">
        <v>22.0256904333107</v>
      </c>
      <c r="Q189" s="1" t="n">
        <v>22.0256904333107</v>
      </c>
      <c r="R189" s="1" t="n">
        <v>22.0256904333107</v>
      </c>
      <c r="S189" s="1" t="n">
        <f aca="false">$L189*0.9</f>
        <v>20.6183182365691</v>
      </c>
      <c r="T189" s="1" t="n">
        <v>19.8231213899797</v>
      </c>
      <c r="U189" s="1" t="n">
        <v>19.8231213899797</v>
      </c>
      <c r="V189" s="1" t="n">
        <v>19.8231213899797</v>
      </c>
      <c r="W189" s="1" t="n">
        <v>19.8231213899797</v>
      </c>
      <c r="X189" s="1" t="n">
        <v>19.8231213899797</v>
      </c>
      <c r="Y189" s="1" t="n">
        <v>19.8231213899797</v>
      </c>
      <c r="Z189" s="1" t="n">
        <f aca="false">$S189*0.9</f>
        <v>18.5564864129122</v>
      </c>
      <c r="AA189" s="1" t="n">
        <v>17.8408092509817</v>
      </c>
      <c r="AB189" s="1" t="n">
        <f aca="false">$S189*0.9</f>
        <v>18.5564864129122</v>
      </c>
      <c r="AC189" s="1" t="n">
        <f aca="false">$S189*0.9</f>
        <v>18.5564864129122</v>
      </c>
    </row>
    <row r="190" customFormat="false" ht="12.8" hidden="false" customHeight="false" outlineLevel="0" collapsed="false">
      <c r="A190" s="1" t="s">
        <v>18</v>
      </c>
      <c r="B190" s="1" t="n">
        <f aca="false">$B$10</f>
        <v>114.460356578722</v>
      </c>
      <c r="C190" s="1" t="n">
        <f aca="false">$B$10</f>
        <v>114.460356578722</v>
      </c>
      <c r="D190" s="1" t="n">
        <f aca="false">$B$10</f>
        <v>114.460356578722</v>
      </c>
      <c r="E190" s="1" t="n">
        <f aca="false">($B$18*0.25)+($B$10*0.75)</f>
        <v>87.1829676973752</v>
      </c>
      <c r="F190" s="141" t="n">
        <f aca="false">$B$18</f>
        <v>5.35080105333394</v>
      </c>
      <c r="G190" s="141" t="n">
        <f aca="false">$B$18</f>
        <v>5.35080105333394</v>
      </c>
      <c r="H190" s="141" t="n">
        <f aca="false">$B$18</f>
        <v>5.35080105333394</v>
      </c>
      <c r="I190" s="141" t="n">
        <f aca="false">$B$18</f>
        <v>5.35080105333394</v>
      </c>
      <c r="J190" s="141" t="n">
        <f aca="false">$B$18</f>
        <v>5.35080105333394</v>
      </c>
      <c r="K190" s="141" t="n">
        <f aca="false">$B$18</f>
        <v>5.35080105333394</v>
      </c>
      <c r="L190" s="141" t="n">
        <f aca="false">$B$18</f>
        <v>5.35080105333394</v>
      </c>
      <c r="M190" s="141" t="n">
        <f aca="false">$B$18</f>
        <v>5.35080105333394</v>
      </c>
      <c r="N190" s="141" t="n">
        <f aca="false">$B$18</f>
        <v>5.35080105333394</v>
      </c>
      <c r="O190" s="141" t="n">
        <f aca="false">$B$18</f>
        <v>5.35080105333394</v>
      </c>
      <c r="P190" s="141" t="n">
        <f aca="false">$B$18</f>
        <v>5.35080105333394</v>
      </c>
      <c r="Q190" s="141" t="n">
        <f aca="false">$B$18</f>
        <v>5.35080105333394</v>
      </c>
      <c r="R190" s="141" t="n">
        <f aca="false">$B$18</f>
        <v>5.35080105333394</v>
      </c>
      <c r="S190" s="141" t="n">
        <f aca="false">$B$18</f>
        <v>5.35080105333394</v>
      </c>
      <c r="T190" s="141" t="n">
        <f aca="false">$B$18</f>
        <v>5.35080105333394</v>
      </c>
      <c r="U190" s="141" t="n">
        <f aca="false">$B$18</f>
        <v>5.35080105333394</v>
      </c>
      <c r="V190" s="141" t="n">
        <f aca="false">$B$18</f>
        <v>5.35080105333394</v>
      </c>
      <c r="W190" s="141" t="n">
        <f aca="false">$B$18</f>
        <v>5.35080105333394</v>
      </c>
      <c r="X190" s="141" t="n">
        <f aca="false">$B$18</f>
        <v>5.35080105333394</v>
      </c>
      <c r="Y190" s="141" t="n">
        <f aca="false">$B$18</f>
        <v>5.35080105333394</v>
      </c>
      <c r="Z190" s="141" t="n">
        <f aca="false">$B$18</f>
        <v>5.35080105333394</v>
      </c>
      <c r="AA190" s="141" t="n">
        <f aca="false">$B$18</f>
        <v>5.35080105333394</v>
      </c>
      <c r="AB190" s="141" t="n">
        <f aca="false">$B$18</f>
        <v>5.35080105333394</v>
      </c>
      <c r="AC190" s="141" t="n">
        <f aca="false">$B$18</f>
        <v>5.35080105333394</v>
      </c>
      <c r="AD190" s="1"/>
    </row>
    <row r="191" customFormat="false" ht="12.8" hidden="false" customHeight="false" outlineLevel="0" collapsed="false">
      <c r="A191" s="3" t="s">
        <v>39</v>
      </c>
      <c r="B191" s="1" t="n">
        <f aca="false">SUM(B189:B190)</f>
        <v>185.810690917766</v>
      </c>
      <c r="C191" s="1" t="n">
        <f aca="false">SUM(C189:C190)</f>
        <v>185.810690917766</v>
      </c>
      <c r="D191" s="1" t="n">
        <f aca="false">SUM(D189:D190)</f>
        <v>139.91507045103</v>
      </c>
      <c r="E191" s="1" t="n">
        <f aca="false">SUM(E189:E190)</f>
        <v>112.637681569683</v>
      </c>
      <c r="F191" s="1" t="n">
        <f aca="false">SUM(F189:F190)</f>
        <v>30.8055149256415</v>
      </c>
      <c r="G191" s="1" t="n">
        <f aca="false">SUM(G189:G190)</f>
        <v>30.8055149256415</v>
      </c>
      <c r="H191" s="1" t="n">
        <f aca="false">SUM(H189:H190)</f>
        <v>30.8055149256415</v>
      </c>
      <c r="I191" s="1" t="n">
        <f aca="false">SUM(I189:I190)</f>
        <v>30.8055149256415</v>
      </c>
      <c r="J191" s="1" t="n">
        <f aca="false">SUM(J189:J190)</f>
        <v>30.8055149256415</v>
      </c>
      <c r="K191" s="1" t="n">
        <f aca="false">SUM(K189:K190)</f>
        <v>30.8055149256415</v>
      </c>
      <c r="L191" s="1" t="n">
        <f aca="false">SUM(L189:L190)</f>
        <v>28.2600435384107</v>
      </c>
      <c r="M191" s="1" t="n">
        <f aca="false">SUM(M189:M190)</f>
        <v>27.3764914866446</v>
      </c>
      <c r="N191" s="1" t="n">
        <f aca="false">SUM(N189:N190)</f>
        <v>27.3764914866446</v>
      </c>
      <c r="O191" s="1" t="n">
        <f aca="false">SUM(O189:O190)</f>
        <v>27.3764914866446</v>
      </c>
      <c r="P191" s="1" t="n">
        <f aca="false">SUM(P189:P190)</f>
        <v>27.3764914866446</v>
      </c>
      <c r="Q191" s="1" t="n">
        <f aca="false">SUM(Q189:Q190)</f>
        <v>27.3764914866446</v>
      </c>
      <c r="R191" s="1" t="n">
        <f aca="false">SUM(R189:R190)</f>
        <v>27.3764914866446</v>
      </c>
      <c r="S191" s="1" t="n">
        <f aca="false">SUM(S189:S190)</f>
        <v>25.969119289903</v>
      </c>
      <c r="T191" s="1" t="n">
        <f aca="false">SUM(T189:T190)</f>
        <v>25.1739224433136</v>
      </c>
      <c r="U191" s="1" t="n">
        <f aca="false">SUM(U189:U190)</f>
        <v>25.1739224433136</v>
      </c>
      <c r="V191" s="1" t="n">
        <f aca="false">SUM(V189:V190)</f>
        <v>25.1739224433136</v>
      </c>
      <c r="W191" s="1" t="n">
        <f aca="false">SUM(W189:W190)</f>
        <v>25.1739224433136</v>
      </c>
      <c r="X191" s="1" t="n">
        <f aca="false">SUM(X189:X190)</f>
        <v>25.1739224433136</v>
      </c>
      <c r="Y191" s="1" t="n">
        <f aca="false">SUM(Y189:Y190)</f>
        <v>25.1739224433136</v>
      </c>
      <c r="Z191" s="1" t="n">
        <f aca="false">SUM(Z189:Z190)</f>
        <v>23.9072874662461</v>
      </c>
      <c r="AA191" s="1" t="n">
        <f aca="false">SUM(AA189:AA190)</f>
        <v>23.1916103043156</v>
      </c>
      <c r="AB191" s="1" t="n">
        <f aca="false">SUM(AB189:AB190)</f>
        <v>23.9072874662461</v>
      </c>
      <c r="AC191" s="1" t="n">
        <f aca="false">SUM(AC189:AC190)</f>
        <v>23.9072874662461</v>
      </c>
      <c r="AD191" s="130"/>
    </row>
    <row r="192" customFormat="false" ht="12.8" hidden="false" customHeight="false" outlineLevel="0" collapsed="false">
      <c r="A192" s="1" t="s">
        <v>40</v>
      </c>
      <c r="B192" s="1" t="n">
        <f aca="false">($B$70*(1-B$92))+($B$76*B$92)</f>
        <v>1907.7</v>
      </c>
      <c r="C192" s="1" t="n">
        <f aca="false">($B$70*(1-B$92))+($B$76*B$92)</f>
        <v>1907.7</v>
      </c>
      <c r="D192" s="1" t="n">
        <f aca="false">($B$70*(1-C$92))+($B$76*C$92)</f>
        <v>1896.97896636808</v>
      </c>
      <c r="E192" s="1" t="n">
        <f aca="false">($B$70*(1-D$92))+($B$76*D$92)</f>
        <v>1893.7626562785</v>
      </c>
      <c r="F192" s="1" t="n">
        <f aca="false">($B$70*(1-E$92))+($B$76*E$92)</f>
        <v>1889.58145316206</v>
      </c>
      <c r="G192" s="1" t="n">
        <f aca="false">($B$70*(1-F$92))+($B$76*F$92)</f>
        <v>1884.14588911067</v>
      </c>
      <c r="H192" s="1" t="n">
        <f aca="false">($B$70*(1-G$92))+($B$76*G$92)</f>
        <v>1877.07965584387</v>
      </c>
      <c r="I192" s="1" t="n">
        <f aca="false">($B$70*(1-H$92))+($B$76*H$92)</f>
        <v>1867.89355259704</v>
      </c>
      <c r="J192" s="1" t="n">
        <f aca="false">($B$70*(1-I$92))+($B$76*I$92)</f>
        <v>1855.95161837615</v>
      </c>
      <c r="K192" s="1" t="n">
        <f aca="false">($B$70*(1-J$92))+($B$76*J$92)</f>
        <v>1840.42710388899</v>
      </c>
      <c r="L192" s="1" t="n">
        <f aca="false">($B$70*(1-K$92))+($B$76*K$92)</f>
        <v>1813.51794544459</v>
      </c>
      <c r="M192" s="1" t="n">
        <f aca="false">($B$70*(1-L$92))+($B$76*L$92)</f>
        <v>1775.84512362242</v>
      </c>
      <c r="N192" s="1" t="n">
        <f aca="false">($B$70*(1-M$92))+($B$76*M$92)</f>
        <v>1723.10317307139</v>
      </c>
      <c r="O192" s="1" t="n">
        <f aca="false">($B$70*(1-N$92))+($B$76*N$92)</f>
        <v>1649.26444229995</v>
      </c>
      <c r="P192" s="1" t="n">
        <f aca="false">($B$70*(1-O$92))+($B$76*O$92)</f>
        <v>1600.25400283975</v>
      </c>
      <c r="Q192" s="1" t="n">
        <f aca="false">($B$70*(1-P$92))+($B$76*P$92)</f>
        <v>1572.58386309532</v>
      </c>
      <c r="R192" s="1" t="n">
        <f aca="false">($B$70*(1-Q$92))+($B$76*Q$92)</f>
        <v>1542.4234107739</v>
      </c>
      <c r="S192" s="1" t="n">
        <f aca="false">($B$70*(1-R$92))+($B$76*R$92)</f>
        <v>1509.54851774356</v>
      </c>
      <c r="T192" s="1" t="n">
        <f aca="false">($B$70*(1-S$92))+($B$76*S$92)</f>
        <v>1473.71488434048</v>
      </c>
      <c r="U192" s="1" t="n">
        <f aca="false">($B$70*(1-T$92))+($B$76*T$92)</f>
        <v>1434.65622393112</v>
      </c>
      <c r="V192" s="1" t="n">
        <f aca="false">($B$70*(1-U$92))+($B$76*U$92)</f>
        <v>1392.08228408492</v>
      </c>
      <c r="W192" s="1" t="n">
        <f aca="false">($B$70*(1-V$92))+($B$76*V$92)</f>
        <v>1345.67668965256</v>
      </c>
      <c r="X192" s="1" t="n">
        <f aca="false">($B$70*(1-W$92))+($B$76*W$92)</f>
        <v>1295.09459172129</v>
      </c>
      <c r="Y192" s="1" t="n">
        <f aca="false">($B$70*(1-X$92))+($B$76*X$92)</f>
        <v>1239.96010497621</v>
      </c>
      <c r="Z192" s="1" t="n">
        <f aca="false">($B$70*(1-Y$92))+($B$76*Y$92)</f>
        <v>1179.86351442407</v>
      </c>
      <c r="AA192" s="1" t="n">
        <f aca="false">($B$70*(1-Z$92))+($B$76*Z$92)</f>
        <v>1114.35823072223</v>
      </c>
      <c r="AB192" s="1" t="n">
        <f aca="false">($B$70*(1-AA$92))+($B$76*AA$92)</f>
        <v>1042.95747148723</v>
      </c>
      <c r="AC192" s="1" t="n">
        <f aca="false">($B$70*(1-AB$92))+($B$76*AB$92)</f>
        <v>965.130643921085</v>
      </c>
    </row>
    <row r="193" customFormat="false" ht="12.8" hidden="false" customHeight="false" outlineLevel="0" collapsed="false">
      <c r="A193" s="1" t="s">
        <v>41</v>
      </c>
      <c r="B193" s="1" t="n">
        <f aca="false">($C$57*(1-B$100))+($C$58*B$100)</f>
        <v>4249.46462992242</v>
      </c>
      <c r="C193" s="1" t="n">
        <f aca="false">($C$57*(1-C$100))+($C$58*C$100)</f>
        <v>4249.46462992242</v>
      </c>
      <c r="D193" s="1" t="n">
        <f aca="false">($C$57*(1-D$99))+($C$58*D$99)</f>
        <v>4220.35579720745</v>
      </c>
      <c r="E193" s="1" t="n">
        <f aca="false">($C$57*(1-E$99))+($C$58*E$99)</f>
        <v>4185.94915693836</v>
      </c>
      <c r="F193" s="1" t="n">
        <f aca="false">($C$57*(1-F$99))+($C$58*F$99)</f>
        <v>4145.28050814029</v>
      </c>
      <c r="G193" s="1" t="n">
        <f aca="false">($C$57*(1-G$99))+($C$58*G$99)</f>
        <v>4097.21016526097</v>
      </c>
      <c r="H193" s="1" t="n">
        <f aca="false">($C$57*(1-H$99))+($C$58*H$99)</f>
        <v>4040.39101997762</v>
      </c>
      <c r="I193" s="1" t="n">
        <f aca="false">($C$57*(1-I$99))+($C$58*I$99)</f>
        <v>3973.2307902527</v>
      </c>
      <c r="J193" s="1" t="n">
        <f aca="false">($C$57*(1-J$99))+($C$58*J$99)</f>
        <v>3893.84739871784</v>
      </c>
      <c r="K193" s="1" t="n">
        <f aca="false">($C$57*(1-K$99))+($C$58*K$99)</f>
        <v>3806.58441173924</v>
      </c>
      <c r="L193" s="1" t="n">
        <f aca="false">($C$57*(1-L$99))+($C$58*L$99)</f>
        <v>3704.85253467542</v>
      </c>
      <c r="M193" s="1" t="n">
        <f aca="false">($C$57*(1-M$99))+($C$58*M$99)</f>
        <v>3586.57955523693</v>
      </c>
      <c r="N193" s="1" t="n">
        <f aca="false">($C$57*(1-N$99))+($C$58*N$99)</f>
        <v>3449.53895498251</v>
      </c>
      <c r="O193" s="1" t="n">
        <f aca="false">($C$57*(1-O$99))+($C$58*O$99)</f>
        <v>3291.4103193157</v>
      </c>
      <c r="P193" s="1" t="n">
        <f aca="false">($C$57*(1-P$99))+($C$58*P$99)</f>
        <v>3109.88588507939</v>
      </c>
      <c r="Q193" s="1" t="n">
        <f aca="false">($C$57*(1-Q$99))+($C$58*Q$99)</f>
        <v>2902.84557891132</v>
      </c>
      <c r="R193" s="1" t="n">
        <f aca="false">($C$57*(1-R$99))+($C$58*R$99)</f>
        <v>2685.02742492576</v>
      </c>
      <c r="S193" s="1" t="n">
        <f aca="false">($C$57*(1-S$99))+($C$58*S$99)</f>
        <v>2444.56031578834</v>
      </c>
      <c r="T193" s="1" t="n">
        <f aca="false">($C$57*(1-T$99))+($C$58*T$99)</f>
        <v>2187.6614766682</v>
      </c>
      <c r="U193" s="1" t="n">
        <f aca="false">($C$57*(1-U$99))+($C$58*U$99)</f>
        <v>1956.93195244524</v>
      </c>
      <c r="V193" s="1" t="n">
        <f aca="false">($C$57*(1-V$99))+($C$58*V$99)</f>
        <v>1756.03926603871</v>
      </c>
      <c r="W193" s="1" t="n">
        <f aca="false">($C$57*(1-W$99))+($C$58*W$99)</f>
        <v>1588.88346264325</v>
      </c>
      <c r="X193" s="1" t="n">
        <f aca="false">($C$57*(1-X$99))+($C$58*X$99)</f>
        <v>1459.46669298948</v>
      </c>
      <c r="Y193" s="1" t="n">
        <f aca="false">($C$57*(1-Y$99))+($C$58*Y$99)</f>
        <v>1377.81619931192</v>
      </c>
      <c r="Z193" s="1" t="n">
        <f aca="false">($C$57*(1-Z$99))+($C$58*Z$99)</f>
        <v>1338.58135842556</v>
      </c>
      <c r="AA193" s="1" t="n">
        <f aca="false">($C$57*(1-AA$99))+($C$58*AA$99)</f>
        <v>1338.58135842556</v>
      </c>
      <c r="AB193" s="1" t="n">
        <f aca="false">($C$57*(1-AB$99))+($C$58*AB$99)</f>
        <v>1338.58135842556</v>
      </c>
      <c r="AC193" s="1" t="n">
        <f aca="false">($C$57*(1-AC$99))+($C$58*AC$99)</f>
        <v>1338.58135842556</v>
      </c>
    </row>
    <row r="194" customFormat="false" ht="12.8" hidden="false" customHeight="false" outlineLevel="0" collapsed="false">
      <c r="A194" s="1" t="s">
        <v>20</v>
      </c>
      <c r="B194" s="1" t="n">
        <f aca="false">SUM(B189:B193)</f>
        <v>6528.78601175795</v>
      </c>
      <c r="C194" s="1" t="n">
        <f aca="false">SUM(C189:C193)</f>
        <v>6528.78601175795</v>
      </c>
      <c r="D194" s="1" t="n">
        <f aca="false">SUM(D189:D193)</f>
        <v>6397.16490447759</v>
      </c>
      <c r="E194" s="1" t="n">
        <f aca="false">SUM(E189:E193)</f>
        <v>6304.98717635623</v>
      </c>
      <c r="F194" s="1" t="n">
        <f aca="false">SUM(F189:F193)</f>
        <v>6096.47299115363</v>
      </c>
      <c r="G194" s="1" t="n">
        <f aca="false">SUM(G189:G193)</f>
        <v>6042.96708422293</v>
      </c>
      <c r="H194" s="1" t="n">
        <f aca="false">SUM(H189:H193)</f>
        <v>5979.08170567278</v>
      </c>
      <c r="I194" s="1" t="n">
        <f aca="false">SUM(I189:I193)</f>
        <v>5902.73537270102</v>
      </c>
      <c r="J194" s="1" t="n">
        <f aca="false">SUM(J189:J193)</f>
        <v>5811.41004694527</v>
      </c>
      <c r="K194" s="1" t="n">
        <f aca="false">SUM(K189:K193)</f>
        <v>5708.62254547951</v>
      </c>
      <c r="L194" s="1" t="n">
        <f aca="false">SUM(L189:L193)</f>
        <v>5574.89056719683</v>
      </c>
      <c r="M194" s="1" t="n">
        <f aca="false">SUM(M189:M193)</f>
        <v>5417.17766183265</v>
      </c>
      <c r="N194" s="1" t="n">
        <f aca="false">SUM(N189:N193)</f>
        <v>5227.39511102719</v>
      </c>
      <c r="O194" s="1" t="n">
        <f aca="false">SUM(O189:O193)</f>
        <v>4995.42774458894</v>
      </c>
      <c r="P194" s="1" t="n">
        <f aca="false">SUM(P189:P193)</f>
        <v>4764.89287089242</v>
      </c>
      <c r="Q194" s="1" t="n">
        <f aca="false">SUM(Q189:Q193)</f>
        <v>4530.18242497994</v>
      </c>
      <c r="R194" s="1" t="n">
        <f aca="false">SUM(R189:R193)</f>
        <v>4282.20381867296</v>
      </c>
      <c r="S194" s="1" t="n">
        <f aca="false">SUM(S189:S193)</f>
        <v>4006.0470721117</v>
      </c>
      <c r="T194" s="1" t="n">
        <f aca="false">SUM(T189:T193)</f>
        <v>3711.7242058953</v>
      </c>
      <c r="U194" s="1" t="n">
        <f aca="false">SUM(U189:U193)</f>
        <v>3441.93602126299</v>
      </c>
      <c r="V194" s="1" t="n">
        <f aca="false">SUM(V189:V193)</f>
        <v>3198.46939501026</v>
      </c>
      <c r="W194" s="1" t="n">
        <f aca="false">SUM(W189:W193)</f>
        <v>2984.90799718244</v>
      </c>
      <c r="X194" s="1" t="n">
        <f aca="false">SUM(X189:X193)</f>
        <v>2804.9091295974</v>
      </c>
      <c r="Y194" s="1" t="n">
        <f aca="false">SUM(Y189:Y193)</f>
        <v>2668.12414917476</v>
      </c>
      <c r="Z194" s="1" t="n">
        <f aca="false">SUM(Z189:Z193)</f>
        <v>2566.25944778212</v>
      </c>
      <c r="AA194" s="1" t="n">
        <f aca="false">SUM(AA189:AA193)</f>
        <v>2499.32280975642</v>
      </c>
      <c r="AB194" s="1" t="n">
        <f aca="false">SUM(AB189:AB193)</f>
        <v>2429.35340484529</v>
      </c>
      <c r="AC194" s="1" t="n">
        <f aca="false">SUM(AC189:AC193)</f>
        <v>2351.52657727914</v>
      </c>
    </row>
    <row r="197" customFormat="false" ht="12.8" hidden="false" customHeight="false" outlineLevel="0" collapsed="false">
      <c r="C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30"/>
    </row>
    <row r="200" customFormat="false" ht="12.8" hidden="false" customHeight="false" outlineLevel="0" collapsed="false">
      <c r="A200" s="1" t="s">
        <v>42</v>
      </c>
      <c r="B200" s="1" t="s">
        <v>575</v>
      </c>
      <c r="C200" s="1" t="n">
        <v>2024</v>
      </c>
      <c r="D200" s="1" t="n">
        <v>2025</v>
      </c>
      <c r="E200" s="1" t="n">
        <v>2026</v>
      </c>
      <c r="F200" s="1" t="n">
        <v>2027</v>
      </c>
      <c r="G200" s="1" t="n">
        <v>2028</v>
      </c>
      <c r="H200" s="1" t="n">
        <v>2029</v>
      </c>
      <c r="I200" s="1" t="n">
        <v>2030</v>
      </c>
      <c r="J200" s="1" t="n">
        <v>2031</v>
      </c>
      <c r="K200" s="1" t="n">
        <v>2032</v>
      </c>
      <c r="L200" s="1" t="n">
        <v>2033</v>
      </c>
      <c r="M200" s="1" t="n">
        <v>2034</v>
      </c>
      <c r="N200" s="1" t="n">
        <v>2035</v>
      </c>
      <c r="O200" s="1" t="n">
        <v>2036</v>
      </c>
      <c r="P200" s="1" t="n">
        <v>2037</v>
      </c>
      <c r="Q200" s="1" t="n">
        <v>2038</v>
      </c>
      <c r="R200" s="1" t="n">
        <v>2039</v>
      </c>
      <c r="S200" s="1" t="n">
        <v>2040</v>
      </c>
      <c r="T200" s="1" t="n">
        <v>2041</v>
      </c>
      <c r="U200" s="1" t="n">
        <v>2042</v>
      </c>
      <c r="V200" s="1" t="n">
        <v>2043</v>
      </c>
      <c r="W200" s="1" t="n">
        <v>2044</v>
      </c>
      <c r="X200" s="1" t="n">
        <v>2045</v>
      </c>
      <c r="Y200" s="1" t="n">
        <v>2046</v>
      </c>
      <c r="Z200" s="1" t="n">
        <v>2047</v>
      </c>
      <c r="AA200" s="1" t="n">
        <v>2048</v>
      </c>
      <c r="AB200" s="1" t="n">
        <v>2049</v>
      </c>
      <c r="AC200" s="1" t="n">
        <v>2050</v>
      </c>
    </row>
    <row r="201" customFormat="false" ht="12.8" hidden="false" customHeight="false" outlineLevel="0" collapsed="false">
      <c r="A201" s="1" t="s">
        <v>37</v>
      </c>
      <c r="B201" s="1" t="n">
        <f aca="false">($B$30*$B$28)+($B$39*$B$42)</f>
        <v>71.3503343390438</v>
      </c>
      <c r="C201" s="1" t="n">
        <f aca="false">($B$30*$B$28)+($B$39*$B$42)</f>
        <v>71.3503343390438</v>
      </c>
      <c r="D201" s="1" t="n">
        <f aca="false">($B$30*$B$33)+($B$44*$B$47)</f>
        <v>25.4547138723075</v>
      </c>
      <c r="E201" s="1" t="n">
        <f aca="false">($B$30*$B$33)+($B$44*$B$47)</f>
        <v>25.4547138723075</v>
      </c>
      <c r="F201" s="1" t="n">
        <f aca="false">($B$30*$B$33)+($B$44*$B$47)</f>
        <v>25.4547138723075</v>
      </c>
      <c r="G201" s="1" t="n">
        <f aca="false">($B$30*$B$33)+($B$44*$B$47)</f>
        <v>25.4547138723075</v>
      </c>
      <c r="H201" s="1" t="n">
        <f aca="false">($B$30*$B$33)+($B$44*$B$47)</f>
        <v>25.4547138723075</v>
      </c>
      <c r="I201" s="1" t="n">
        <f aca="false">($B$30*$B$33)+($B$44*$B$47)</f>
        <v>25.4547138723075</v>
      </c>
      <c r="J201" s="1" t="n">
        <f aca="false">($B$30*$B$33)+($B$44*$B$47)</f>
        <v>25.4547138723075</v>
      </c>
      <c r="K201" s="1" t="n">
        <f aca="false">($B$30*$B$33)+($B$44*$B$47)</f>
        <v>25.4547138723075</v>
      </c>
      <c r="L201" s="1" t="n">
        <f aca="false">$K201*0.9</f>
        <v>22.9092424850768</v>
      </c>
      <c r="M201" s="1" t="n">
        <v>22.0256904333107</v>
      </c>
      <c r="N201" s="1" t="n">
        <v>22.0256904333107</v>
      </c>
      <c r="O201" s="1" t="n">
        <v>22.0256904333107</v>
      </c>
      <c r="P201" s="1" t="n">
        <v>22.0256904333107</v>
      </c>
      <c r="Q201" s="1" t="n">
        <v>22.0256904333107</v>
      </c>
      <c r="R201" s="1" t="n">
        <v>22.0256904333107</v>
      </c>
      <c r="S201" s="1" t="n">
        <f aca="false">$L201*0.9</f>
        <v>20.6183182365691</v>
      </c>
      <c r="T201" s="1" t="n">
        <v>19.8231213899797</v>
      </c>
      <c r="U201" s="1" t="n">
        <v>19.8231213899797</v>
      </c>
      <c r="V201" s="1" t="n">
        <v>19.8231213899797</v>
      </c>
      <c r="W201" s="1" t="n">
        <v>19.8231213899797</v>
      </c>
      <c r="X201" s="1" t="n">
        <v>19.8231213899797</v>
      </c>
      <c r="Y201" s="1" t="n">
        <v>19.8231213899797</v>
      </c>
      <c r="Z201" s="1" t="n">
        <f aca="false">$S201*0.9</f>
        <v>18.5564864129122</v>
      </c>
      <c r="AA201" s="1" t="n">
        <v>17.8408092509817</v>
      </c>
      <c r="AB201" s="1" t="n">
        <f aca="false">$S201*0.9</f>
        <v>18.5564864129122</v>
      </c>
      <c r="AC201" s="1" t="n">
        <f aca="false">$S201*0.9</f>
        <v>18.5564864129122</v>
      </c>
    </row>
    <row r="202" customFormat="false" ht="12.8" hidden="false" customHeight="false" outlineLevel="0" collapsed="false">
      <c r="A202" s="1" t="s">
        <v>18</v>
      </c>
      <c r="B202" s="1" t="n">
        <f aca="false">$B$10</f>
        <v>114.460356578722</v>
      </c>
      <c r="C202" s="1" t="n">
        <f aca="false">$B$10</f>
        <v>114.460356578722</v>
      </c>
      <c r="D202" s="1" t="n">
        <f aca="false">$B$10</f>
        <v>114.460356578722</v>
      </c>
      <c r="E202" s="1" t="n">
        <f aca="false">($B$18*0.25)+($B$10*0.75)</f>
        <v>87.1829676973752</v>
      </c>
      <c r="F202" s="141" t="n">
        <f aca="false">$B$18</f>
        <v>5.35080105333394</v>
      </c>
      <c r="G202" s="141" t="n">
        <f aca="false">$B$18</f>
        <v>5.35080105333394</v>
      </c>
      <c r="H202" s="141" t="n">
        <f aca="false">$B$18</f>
        <v>5.35080105333394</v>
      </c>
      <c r="I202" s="141" t="n">
        <f aca="false">$B$18</f>
        <v>5.35080105333394</v>
      </c>
      <c r="J202" s="141" t="n">
        <f aca="false">$B$18</f>
        <v>5.35080105333394</v>
      </c>
      <c r="K202" s="141" t="n">
        <f aca="false">$B$18</f>
        <v>5.35080105333394</v>
      </c>
      <c r="L202" s="141" t="n">
        <f aca="false">$B$18</f>
        <v>5.35080105333394</v>
      </c>
      <c r="M202" s="141" t="n">
        <f aca="false">$B$18</f>
        <v>5.35080105333394</v>
      </c>
      <c r="N202" s="141" t="n">
        <f aca="false">$B$18</f>
        <v>5.35080105333394</v>
      </c>
      <c r="O202" s="141" t="n">
        <f aca="false">$B$18</f>
        <v>5.35080105333394</v>
      </c>
      <c r="P202" s="141" t="n">
        <f aca="false">$B$18</f>
        <v>5.35080105333394</v>
      </c>
      <c r="Q202" s="141" t="n">
        <f aca="false">$B$18</f>
        <v>5.35080105333394</v>
      </c>
      <c r="R202" s="141" t="n">
        <f aca="false">$B$18</f>
        <v>5.35080105333394</v>
      </c>
      <c r="S202" s="141" t="n">
        <f aca="false">$B$18</f>
        <v>5.35080105333394</v>
      </c>
      <c r="T202" s="141" t="n">
        <f aca="false">$B$18</f>
        <v>5.35080105333394</v>
      </c>
      <c r="U202" s="141" t="n">
        <f aca="false">$B$18</f>
        <v>5.35080105333394</v>
      </c>
      <c r="V202" s="141" t="n">
        <f aca="false">$B$18</f>
        <v>5.35080105333394</v>
      </c>
      <c r="W202" s="141" t="n">
        <f aca="false">$B$18</f>
        <v>5.35080105333394</v>
      </c>
      <c r="X202" s="141" t="n">
        <f aca="false">$B$18</f>
        <v>5.35080105333394</v>
      </c>
      <c r="Y202" s="141" t="n">
        <f aca="false">$B$18</f>
        <v>5.35080105333394</v>
      </c>
      <c r="Z202" s="141" t="n">
        <f aca="false">$B$18</f>
        <v>5.35080105333394</v>
      </c>
      <c r="AA202" s="141" t="n">
        <f aca="false">$B$18</f>
        <v>5.35080105333394</v>
      </c>
      <c r="AB202" s="141" t="n">
        <f aca="false">$B$18</f>
        <v>5.35080105333394</v>
      </c>
      <c r="AC202" s="141" t="n">
        <f aca="false">$B$18</f>
        <v>5.35080105333394</v>
      </c>
      <c r="AD202" s="1"/>
    </row>
    <row r="203" customFormat="false" ht="12.8" hidden="false" customHeight="false" outlineLevel="0" collapsed="false">
      <c r="A203" s="3" t="s">
        <v>39</v>
      </c>
      <c r="B203" s="1" t="n">
        <f aca="false">SUM(B201:B202)</f>
        <v>185.810690917766</v>
      </c>
      <c r="C203" s="1" t="n">
        <f aca="false">SUM(C201:C202)</f>
        <v>185.810690917766</v>
      </c>
      <c r="D203" s="1" t="n">
        <f aca="false">SUM(D201:D202)</f>
        <v>139.91507045103</v>
      </c>
      <c r="E203" s="1" t="n">
        <f aca="false">SUM(E201:E202)</f>
        <v>112.637681569683</v>
      </c>
      <c r="F203" s="1" t="n">
        <f aca="false">SUM(F201:F202)</f>
        <v>30.8055149256415</v>
      </c>
      <c r="G203" s="1" t="n">
        <f aca="false">SUM(G201:G202)</f>
        <v>30.8055149256415</v>
      </c>
      <c r="H203" s="1" t="n">
        <f aca="false">SUM(H201:H202)</f>
        <v>30.8055149256415</v>
      </c>
      <c r="I203" s="1" t="n">
        <f aca="false">SUM(I201:I202)</f>
        <v>30.8055149256415</v>
      </c>
      <c r="J203" s="1" t="n">
        <f aca="false">SUM(J201:J202)</f>
        <v>30.8055149256415</v>
      </c>
      <c r="K203" s="1" t="n">
        <f aca="false">SUM(K201:K202)</f>
        <v>30.8055149256415</v>
      </c>
      <c r="L203" s="1" t="n">
        <f aca="false">SUM(L201:L202)</f>
        <v>28.2600435384107</v>
      </c>
      <c r="M203" s="1" t="n">
        <f aca="false">SUM(M201:M202)</f>
        <v>27.3764914866446</v>
      </c>
      <c r="N203" s="1" t="n">
        <f aca="false">SUM(N201:N202)</f>
        <v>27.3764914866446</v>
      </c>
      <c r="O203" s="1" t="n">
        <f aca="false">SUM(O201:O202)</f>
        <v>27.3764914866446</v>
      </c>
      <c r="P203" s="1" t="n">
        <f aca="false">SUM(P201:P202)</f>
        <v>27.3764914866446</v>
      </c>
      <c r="Q203" s="1" t="n">
        <f aca="false">SUM(Q201:Q202)</f>
        <v>27.3764914866446</v>
      </c>
      <c r="R203" s="1" t="n">
        <f aca="false">SUM(R201:R202)</f>
        <v>27.3764914866446</v>
      </c>
      <c r="S203" s="1" t="n">
        <f aca="false">SUM(S201:S202)</f>
        <v>25.969119289903</v>
      </c>
      <c r="T203" s="1" t="n">
        <f aca="false">SUM(T201:T202)</f>
        <v>25.1739224433136</v>
      </c>
      <c r="U203" s="1" t="n">
        <f aca="false">SUM(U201:U202)</f>
        <v>25.1739224433136</v>
      </c>
      <c r="V203" s="1" t="n">
        <f aca="false">SUM(V201:V202)</f>
        <v>25.1739224433136</v>
      </c>
      <c r="W203" s="1" t="n">
        <f aca="false">SUM(W201:W202)</f>
        <v>25.1739224433136</v>
      </c>
      <c r="X203" s="1" t="n">
        <f aca="false">SUM(X201:X202)</f>
        <v>25.1739224433136</v>
      </c>
      <c r="Y203" s="1" t="n">
        <f aca="false">SUM(Y201:Y202)</f>
        <v>25.1739224433136</v>
      </c>
      <c r="Z203" s="1" t="n">
        <f aca="false">SUM(Z201:Z202)</f>
        <v>23.9072874662461</v>
      </c>
      <c r="AA203" s="1" t="n">
        <f aca="false">SUM(AA201:AA202)</f>
        <v>23.1916103043156</v>
      </c>
      <c r="AB203" s="1" t="n">
        <f aca="false">SUM(AB201:AB202)</f>
        <v>23.9072874662461</v>
      </c>
      <c r="AC203" s="1" t="n">
        <f aca="false">SUM(AC201:AC202)</f>
        <v>23.9072874662461</v>
      </c>
      <c r="AD203" s="130"/>
    </row>
    <row r="204" customFormat="false" ht="12.8" hidden="false" customHeight="false" outlineLevel="0" collapsed="false">
      <c r="A204" s="1" t="s">
        <v>40</v>
      </c>
      <c r="B204" s="1" t="n">
        <f aca="false">$B$70</f>
        <v>1907.7</v>
      </c>
      <c r="C204" s="1" t="n">
        <f aca="false">$B$70</f>
        <v>1907.7</v>
      </c>
      <c r="D204" s="1" t="n">
        <f aca="false">($B$70*(1-C$93))+($B$76*C$93)</f>
        <v>1889.83161061347</v>
      </c>
      <c r="E204" s="1" t="n">
        <f aca="false">($B$70*(1-D$93))+($B$76*D$93)</f>
        <v>1884.47109379751</v>
      </c>
      <c r="F204" s="1" t="n">
        <f aca="false">($B$70*(1-E$93))+($B$76*E$93)</f>
        <v>1877.50242193676</v>
      </c>
      <c r="G204" s="1" t="n">
        <f aca="false">($B$70*(1-F$93))+($B$76*F$93)</f>
        <v>1868.44314851779</v>
      </c>
      <c r="H204" s="1" t="n">
        <f aca="false">($B$70*(1-G$93))+($B$76*G$93)</f>
        <v>1852.7404079249</v>
      </c>
      <c r="I204" s="1" t="n">
        <f aca="false">($B$70*(1-H$93))+($B$76*H$93)</f>
        <v>1830.75657109486</v>
      </c>
      <c r="J204" s="1" t="n">
        <f aca="false">($B$70*(1-I$93))+($B$76*I$93)</f>
        <v>1799.97919953281</v>
      </c>
      <c r="K204" s="1" t="n">
        <f aca="false">($B$70*(1-J$93))+($B$76*J$93)</f>
        <v>1756.89087934593</v>
      </c>
      <c r="L204" s="1" t="n">
        <f aca="false">($B$70*(1-K$93))+($B$76*K$93)</f>
        <v>1696.56723108431</v>
      </c>
      <c r="M204" s="1" t="n">
        <f aca="false">($B$70*(1-L$93))+($B$76*L$93)</f>
        <v>1612.11412351803</v>
      </c>
      <c r="N204" s="1" t="n">
        <f aca="false">($B$70*(1-M$93))+($B$76*M$93)</f>
        <v>1493.87977292524</v>
      </c>
      <c r="O204" s="1" t="n">
        <f aca="false">($B$70*(1-N$93))+($B$76*N$93)</f>
        <v>1350.93265783298</v>
      </c>
      <c r="P204" s="1" t="n">
        <f aca="false">($B$70*(1-O$93))+($B$76*O$93)</f>
        <v>1145.08881210012</v>
      </c>
      <c r="Q204" s="1" t="n">
        <f aca="false">($B$70*(1-P$93))+($B$76*P$93)</f>
        <v>939.244966367265</v>
      </c>
      <c r="R204" s="1" t="n">
        <f aca="false">($B$70*(1-Q$93))+($B$76*Q$93)</f>
        <v>733.401120634409</v>
      </c>
      <c r="S204" s="1" t="n">
        <f aca="false">($B$70*(1-R$93))+($B$76*R$93)</f>
        <v>527.557274901552</v>
      </c>
      <c r="T204" s="1" t="n">
        <f aca="false">($B$70*(1-S$93))+($B$76*S$93)</f>
        <v>321.713429168695</v>
      </c>
      <c r="U204" s="1" t="n">
        <f aca="false">($B$70*(1-T$93))+($B$76*T$93)</f>
        <v>192.33461889286</v>
      </c>
      <c r="V204" s="1" t="n">
        <f aca="false">($B$70*(1-U$93))+($B$76*U$93)</f>
        <v>192.33461889286</v>
      </c>
      <c r="W204" s="1" t="n">
        <f aca="false">($B$70*(1-V$93))+($B$76*V$93)</f>
        <v>192.33461889286</v>
      </c>
      <c r="X204" s="1" t="n">
        <f aca="false">($B$70*(1-W$93))+($B$76*W$93)</f>
        <v>192.33461889286</v>
      </c>
      <c r="Y204" s="1" t="n">
        <f aca="false">($B$70*(1-X$93))+($B$76*X$93)</f>
        <v>192.33461889286</v>
      </c>
      <c r="Z204" s="1" t="n">
        <f aca="false">($B$70*(1-Y$93))+($B$76*Y$93)</f>
        <v>192.33461889286</v>
      </c>
      <c r="AA204" s="1" t="n">
        <f aca="false">($B$70*(1-Z$93))+($B$76*Z$93)</f>
        <v>192.33461889286</v>
      </c>
      <c r="AB204" s="1" t="n">
        <f aca="false">($B$70*(1-AA$93))+($B$76*AA$93)</f>
        <v>192.33461889286</v>
      </c>
      <c r="AC204" s="1" t="n">
        <f aca="false">($B$70*(1-AB$93))+($B$76*AB$93)</f>
        <v>192.33461889286</v>
      </c>
    </row>
    <row r="205" customFormat="false" ht="12.8" hidden="false" customHeight="false" outlineLevel="0" collapsed="false">
      <c r="A205" s="1" t="s">
        <v>41</v>
      </c>
      <c r="B205" s="1" t="n">
        <f aca="false">($C$57*(1-B$100))+($C$58*B$100)</f>
        <v>4249.46462992242</v>
      </c>
      <c r="C205" s="1" t="n">
        <f aca="false">($C$57*(1-C$100))+($C$58*C$100)</f>
        <v>4249.46462992242</v>
      </c>
      <c r="D205" s="1" t="n">
        <f aca="false">($C$57*(1-D$100))+($C$58*D$100)</f>
        <v>4191.24696449248</v>
      </c>
      <c r="E205" s="1" t="n">
        <f aca="false">($C$57*(1-E$100))+($C$58*E$100)</f>
        <v>4122.4336839543</v>
      </c>
      <c r="F205" s="1" t="n">
        <f aca="false">($C$57*(1-F$100))+($C$58*F$100)</f>
        <v>4041.09638635816</v>
      </c>
      <c r="G205" s="1" t="n">
        <f aca="false">($C$57*(1-G$100))+($C$58*G$100)</f>
        <v>3944.95570059953</v>
      </c>
      <c r="H205" s="1" t="n">
        <f aca="false">($C$57*(1-H$100))+($C$58*H$100)</f>
        <v>3831.31741003283</v>
      </c>
      <c r="I205" s="1" t="n">
        <f aca="false">($C$57*(1-I$100))+($C$58*I$100)</f>
        <v>3696.99695058298</v>
      </c>
      <c r="J205" s="1" t="n">
        <f aca="false">($C$57*(1-J$100))+($C$58*J$100)</f>
        <v>3538.23016751327</v>
      </c>
      <c r="K205" s="1" t="n">
        <f aca="false">($C$57*(1-K$100))+($C$58*K$100)</f>
        <v>3376.84055718724</v>
      </c>
      <c r="L205" s="1" t="n">
        <f aca="false">($C$57*(1-L$100))+($C$58*L$100)</f>
        <v>3191.72993196147</v>
      </c>
      <c r="M205" s="1" t="n">
        <f aca="false">($C$57*(1-M$100))+($C$58*M$100)</f>
        <v>2980.82556994837</v>
      </c>
      <c r="N205" s="1" t="n">
        <f aca="false">($C$57*(1-N$100))+($C$58*N$100)</f>
        <v>2742.56885981639</v>
      </c>
      <c r="O205" s="1" t="n">
        <f aca="false">($C$57*(1-O$100))+($C$58*O$100)</f>
        <v>2476.36284377604</v>
      </c>
      <c r="P205" s="1" t="n">
        <f aca="false">($C$57*(1-P$100))+($C$58*P$100)</f>
        <v>2194.84283586919</v>
      </c>
      <c r="Q205" s="1" t="n">
        <f aca="false">($C$57*(1-Q$100))+($C$58*Q$100)</f>
        <v>1937.76915158221</v>
      </c>
      <c r="R205" s="1" t="n">
        <f aca="false">($C$57*(1-R$100))+($C$58*R$100)</f>
        <v>1741.53595998148</v>
      </c>
      <c r="S205" s="1" t="n">
        <f aca="false">($C$57*(1-S$100))+($C$58*S$100)</f>
        <v>1579.61939838874</v>
      </c>
      <c r="T205" s="1" t="n">
        <f aca="false">($C$57*(1-T$100))+($C$58*T$100)</f>
        <v>1456.02059064128</v>
      </c>
      <c r="U205" s="1" t="n">
        <f aca="false">($C$57*(1-U$100))+($C$58*U$100)</f>
        <v>1374.5775191752</v>
      </c>
      <c r="V205" s="1" t="n">
        <f aca="false">($C$57*(1-V$100))+($C$58*V$100)</f>
        <v>1338.58135842556</v>
      </c>
      <c r="W205" s="1" t="n">
        <f aca="false">($C$57*(1-W$100))+($C$58*W$100)</f>
        <v>1338.58135842556</v>
      </c>
      <c r="X205" s="1" t="n">
        <f aca="false">($C$57*(1-X$100))+($C$58*X$100)</f>
        <v>1338.58135842556</v>
      </c>
      <c r="Y205" s="1" t="n">
        <f aca="false">($C$57*(1-Y$100))+($C$58*Y$100)</f>
        <v>1338.58135842556</v>
      </c>
      <c r="Z205" s="1" t="n">
        <f aca="false">($C$57*(1-Z$100))+($C$58*Z$100)</f>
        <v>1338.58135842556</v>
      </c>
      <c r="AA205" s="1" t="n">
        <f aca="false">($C$57*(1-AA$100))+($C$58*AA$100)</f>
        <v>1338.58135842556</v>
      </c>
      <c r="AB205" s="1" t="n">
        <f aca="false">($C$57*(1-AB$100))+($C$58*AB$100)</f>
        <v>1338.58135842556</v>
      </c>
      <c r="AC205" s="1" t="n">
        <f aca="false">($C$57*(1-AC$100))+($C$58*AC$100)</f>
        <v>1338.58135842556</v>
      </c>
    </row>
    <row r="206" customFormat="false" ht="12.8" hidden="false" customHeight="false" outlineLevel="0" collapsed="false">
      <c r="A206" s="1" t="s">
        <v>20</v>
      </c>
      <c r="B206" s="1" t="n">
        <f aca="false">SUM(B201:B205)</f>
        <v>6528.78601175795</v>
      </c>
      <c r="C206" s="1" t="n">
        <f aca="false">SUM(C201:C205)</f>
        <v>6528.78601175795</v>
      </c>
      <c r="D206" s="1" t="n">
        <f aca="false">SUM(D201:D205)</f>
        <v>6360.90871600801</v>
      </c>
      <c r="E206" s="1" t="n">
        <f aca="false">SUM(E201:E205)</f>
        <v>6232.18014089117</v>
      </c>
      <c r="F206" s="1" t="n">
        <f aca="false">SUM(F201:F205)</f>
        <v>5980.2098381462</v>
      </c>
      <c r="G206" s="1" t="n">
        <f aca="false">SUM(G201:G205)</f>
        <v>5875.0098789686</v>
      </c>
      <c r="H206" s="1" t="n">
        <f aca="false">SUM(H201:H205)</f>
        <v>5745.66884780901</v>
      </c>
      <c r="I206" s="1" t="n">
        <f aca="false">SUM(I201:I205)</f>
        <v>5589.36455152913</v>
      </c>
      <c r="J206" s="1" t="n">
        <f aca="false">SUM(J201:J205)</f>
        <v>5399.82039689736</v>
      </c>
      <c r="K206" s="1" t="n">
        <f aca="false">SUM(K201:K205)</f>
        <v>5195.34246638446</v>
      </c>
      <c r="L206" s="1" t="n">
        <f aca="false">SUM(L201:L205)</f>
        <v>4944.8172501226</v>
      </c>
      <c r="M206" s="1" t="n">
        <f aca="false">SUM(M201:M205)</f>
        <v>4647.69267643969</v>
      </c>
      <c r="N206" s="1" t="n">
        <f aca="false">SUM(N201:N205)</f>
        <v>4291.20161571492</v>
      </c>
      <c r="O206" s="1" t="n">
        <f aca="false">SUM(O201:O205)</f>
        <v>3882.04848458231</v>
      </c>
      <c r="P206" s="1" t="n">
        <f aca="false">SUM(P201:P205)</f>
        <v>3394.6846309426</v>
      </c>
      <c r="Q206" s="1" t="n">
        <f aca="false">SUM(Q201:Q205)</f>
        <v>2931.76710092277</v>
      </c>
      <c r="R206" s="1" t="n">
        <f aca="false">SUM(R201:R205)</f>
        <v>2529.69006358918</v>
      </c>
      <c r="S206" s="1" t="n">
        <f aca="false">SUM(S201:S205)</f>
        <v>2159.1149118701</v>
      </c>
      <c r="T206" s="1" t="n">
        <f aca="false">SUM(T201:T205)</f>
        <v>1828.0818646966</v>
      </c>
      <c r="U206" s="1" t="n">
        <f aca="false">SUM(U201:U205)</f>
        <v>1617.25998295469</v>
      </c>
      <c r="V206" s="1" t="n">
        <f aca="false">SUM(V201:V205)</f>
        <v>1581.26382220505</v>
      </c>
      <c r="W206" s="1" t="n">
        <f aca="false">SUM(W201:W205)</f>
        <v>1581.26382220505</v>
      </c>
      <c r="X206" s="1" t="n">
        <f aca="false">SUM(X201:X205)</f>
        <v>1581.26382220505</v>
      </c>
      <c r="Y206" s="1" t="n">
        <f aca="false">SUM(Y201:Y205)</f>
        <v>1581.26382220505</v>
      </c>
      <c r="Z206" s="1" t="n">
        <f aca="false">SUM(Z201:Z205)</f>
        <v>1578.73055225091</v>
      </c>
      <c r="AA206" s="1" t="n">
        <f aca="false">SUM(AA201:AA205)</f>
        <v>1577.29919792705</v>
      </c>
      <c r="AB206" s="1" t="n">
        <f aca="false">SUM(AB201:AB205)</f>
        <v>1578.73055225091</v>
      </c>
      <c r="AC206" s="1" t="n">
        <f aca="false">SUM(AC201:AC205)</f>
        <v>1578.73055225091</v>
      </c>
    </row>
    <row r="208" customFormat="false" ht="12.8" hidden="false" customHeight="false" outlineLevel="0" collapsed="false">
      <c r="A208" s="1" t="s">
        <v>323</v>
      </c>
      <c r="B208" s="1" t="s">
        <v>575</v>
      </c>
      <c r="C208" s="1" t="n">
        <v>2024</v>
      </c>
      <c r="D208" s="1" t="n">
        <v>2025</v>
      </c>
      <c r="E208" s="1" t="n">
        <v>2026</v>
      </c>
      <c r="F208" s="1" t="n">
        <v>2027</v>
      </c>
      <c r="G208" s="1" t="n">
        <v>2028</v>
      </c>
      <c r="H208" s="1" t="n">
        <v>2029</v>
      </c>
      <c r="I208" s="1" t="n">
        <v>2030</v>
      </c>
      <c r="J208" s="1" t="n">
        <v>2031</v>
      </c>
      <c r="K208" s="1" t="n">
        <v>2032</v>
      </c>
      <c r="L208" s="1" t="n">
        <v>2033</v>
      </c>
      <c r="M208" s="1" t="n">
        <v>2034</v>
      </c>
      <c r="N208" s="1" t="n">
        <v>2035</v>
      </c>
      <c r="O208" s="1" t="n">
        <v>2036</v>
      </c>
      <c r="P208" s="1" t="n">
        <v>2037</v>
      </c>
      <c r="Q208" s="1" t="n">
        <v>2038</v>
      </c>
      <c r="R208" s="1" t="n">
        <v>2039</v>
      </c>
      <c r="S208" s="1" t="n">
        <v>2040</v>
      </c>
      <c r="T208" s="1" t="n">
        <v>2041</v>
      </c>
      <c r="U208" s="1" t="n">
        <v>2042</v>
      </c>
      <c r="V208" s="1" t="n">
        <v>2043</v>
      </c>
      <c r="W208" s="1" t="n">
        <v>2044</v>
      </c>
      <c r="X208" s="1" t="n">
        <v>2045</v>
      </c>
      <c r="Y208" s="1" t="n">
        <v>2046</v>
      </c>
      <c r="Z208" s="1" t="n">
        <v>2047</v>
      </c>
      <c r="AA208" s="1" t="n">
        <v>2048</v>
      </c>
      <c r="AB208" s="1" t="n">
        <v>2049</v>
      </c>
      <c r="AC208" s="1" t="n">
        <v>2050</v>
      </c>
    </row>
    <row r="209" customFormat="false" ht="12.8" hidden="false" customHeight="false" outlineLevel="0" collapsed="false">
      <c r="A209" s="1" t="s">
        <v>318</v>
      </c>
      <c r="B209" s="1" t="n">
        <f aca="false">B160</f>
        <v>185.810690917766</v>
      </c>
      <c r="C209" s="1" t="n">
        <f aca="false">C160</f>
        <v>185.810690917766</v>
      </c>
      <c r="D209" s="1" t="n">
        <f aca="false">D160</f>
        <v>185.810690917766</v>
      </c>
      <c r="E209" s="1" t="n">
        <f aca="false">E160</f>
        <v>185.810690917766</v>
      </c>
      <c r="F209" s="1" t="n">
        <f aca="false">F160</f>
        <v>185.810690917766</v>
      </c>
      <c r="G209" s="1" t="n">
        <f aca="false">G160</f>
        <v>185.810690917766</v>
      </c>
      <c r="H209" s="1" t="n">
        <f aca="false">H160</f>
        <v>185.810690917766</v>
      </c>
      <c r="I209" s="1" t="n">
        <f aca="false">I160</f>
        <v>185.301249799991</v>
      </c>
      <c r="J209" s="1" t="n">
        <f aca="false">J160</f>
        <v>185.166566893638</v>
      </c>
      <c r="K209" s="1" t="n">
        <f aca="false">K160</f>
        <v>185.009840205559</v>
      </c>
      <c r="L209" s="1" t="n">
        <f aca="false">L160</f>
        <v>184.826912561172</v>
      </c>
      <c r="M209" s="1" t="n">
        <f aca="false">M160</f>
        <v>184.61287872167</v>
      </c>
      <c r="N209" s="1" t="n">
        <f aca="false">N160</f>
        <v>184.361948733885</v>
      </c>
      <c r="O209" s="1" t="n">
        <f aca="false">O160</f>
        <v>184.067286439387</v>
      </c>
      <c r="P209" s="1" t="n">
        <f aca="false">P160</f>
        <v>183.720818620057</v>
      </c>
      <c r="Q209" s="1" t="n">
        <f aca="false">Q160</f>
        <v>183.31300943433</v>
      </c>
      <c r="R209" s="1" t="n">
        <f aca="false">R160</f>
        <v>182.83259382548</v>
      </c>
      <c r="S209" s="1" t="n">
        <f aca="false">S160</f>
        <v>182.2662624334</v>
      </c>
      <c r="T209" s="1" t="n">
        <f aca="false">T160</f>
        <v>181.598289182154</v>
      </c>
      <c r="U209" s="1" t="n">
        <f aca="false">U160</f>
        <v>180.810091109011</v>
      </c>
      <c r="V209" s="1" t="n">
        <f aca="false">V160</f>
        <v>179.879708101688</v>
      </c>
      <c r="W209" s="1" t="n">
        <f aca="false">W160</f>
        <v>178.781187965982</v>
      </c>
      <c r="X209" s="1" t="n">
        <f aca="false">X160</f>
        <v>177.483859592823</v>
      </c>
      <c r="Y209" s="1" t="n">
        <f aca="false">Y160</f>
        <v>175.951473857863</v>
      </c>
      <c r="Z209" s="1" t="n">
        <f aca="false">Z160</f>
        <v>174.141188179952</v>
      </c>
      <c r="AA209" s="1" t="n">
        <f aca="false">AA160</f>
        <v>172.002366283546</v>
      </c>
      <c r="AB209" s="1" t="n">
        <f aca="false">AB160</f>
        <v>169.939621907779</v>
      </c>
      <c r="AC209" s="1" t="n">
        <f aca="false">AC160</f>
        <v>167.99821543647</v>
      </c>
      <c r="AD209" s="130"/>
    </row>
    <row r="210" customFormat="false" ht="12.8" hidden="false" customHeight="false" outlineLevel="0" collapsed="false">
      <c r="A210" s="1" t="s">
        <v>54</v>
      </c>
      <c r="B210" s="1" t="n">
        <f aca="false">B175</f>
        <v>185.810690917766</v>
      </c>
      <c r="C210" s="1" t="n">
        <f aca="false">C168</f>
        <v>185.810690917766</v>
      </c>
      <c r="D210" s="1" t="n">
        <f aca="false">D168</f>
        <v>139.91507045103</v>
      </c>
      <c r="E210" s="1" t="n">
        <f aca="false">E168</f>
        <v>112.637681569683</v>
      </c>
      <c r="F210" s="1" t="n">
        <f aca="false">F168</f>
        <v>30.8055149256415</v>
      </c>
      <c r="G210" s="1" t="n">
        <f aca="false">G168</f>
        <v>30.8055149256415</v>
      </c>
      <c r="H210" s="1" t="n">
        <f aca="false">H168</f>
        <v>30.8055149256415</v>
      </c>
      <c r="I210" s="1" t="n">
        <f aca="false">I168</f>
        <v>30.8055149256415</v>
      </c>
      <c r="J210" s="1" t="n">
        <f aca="false">J168</f>
        <v>30.8055149256415</v>
      </c>
      <c r="K210" s="1" t="n">
        <f aca="false">K168</f>
        <v>30.8055149256415</v>
      </c>
      <c r="L210" s="1" t="n">
        <f aca="false">L168</f>
        <v>28.2600435384107</v>
      </c>
      <c r="M210" s="1" t="n">
        <f aca="false">M168</f>
        <v>28.2600435384107</v>
      </c>
      <c r="N210" s="1" t="n">
        <f aca="false">N168</f>
        <v>28.2600435384107</v>
      </c>
      <c r="O210" s="1" t="n">
        <f aca="false">O168</f>
        <v>28.2600435384107</v>
      </c>
      <c r="P210" s="1" t="n">
        <f aca="false">P168</f>
        <v>28.2600435384107</v>
      </c>
      <c r="Q210" s="1" t="n">
        <f aca="false">Q168</f>
        <v>28.2600435384107</v>
      </c>
      <c r="R210" s="1" t="n">
        <f aca="false">R168</f>
        <v>28.2600435384107</v>
      </c>
      <c r="S210" s="1" t="n">
        <f aca="false">S168</f>
        <v>25.969119289903</v>
      </c>
      <c r="T210" s="1" t="n">
        <f aca="false">T168</f>
        <v>25.969119289903</v>
      </c>
      <c r="U210" s="1" t="n">
        <f aca="false">U168</f>
        <v>25.969119289903</v>
      </c>
      <c r="V210" s="1" t="n">
        <f aca="false">V168</f>
        <v>25.969119289903</v>
      </c>
      <c r="W210" s="1" t="n">
        <f aca="false">W168</f>
        <v>25.969119289903</v>
      </c>
      <c r="X210" s="1" t="n">
        <f aca="false">X168</f>
        <v>25.969119289903</v>
      </c>
      <c r="Y210" s="1" t="n">
        <f aca="false">Y168</f>
        <v>25.969119289903</v>
      </c>
      <c r="Z210" s="1" t="n">
        <f aca="false">Z168</f>
        <v>23.9072874662461</v>
      </c>
      <c r="AA210" s="1" t="n">
        <f aca="false">AA168</f>
        <v>23.9072874662461</v>
      </c>
      <c r="AB210" s="1" t="n">
        <f aca="false">AB168</f>
        <v>23.9072874662461</v>
      </c>
      <c r="AC210" s="1" t="n">
        <f aca="false">AC168</f>
        <v>23.9072874662461</v>
      </c>
    </row>
    <row r="212" customFormat="false" ht="12.8" hidden="false" customHeight="false" outlineLevel="0" collapsed="false">
      <c r="A212" s="1" t="s">
        <v>324</v>
      </c>
      <c r="B212" s="1" t="s">
        <v>575</v>
      </c>
      <c r="C212" s="1" t="n">
        <v>2024</v>
      </c>
      <c r="D212" s="1" t="n">
        <v>2025</v>
      </c>
      <c r="E212" s="1" t="n">
        <v>2026</v>
      </c>
      <c r="F212" s="1" t="n">
        <v>2027</v>
      </c>
      <c r="G212" s="1" t="n">
        <v>2028</v>
      </c>
      <c r="H212" s="1" t="n">
        <v>2029</v>
      </c>
      <c r="I212" s="1" t="n">
        <v>2030</v>
      </c>
      <c r="J212" s="1" t="n">
        <v>2031</v>
      </c>
      <c r="K212" s="1" t="n">
        <v>2032</v>
      </c>
      <c r="L212" s="1" t="n">
        <v>2033</v>
      </c>
      <c r="M212" s="1" t="n">
        <v>2034</v>
      </c>
      <c r="N212" s="1" t="n">
        <v>2035</v>
      </c>
      <c r="O212" s="1" t="n">
        <v>2036</v>
      </c>
      <c r="P212" s="1" t="n">
        <v>2037</v>
      </c>
      <c r="Q212" s="1" t="n">
        <v>2038</v>
      </c>
      <c r="R212" s="1" t="n">
        <v>2039</v>
      </c>
      <c r="S212" s="1" t="n">
        <v>2040</v>
      </c>
      <c r="T212" s="1" t="n">
        <v>2041</v>
      </c>
      <c r="U212" s="1" t="n">
        <v>2042</v>
      </c>
      <c r="V212" s="1" t="n">
        <v>2043</v>
      </c>
      <c r="W212" s="1" t="n">
        <v>2044</v>
      </c>
      <c r="X212" s="1" t="n">
        <v>2045</v>
      </c>
      <c r="Y212" s="1" t="n">
        <v>2046</v>
      </c>
      <c r="Z212" s="1" t="n">
        <v>2047</v>
      </c>
      <c r="AA212" s="1" t="n">
        <v>2048</v>
      </c>
      <c r="AB212" s="1" t="n">
        <v>2049</v>
      </c>
      <c r="AC212" s="1" t="n">
        <v>2050</v>
      </c>
    </row>
    <row r="213" customFormat="false" ht="12.8" hidden="false" customHeight="false" outlineLevel="0" collapsed="false">
      <c r="A213" s="1" t="s">
        <v>318</v>
      </c>
      <c r="B213" s="1" t="n">
        <f aca="false">B160</f>
        <v>185.810690917766</v>
      </c>
      <c r="C213" s="1" t="n">
        <f aca="false">C160</f>
        <v>185.810690917766</v>
      </c>
      <c r="D213" s="1" t="n">
        <f aca="false">D160</f>
        <v>185.810690917766</v>
      </c>
      <c r="E213" s="1" t="n">
        <f aca="false">E160</f>
        <v>185.810690917766</v>
      </c>
      <c r="F213" s="1" t="n">
        <f aca="false">F160</f>
        <v>185.810690917766</v>
      </c>
      <c r="G213" s="1" t="n">
        <f aca="false">G160</f>
        <v>185.810690917766</v>
      </c>
      <c r="H213" s="1" t="n">
        <f aca="false">H160</f>
        <v>185.810690917766</v>
      </c>
      <c r="I213" s="1" t="n">
        <f aca="false">I160</f>
        <v>185.301249799991</v>
      </c>
      <c r="J213" s="1" t="n">
        <f aca="false">J160</f>
        <v>185.166566893638</v>
      </c>
      <c r="K213" s="1" t="n">
        <f aca="false">K160</f>
        <v>185.009840205559</v>
      </c>
      <c r="L213" s="1" t="n">
        <f aca="false">L160</f>
        <v>184.826912561172</v>
      </c>
      <c r="M213" s="1" t="n">
        <f aca="false">M160</f>
        <v>184.61287872167</v>
      </c>
      <c r="N213" s="1" t="n">
        <f aca="false">N160</f>
        <v>184.361948733885</v>
      </c>
      <c r="O213" s="1" t="n">
        <f aca="false">O160</f>
        <v>184.067286439387</v>
      </c>
      <c r="P213" s="1" t="n">
        <f aca="false">P160</f>
        <v>183.720818620057</v>
      </c>
      <c r="Q213" s="1" t="n">
        <f aca="false">Q160</f>
        <v>183.31300943433</v>
      </c>
      <c r="R213" s="1" t="n">
        <f aca="false">R160</f>
        <v>182.83259382548</v>
      </c>
      <c r="S213" s="1" t="n">
        <f aca="false">S160</f>
        <v>182.2662624334</v>
      </c>
      <c r="T213" s="1" t="n">
        <f aca="false">T160</f>
        <v>181.598289182154</v>
      </c>
      <c r="U213" s="1" t="n">
        <f aca="false">U160</f>
        <v>180.810091109011</v>
      </c>
      <c r="V213" s="1" t="n">
        <f aca="false">V160</f>
        <v>179.879708101688</v>
      </c>
      <c r="W213" s="1" t="n">
        <f aca="false">W160</f>
        <v>178.781187965982</v>
      </c>
      <c r="X213" s="1" t="n">
        <f aca="false">X160</f>
        <v>177.483859592823</v>
      </c>
      <c r="Y213" s="1" t="n">
        <f aca="false">Y160</f>
        <v>175.951473857863</v>
      </c>
      <c r="Z213" s="1" t="n">
        <f aca="false">Z160</f>
        <v>174.141188179952</v>
      </c>
      <c r="AA213" s="1" t="n">
        <f aca="false">AA160</f>
        <v>172.002366283546</v>
      </c>
      <c r="AB213" s="1" t="n">
        <f aca="false">AB160</f>
        <v>169.939621907779</v>
      </c>
      <c r="AC213" s="1" t="n">
        <f aca="false">AC160</f>
        <v>167.99821543647</v>
      </c>
    </row>
    <row r="214" customFormat="false" ht="12.8" hidden="false" customHeight="false" outlineLevel="0" collapsed="false">
      <c r="A214" s="1" t="s">
        <v>54</v>
      </c>
      <c r="B214" s="1" t="n">
        <f aca="false">B175</f>
        <v>185.810690917766</v>
      </c>
      <c r="C214" s="1" t="n">
        <f aca="false">C175</f>
        <v>185.810690917766</v>
      </c>
      <c r="D214" s="1" t="n">
        <f aca="false">D175</f>
        <v>139.91507045103</v>
      </c>
      <c r="E214" s="1" t="n">
        <f aca="false">E175</f>
        <v>112.637681569683</v>
      </c>
      <c r="F214" s="1" t="n">
        <f aca="false">F175</f>
        <v>30.8055149256415</v>
      </c>
      <c r="G214" s="1" t="n">
        <f aca="false">G175</f>
        <v>30.8055149256415</v>
      </c>
      <c r="H214" s="1" t="n">
        <f aca="false">H175</f>
        <v>30.8055149256415</v>
      </c>
      <c r="I214" s="1" t="n">
        <f aca="false">I175</f>
        <v>30.8055149256415</v>
      </c>
      <c r="J214" s="1" t="n">
        <f aca="false">J175</f>
        <v>30.8055149256415</v>
      </c>
      <c r="K214" s="1" t="n">
        <f aca="false">K175</f>
        <v>30.8055149256415</v>
      </c>
      <c r="L214" s="1" t="n">
        <f aca="false">L175</f>
        <v>28.2600435384107</v>
      </c>
      <c r="M214" s="1" t="n">
        <f aca="false">M175</f>
        <v>27.3764914866446</v>
      </c>
      <c r="N214" s="1" t="n">
        <f aca="false">N175</f>
        <v>27.3764914866446</v>
      </c>
      <c r="O214" s="1" t="n">
        <f aca="false">O175</f>
        <v>27.3764914866446</v>
      </c>
      <c r="P214" s="1" t="n">
        <f aca="false">P175</f>
        <v>27.3764914866446</v>
      </c>
      <c r="Q214" s="1" t="n">
        <f aca="false">Q175</f>
        <v>27.3764914866446</v>
      </c>
      <c r="R214" s="1" t="n">
        <f aca="false">R175</f>
        <v>27.3764914866446</v>
      </c>
      <c r="S214" s="1" t="n">
        <f aca="false">S175</f>
        <v>25.969119289903</v>
      </c>
      <c r="T214" s="1" t="n">
        <f aca="false">T175</f>
        <v>25.1739224433136</v>
      </c>
      <c r="U214" s="1" t="n">
        <f aca="false">U175</f>
        <v>25.1739224433136</v>
      </c>
      <c r="V214" s="1" t="n">
        <f aca="false">V175</f>
        <v>25.1739224433136</v>
      </c>
      <c r="W214" s="1" t="n">
        <f aca="false">W175</f>
        <v>25.1739224433136</v>
      </c>
      <c r="X214" s="1" t="n">
        <f aca="false">X175</f>
        <v>25.1739224433136</v>
      </c>
      <c r="Y214" s="1" t="n">
        <f aca="false">Y175</f>
        <v>25.1739224433136</v>
      </c>
      <c r="Z214" s="1" t="n">
        <f aca="false">Z175</f>
        <v>23.9072874662461</v>
      </c>
      <c r="AA214" s="1" t="n">
        <f aca="false">AA175</f>
        <v>23.1916103043156</v>
      </c>
      <c r="AB214" s="1" t="n">
        <f aca="false">AB175</f>
        <v>23.9072874662461</v>
      </c>
      <c r="AC214" s="1" t="n">
        <f aca="false">AC175</f>
        <v>23.9072874662461</v>
      </c>
    </row>
    <row r="215" customFormat="false" ht="12.8" hidden="false" customHeight="false" outlineLevel="0" collapsed="false">
      <c r="A215" s="1" t="s">
        <v>325</v>
      </c>
      <c r="B215" s="1" t="n">
        <f aca="false">B213-B214</f>
        <v>0</v>
      </c>
      <c r="C215" s="1" t="n">
        <f aca="false">C213-C214</f>
        <v>0</v>
      </c>
      <c r="D215" s="1" t="n">
        <f aca="false">D213-D214</f>
        <v>45.8956204667363</v>
      </c>
      <c r="E215" s="1" t="n">
        <f aca="false">E213-E214</f>
        <v>73.1730093480834</v>
      </c>
      <c r="F215" s="1" t="n">
        <f aca="false">F213-F214</f>
        <v>155.005175992125</v>
      </c>
      <c r="G215" s="1" t="n">
        <f aca="false">G213-G214</f>
        <v>155.005175992125</v>
      </c>
      <c r="H215" s="1" t="n">
        <f aca="false">H213-H214</f>
        <v>155.005175992125</v>
      </c>
      <c r="I215" s="1" t="n">
        <f aca="false">I213-I214</f>
        <v>154.495734874349</v>
      </c>
      <c r="J215" s="1" t="n">
        <f aca="false">J213-J214</f>
        <v>154.361051967996</v>
      </c>
      <c r="K215" s="1" t="n">
        <f aca="false">K213-K214</f>
        <v>154.204325279917</v>
      </c>
      <c r="L215" s="1" t="n">
        <f aca="false">L213-L214</f>
        <v>156.566869022762</v>
      </c>
      <c r="M215" s="1" t="n">
        <f aca="false">M213-M214</f>
        <v>157.236387235026</v>
      </c>
      <c r="N215" s="1" t="n">
        <f aca="false">N213-N214</f>
        <v>156.98545724724</v>
      </c>
      <c r="O215" s="1" t="n">
        <f aca="false">O213-O214</f>
        <v>156.690794952742</v>
      </c>
      <c r="P215" s="1" t="n">
        <f aca="false">P213-P214</f>
        <v>156.344327133412</v>
      </c>
      <c r="Q215" s="1" t="n">
        <f aca="false">Q213-Q214</f>
        <v>155.936517947686</v>
      </c>
      <c r="R215" s="1" t="n">
        <f aca="false">R213-R214</f>
        <v>155.456102338836</v>
      </c>
      <c r="S215" s="1" t="n">
        <f aca="false">S213-S214</f>
        <v>156.297143143497</v>
      </c>
      <c r="T215" s="1" t="n">
        <f aca="false">T213-T214</f>
        <v>156.424366738841</v>
      </c>
      <c r="U215" s="1" t="n">
        <f aca="false">U213-U214</f>
        <v>155.636168665697</v>
      </c>
      <c r="V215" s="1" t="n">
        <f aca="false">V213-V214</f>
        <v>154.705785658375</v>
      </c>
      <c r="W215" s="1" t="n">
        <f aca="false">W213-W214</f>
        <v>153.607265522668</v>
      </c>
      <c r="X215" s="1" t="n">
        <f aca="false">X213-X214</f>
        <v>152.309937149509</v>
      </c>
      <c r="Y215" s="1" t="n">
        <f aca="false">Y213-Y214</f>
        <v>150.777551414549</v>
      </c>
      <c r="Z215" s="1" t="n">
        <f aca="false">Z213-Z214</f>
        <v>150.233900713706</v>
      </c>
      <c r="AA215" s="1" t="n">
        <f aca="false">AA213-AA214</f>
        <v>148.81075597923</v>
      </c>
      <c r="AB215" s="1" t="n">
        <f aca="false">AB213-AB214</f>
        <v>146.032334441533</v>
      </c>
      <c r="AC215" s="1" t="n">
        <f aca="false">AC213-AC214</f>
        <v>144.090927970224</v>
      </c>
    </row>
    <row r="216" customFormat="false" ht="12.8" hidden="false" customHeight="false" outlineLevel="0" collapsed="false">
      <c r="A216" s="130" t="s">
        <v>326</v>
      </c>
      <c r="B216" s="130" t="n">
        <f aca="false">B215/B213</f>
        <v>0</v>
      </c>
      <c r="C216" s="130" t="n">
        <f aca="false">C215/C213</f>
        <v>0</v>
      </c>
      <c r="D216" s="130" t="n">
        <f aca="false">D215/D213</f>
        <v>0.247002044069941</v>
      </c>
      <c r="E216" s="130" t="n">
        <f aca="false">E215/E213</f>
        <v>0.393804086227027</v>
      </c>
      <c r="F216" s="130" t="n">
        <f aca="false">F215/F213</f>
        <v>0.834210212698283</v>
      </c>
      <c r="G216" s="130" t="n">
        <f aca="false">G215/G213</f>
        <v>0.834210212698283</v>
      </c>
      <c r="H216" s="130" t="n">
        <f aca="false">H215/H213</f>
        <v>0.834210212698283</v>
      </c>
      <c r="I216" s="130" t="n">
        <f aca="false">I215/I213</f>
        <v>0.833754413643232</v>
      </c>
      <c r="J216" s="130" t="n">
        <f aca="false">J215/J213</f>
        <v>0.83363349311684</v>
      </c>
      <c r="K216" s="130" t="n">
        <f aca="false">K215/K213</f>
        <v>0.833492559685396</v>
      </c>
      <c r="L216" s="130" t="n">
        <f aca="false">L215/L213</f>
        <v>0.847099953427738</v>
      </c>
      <c r="M216" s="130" t="n">
        <f aca="false">M215/M213</f>
        <v>0.851708658267994</v>
      </c>
      <c r="N216" s="130" t="n">
        <f aca="false">N215/N213</f>
        <v>0.85150682299328</v>
      </c>
      <c r="O216" s="130" t="n">
        <f aca="false">O215/O213</f>
        <v>0.851269109159929</v>
      </c>
      <c r="P216" s="130" t="n">
        <f aca="false">P215/P213</f>
        <v>0.850988626698532</v>
      </c>
      <c r="Q216" s="130" t="n">
        <f aca="false">Q215/Q213</f>
        <v>0.850657127003024</v>
      </c>
      <c r="R216" s="130" t="n">
        <f aca="false">R215/R213</f>
        <v>0.850264709842839</v>
      </c>
      <c r="S216" s="130" t="n">
        <f aca="false">S215/S213</f>
        <v>0.857520975395037</v>
      </c>
      <c r="T216" s="130" t="n">
        <f aca="false">T215/T213</f>
        <v>0.861375773105095</v>
      </c>
      <c r="U216" s="130" t="n">
        <f aca="false">U215/U213</f>
        <v>0.860771474153308</v>
      </c>
      <c r="V216" s="130" t="n">
        <f aca="false">V215/V213</f>
        <v>0.860051349265686</v>
      </c>
      <c r="W216" s="130" t="n">
        <f aca="false">W215/W213</f>
        <v>0.859191435465214</v>
      </c>
      <c r="X216" s="130" t="n">
        <f aca="false">X215/X213</f>
        <v>0.85816218724865</v>
      </c>
      <c r="Y216" s="130" t="n">
        <f aca="false">Y215/Y213</f>
        <v>0.856926902109103</v>
      </c>
      <c r="Z216" s="130" t="n">
        <f aca="false">Z215/Z213</f>
        <v>0.862713194298749</v>
      </c>
      <c r="AA216" s="130" t="n">
        <f aca="false">AA215/AA213</f>
        <v>0.865166911331416</v>
      </c>
      <c r="AB216" s="130" t="n">
        <f aca="false">AB215/AB213</f>
        <v>0.859318932231003</v>
      </c>
      <c r="AC216" s="130" t="n">
        <f aca="false">AC215/AC213</f>
        <v>0.857693205822851</v>
      </c>
    </row>
    <row r="218" customFormat="false" ht="12.8" hidden="false" customHeight="false" outlineLevel="0" collapsed="false">
      <c r="A218" s="1" t="s">
        <v>327</v>
      </c>
      <c r="B218" s="1" t="s">
        <v>575</v>
      </c>
      <c r="C218" s="1" t="n">
        <v>2024</v>
      </c>
      <c r="D218" s="1" t="n">
        <v>2025</v>
      </c>
      <c r="E218" s="1" t="n">
        <v>2026</v>
      </c>
      <c r="F218" s="1" t="n">
        <v>2027</v>
      </c>
      <c r="G218" s="1" t="n">
        <v>2028</v>
      </c>
      <c r="H218" s="1" t="n">
        <v>2029</v>
      </c>
      <c r="I218" s="1" t="n">
        <v>2030</v>
      </c>
      <c r="J218" s="1" t="n">
        <v>2031</v>
      </c>
      <c r="K218" s="1" t="n">
        <v>2032</v>
      </c>
      <c r="L218" s="1" t="n">
        <v>2033</v>
      </c>
      <c r="M218" s="1" t="n">
        <v>2034</v>
      </c>
      <c r="N218" s="1" t="n">
        <v>2035</v>
      </c>
      <c r="O218" s="1" t="n">
        <v>2036</v>
      </c>
      <c r="P218" s="1" t="n">
        <v>2037</v>
      </c>
      <c r="Q218" s="1" t="n">
        <v>2038</v>
      </c>
      <c r="R218" s="1" t="n">
        <v>2039</v>
      </c>
      <c r="S218" s="1" t="n">
        <v>2040</v>
      </c>
      <c r="T218" s="1" t="n">
        <v>2041</v>
      </c>
      <c r="U218" s="1" t="n">
        <v>2042</v>
      </c>
      <c r="V218" s="1" t="n">
        <v>2043</v>
      </c>
      <c r="W218" s="1" t="n">
        <v>2044</v>
      </c>
      <c r="X218" s="1" t="n">
        <v>2045</v>
      </c>
      <c r="Y218" s="1" t="n">
        <v>2046</v>
      </c>
      <c r="Z218" s="1" t="n">
        <v>2047</v>
      </c>
      <c r="AA218" s="1" t="n">
        <v>2048</v>
      </c>
      <c r="AB218" s="1" t="n">
        <v>2049</v>
      </c>
      <c r="AC218" s="1" t="n">
        <v>2050</v>
      </c>
    </row>
    <row r="219" customFormat="false" ht="12.8" hidden="false" customHeight="false" outlineLevel="0" collapsed="false">
      <c r="A219" s="1" t="s">
        <v>318</v>
      </c>
      <c r="B219" s="1" t="n">
        <f aca="false">B163</f>
        <v>6528.78601175795</v>
      </c>
      <c r="C219" s="1" t="n">
        <f aca="false">C163</f>
        <v>6528.78601175795</v>
      </c>
      <c r="D219" s="1" t="n">
        <f aca="false">D163</f>
        <v>6525.19021477551</v>
      </c>
      <c r="E219" s="1" t="n">
        <f aca="false">E163</f>
        <v>6521.15150021183</v>
      </c>
      <c r="F219" s="1" t="n">
        <f aca="false">F163</f>
        <v>6516.57681486302</v>
      </c>
      <c r="G219" s="1" t="n">
        <f aca="false">G163</f>
        <v>6511.35690173645</v>
      </c>
      <c r="H219" s="1" t="n">
        <f aca="false">H163</f>
        <v>6505.3633079086</v>
      </c>
      <c r="I219" s="1" t="n">
        <f aca="false">I163</f>
        <v>6493.13755465716</v>
      </c>
      <c r="J219" s="1" t="n">
        <f aca="false">J163</f>
        <v>6483.98909669445</v>
      </c>
      <c r="K219" s="1" t="n">
        <f aca="false">K163</f>
        <v>6473.31213681928</v>
      </c>
      <c r="L219" s="1" t="n">
        <f aca="false">L163</f>
        <v>6460.81646145383</v>
      </c>
      <c r="M219" s="1" t="n">
        <f aca="false">M163</f>
        <v>6446.15894641594</v>
      </c>
      <c r="N219" s="1" t="n">
        <f aca="false">N163</f>
        <v>6428.93377275348</v>
      </c>
      <c r="O219" s="1" t="n">
        <f aca="false">O163</f>
        <v>6409.83464292464</v>
      </c>
      <c r="P219" s="1" t="n">
        <f aca="false">P163</f>
        <v>6387.46004743634</v>
      </c>
      <c r="Q219" s="1" t="n">
        <f aca="false">Q163</f>
        <v>6361.2152023182</v>
      </c>
      <c r="R219" s="1" t="n">
        <f aca="false">R163</f>
        <v>6330.39817690257</v>
      </c>
      <c r="S219" s="1" t="n">
        <f aca="false">S163</f>
        <v>6294.18043469515</v>
      </c>
      <c r="T219" s="1" t="n">
        <f aca="false">T163</f>
        <v>6251.58383982472</v>
      </c>
      <c r="U219" s="1" t="n">
        <f aca="false">U163</f>
        <v>6201.45348625006</v>
      </c>
      <c r="V219" s="1" t="n">
        <f aca="false">V163</f>
        <v>6142.42558996003</v>
      </c>
      <c r="W219" s="1" t="n">
        <f aca="false">W163</f>
        <v>6072.88954618168</v>
      </c>
      <c r="X219" s="1" t="n">
        <f aca="false">X163</f>
        <v>5990.94309023739</v>
      </c>
      <c r="Y219" s="1" t="n">
        <f aca="false">Y163</f>
        <v>5894.33930758964</v>
      </c>
      <c r="Z219" s="1" t="n">
        <f aca="false">Z163</f>
        <v>5780.42401037011</v>
      </c>
      <c r="AA219" s="1" t="n">
        <f aca="false">AA163</f>
        <v>5646.06172791303</v>
      </c>
      <c r="AB219" s="1" t="n">
        <f aca="false">AB163</f>
        <v>5516.13949394997</v>
      </c>
      <c r="AC219" s="1" t="n">
        <f aca="false">AC163</f>
        <v>5393.42155534645</v>
      </c>
    </row>
    <row r="220" customFormat="false" ht="12.8" hidden="false" customHeight="false" outlineLevel="0" collapsed="false">
      <c r="A220" s="1" t="s">
        <v>321</v>
      </c>
      <c r="B220" s="1" t="n">
        <f aca="false">B186</f>
        <v>6528.78601175795</v>
      </c>
      <c r="C220" s="1" t="n">
        <f aca="false">C186</f>
        <v>6528.78601175795</v>
      </c>
      <c r="D220" s="1" t="n">
        <f aca="false">D186</f>
        <v>6433.39897384204</v>
      </c>
      <c r="E220" s="1" t="n">
        <f aca="false">E186</f>
        <v>6374.80548151566</v>
      </c>
      <c r="F220" s="1" t="n">
        <f aca="false">F186</f>
        <v>6206.56646287877</v>
      </c>
      <c r="G220" s="1" t="n">
        <f aca="false">G186</f>
        <v>6201.3465497522</v>
      </c>
      <c r="H220" s="1" t="n">
        <f aca="false">H186</f>
        <v>6195.35295592435</v>
      </c>
      <c r="I220" s="1" t="n">
        <f aca="false">I186</f>
        <v>6184.14608490846</v>
      </c>
      <c r="J220" s="1" t="n">
        <f aca="false">J186</f>
        <v>6175.26699275845</v>
      </c>
      <c r="K220" s="1" t="n">
        <f aca="false">K186</f>
        <v>6164.90348625944</v>
      </c>
      <c r="L220" s="1" t="n">
        <f aca="false">L186</f>
        <v>6147.68272340831</v>
      </c>
      <c r="M220" s="1" t="n">
        <f aca="false">M186</f>
        <v>6131.68617194589</v>
      </c>
      <c r="N220" s="1" t="n">
        <f aca="false">N186</f>
        <v>6114.962858259</v>
      </c>
      <c r="O220" s="1" t="n">
        <f aca="false">O186</f>
        <v>6096.45305301916</v>
      </c>
      <c r="P220" s="1" t="n">
        <f aca="false">P186</f>
        <v>6074.77139316951</v>
      </c>
      <c r="Q220" s="1" t="n">
        <f aca="false">Q186</f>
        <v>6049.34216642283</v>
      </c>
      <c r="R220" s="1" t="n">
        <f aca="false">R186</f>
        <v>6019.48597222489</v>
      </c>
      <c r="S220" s="1" t="n">
        <f aca="false">S186</f>
        <v>5981.58614840815</v>
      </c>
      <c r="T220" s="1" t="n">
        <f aca="false">T186</f>
        <v>5938.73510634704</v>
      </c>
      <c r="U220" s="1" t="n">
        <f aca="false">U186</f>
        <v>5890.18114891866</v>
      </c>
      <c r="V220" s="1" t="n">
        <f aca="false">V186</f>
        <v>5833.01401864328</v>
      </c>
      <c r="W220" s="1" t="n">
        <f aca="false">W186</f>
        <v>5765.67501513634</v>
      </c>
      <c r="X220" s="1" t="n">
        <f aca="false">X186</f>
        <v>5686.32321593837</v>
      </c>
      <c r="Y220" s="1" t="n">
        <f aca="false">Y186</f>
        <v>5592.78420476054</v>
      </c>
      <c r="Z220" s="1" t="n">
        <f aca="false">Z186</f>
        <v>5479.95620894269</v>
      </c>
      <c r="AA220" s="1" t="n">
        <f aca="false">AA186</f>
        <v>5348.44021595457</v>
      </c>
      <c r="AB220" s="1" t="n">
        <f aca="false">AB186</f>
        <v>5224.0748250669</v>
      </c>
      <c r="AC220" s="1" t="n">
        <f aca="false">AC186</f>
        <v>5105.239699406</v>
      </c>
    </row>
    <row r="221" customFormat="false" ht="12.8" hidden="false" customHeight="false" outlineLevel="0" collapsed="false">
      <c r="A221" s="1" t="s">
        <v>325</v>
      </c>
      <c r="B221" s="1" t="n">
        <f aca="false">B219-B220</f>
        <v>0</v>
      </c>
      <c r="C221" s="1" t="n">
        <f aca="false">C219-C220</f>
        <v>0</v>
      </c>
      <c r="D221" s="1" t="n">
        <f aca="false">D219-D220</f>
        <v>91.7912409334722</v>
      </c>
      <c r="E221" s="1" t="n">
        <f aca="false">E219-E220</f>
        <v>146.346018696166</v>
      </c>
      <c r="F221" s="1" t="n">
        <f aca="false">F219-F220</f>
        <v>310.01035198425</v>
      </c>
      <c r="G221" s="1" t="n">
        <f aca="false">G219-G220</f>
        <v>310.01035198425</v>
      </c>
      <c r="H221" s="1" t="n">
        <f aca="false">H219-H220</f>
        <v>310.01035198425</v>
      </c>
      <c r="I221" s="1" t="n">
        <f aca="false">I219-I220</f>
        <v>308.991469748698</v>
      </c>
      <c r="J221" s="1" t="n">
        <f aca="false">J219-J220</f>
        <v>308.722103935993</v>
      </c>
      <c r="K221" s="1" t="n">
        <f aca="false">K219-K220</f>
        <v>308.408650559834</v>
      </c>
      <c r="L221" s="1" t="n">
        <f aca="false">L219-L220</f>
        <v>313.133738045523</v>
      </c>
      <c r="M221" s="1" t="n">
        <f aca="false">M219-M220</f>
        <v>314.472774470051</v>
      </c>
      <c r="N221" s="1" t="n">
        <f aca="false">N219-N220</f>
        <v>313.970914494481</v>
      </c>
      <c r="O221" s="1" t="n">
        <f aca="false">O219-O220</f>
        <v>313.381589905484</v>
      </c>
      <c r="P221" s="1" t="n">
        <f aca="false">P219-P220</f>
        <v>312.688654266824</v>
      </c>
      <c r="Q221" s="1" t="n">
        <f aca="false">Q219-Q220</f>
        <v>311.873035895372</v>
      </c>
      <c r="R221" s="1" t="n">
        <f aca="false">R219-R220</f>
        <v>310.912204677671</v>
      </c>
      <c r="S221" s="1" t="n">
        <f aca="false">S219-S220</f>
        <v>312.594286286994</v>
      </c>
      <c r="T221" s="1" t="n">
        <f aca="false">T219-T220</f>
        <v>312.848733477682</v>
      </c>
      <c r="U221" s="1" t="n">
        <f aca="false">U219-U220</f>
        <v>311.272337331395</v>
      </c>
      <c r="V221" s="1" t="n">
        <f aca="false">V219-V220</f>
        <v>309.411571316749</v>
      </c>
      <c r="W221" s="1" t="n">
        <f aca="false">W219-W220</f>
        <v>307.214531045336</v>
      </c>
      <c r="X221" s="1" t="n">
        <f aca="false">X219-X220</f>
        <v>304.619874299019</v>
      </c>
      <c r="Y221" s="1" t="n">
        <f aca="false">Y219-Y220</f>
        <v>301.555102829097</v>
      </c>
      <c r="Z221" s="1" t="n">
        <f aca="false">Z219-Z220</f>
        <v>300.467801427412</v>
      </c>
      <c r="AA221" s="1" t="n">
        <f aca="false">AA219-AA220</f>
        <v>297.62151195846</v>
      </c>
      <c r="AB221" s="1" t="n">
        <f aca="false">AB219-AB220</f>
        <v>292.064668883068</v>
      </c>
      <c r="AC221" s="1" t="n">
        <f aca="false">AC219-AC220</f>
        <v>288.181855940448</v>
      </c>
    </row>
    <row r="222" customFormat="false" ht="12.8" hidden="false" customHeight="false" outlineLevel="0" collapsed="false">
      <c r="A222" s="130" t="s">
        <v>326</v>
      </c>
      <c r="B222" s="130" t="n">
        <f aca="false">B221/B219</f>
        <v>0</v>
      </c>
      <c r="C222" s="130" t="n">
        <f aca="false">C221/C219</f>
        <v>0</v>
      </c>
      <c r="D222" s="130" t="n">
        <f aca="false">D221/D219</f>
        <v>0.0140672130485364</v>
      </c>
      <c r="E222" s="130" t="n">
        <f aca="false">E221/E219</f>
        <v>0.0224417449420416</v>
      </c>
      <c r="F222" s="130" t="n">
        <f aca="false">F221/F219</f>
        <v>0.0475725769513186</v>
      </c>
      <c r="G222" s="130" t="n">
        <f aca="false">G221/G219</f>
        <v>0.0476107141203665</v>
      </c>
      <c r="H222" s="130" t="n">
        <f aca="false">H221/H219</f>
        <v>0.0476545793541413</v>
      </c>
      <c r="I222" s="130" t="n">
        <f aca="false">I221/I219</f>
        <v>0.047587390094189</v>
      </c>
      <c r="J222" s="130" t="n">
        <f aca="false">J221/J219</f>
        <v>0.0476129893699822</v>
      </c>
      <c r="K222" s="130" t="n">
        <f aca="false">K221/K219</f>
        <v>0.0476430989331798</v>
      </c>
      <c r="L222" s="130" t="n">
        <f aca="false">L221/L219</f>
        <v>0.0484665893101475</v>
      </c>
      <c r="M222" s="130" t="n">
        <f aca="false">M221/M219</f>
        <v>0.0487845206865242</v>
      </c>
      <c r="N222" s="130" t="n">
        <f aca="false">N221/N219</f>
        <v>0.0488371673426041</v>
      </c>
      <c r="O222" s="130" t="n">
        <f aca="false">O221/O219</f>
        <v>0.0488907448262186</v>
      </c>
      <c r="P222" s="130" t="n">
        <f aca="false">P221/P219</f>
        <v>0.0489535201699343</v>
      </c>
      <c r="Q222" s="130" t="n">
        <f aca="false">Q221/Q219</f>
        <v>0.0490272732451681</v>
      </c>
      <c r="R222" s="130" t="n">
        <f aca="false">R221/R219</f>
        <v>0.0491141624885591</v>
      </c>
      <c r="S222" s="130" t="n">
        <f aca="false">S221/S219</f>
        <v>0.0496640173459111</v>
      </c>
      <c r="T222" s="130" t="n">
        <f aca="false">T221/T219</f>
        <v>0.0500431157116903</v>
      </c>
      <c r="U222" s="130" t="n">
        <f aca="false">U221/U219</f>
        <v>0.0501934486844982</v>
      </c>
      <c r="V222" s="130" t="n">
        <f aca="false">V221/V219</f>
        <v>0.050372864397819</v>
      </c>
      <c r="W222" s="130" t="n">
        <f aca="false">W221/W219</f>
        <v>0.0505878673914787</v>
      </c>
      <c r="X222" s="130" t="n">
        <f aca="false">X221/X219</f>
        <v>0.0508467314262117</v>
      </c>
      <c r="Y222" s="130" t="n">
        <f aca="false">Y221/Y219</f>
        <v>0.0511601194116549</v>
      </c>
      <c r="Z222" s="130" t="n">
        <f aca="false">Z221/Z219</f>
        <v>0.0519802355135837</v>
      </c>
      <c r="AA222" s="130" t="n">
        <f aca="false">AA221/AA219</f>
        <v>0.0527131169124626</v>
      </c>
      <c r="AB222" s="130" t="n">
        <f aca="false">AB221/AB219</f>
        <v>0.0529472956953682</v>
      </c>
      <c r="AC222" s="130" t="n">
        <f aca="false">AC221/AC219</f>
        <v>0.0534321029764076</v>
      </c>
    </row>
    <row r="224" customFormat="false" ht="12.8" hidden="false" customHeight="false" outlineLevel="0" collapsed="false">
      <c r="A224" s="1" t="s">
        <v>577</v>
      </c>
    </row>
    <row r="225" customFormat="false" ht="12.8" hidden="false" customHeight="false" outlineLevel="0" collapsed="false">
      <c r="A225" s="1" t="s">
        <v>318</v>
      </c>
      <c r="B225" s="1" t="n">
        <f aca="false">B163</f>
        <v>6528.78601175795</v>
      </c>
      <c r="C225" s="1" t="n">
        <f aca="false">C163</f>
        <v>6528.78601175795</v>
      </c>
      <c r="D225" s="1" t="n">
        <f aca="false">D163</f>
        <v>6525.19021477551</v>
      </c>
      <c r="E225" s="1" t="n">
        <f aca="false">E163</f>
        <v>6521.15150021183</v>
      </c>
      <c r="F225" s="1" t="n">
        <f aca="false">F163</f>
        <v>6516.57681486302</v>
      </c>
      <c r="G225" s="1" t="n">
        <f aca="false">G163</f>
        <v>6511.35690173645</v>
      </c>
      <c r="H225" s="1" t="n">
        <f aca="false">H163</f>
        <v>6505.3633079086</v>
      </c>
      <c r="I225" s="1" t="n">
        <f aca="false">I163</f>
        <v>6493.13755465716</v>
      </c>
      <c r="J225" s="1" t="n">
        <f aca="false">J163</f>
        <v>6483.98909669445</v>
      </c>
      <c r="K225" s="1" t="n">
        <f aca="false">K163</f>
        <v>6473.31213681928</v>
      </c>
      <c r="L225" s="1" t="n">
        <f aca="false">L163</f>
        <v>6460.81646145383</v>
      </c>
      <c r="M225" s="1" t="n">
        <f aca="false">M163</f>
        <v>6446.15894641594</v>
      </c>
      <c r="N225" s="1" t="n">
        <f aca="false">N163</f>
        <v>6428.93377275348</v>
      </c>
      <c r="O225" s="1" t="n">
        <f aca="false">O163</f>
        <v>6409.83464292464</v>
      </c>
      <c r="P225" s="1" t="n">
        <f aca="false">P163</f>
        <v>6387.46004743634</v>
      </c>
      <c r="Q225" s="1" t="n">
        <f aca="false">Q163</f>
        <v>6361.2152023182</v>
      </c>
      <c r="R225" s="1" t="n">
        <f aca="false">R163</f>
        <v>6330.39817690257</v>
      </c>
      <c r="S225" s="1" t="n">
        <f aca="false">S163</f>
        <v>6294.18043469515</v>
      </c>
      <c r="T225" s="1" t="n">
        <f aca="false">T163</f>
        <v>6251.58383982472</v>
      </c>
      <c r="U225" s="1" t="n">
        <f aca="false">U163</f>
        <v>6201.45348625006</v>
      </c>
      <c r="V225" s="1" t="n">
        <f aca="false">V163</f>
        <v>6142.42558996003</v>
      </c>
      <c r="W225" s="1" t="n">
        <f aca="false">W163</f>
        <v>6072.88954618168</v>
      </c>
      <c r="X225" s="1" t="n">
        <f aca="false">X163</f>
        <v>5990.94309023739</v>
      </c>
      <c r="Y225" s="1" t="n">
        <f aca="false">Y163</f>
        <v>5894.33930758964</v>
      </c>
      <c r="Z225" s="1" t="n">
        <f aca="false">Z163</f>
        <v>5780.42401037011</v>
      </c>
      <c r="AA225" s="1" t="n">
        <f aca="false">AA163</f>
        <v>5646.06172791303</v>
      </c>
      <c r="AB225" s="1" t="n">
        <f aca="false">AB163</f>
        <v>5516.13949394997</v>
      </c>
      <c r="AC225" s="1" t="n">
        <f aca="false">AC163</f>
        <v>5393.42155534645</v>
      </c>
    </row>
    <row r="226" customFormat="false" ht="12.8" hidden="false" customHeight="false" outlineLevel="0" collapsed="false">
      <c r="A226" s="1" t="s">
        <v>322</v>
      </c>
      <c r="B226" s="1" t="n">
        <f aca="false">B194</f>
        <v>6528.78601175795</v>
      </c>
      <c r="C226" s="1" t="n">
        <f aca="false">C194</f>
        <v>6528.78601175795</v>
      </c>
      <c r="D226" s="1" t="n">
        <f aca="false">D194</f>
        <v>6397.16490447759</v>
      </c>
      <c r="E226" s="1" t="n">
        <f aca="false">E194</f>
        <v>6304.98717635623</v>
      </c>
      <c r="F226" s="1" t="n">
        <f aca="false">F194</f>
        <v>6096.47299115363</v>
      </c>
      <c r="G226" s="1" t="n">
        <f aca="false">G194</f>
        <v>6042.96708422293</v>
      </c>
      <c r="H226" s="1" t="n">
        <f aca="false">H194</f>
        <v>5979.08170567278</v>
      </c>
      <c r="I226" s="1" t="n">
        <f aca="false">I194</f>
        <v>5902.73537270102</v>
      </c>
      <c r="J226" s="1" t="n">
        <f aca="false">J194</f>
        <v>5811.41004694527</v>
      </c>
      <c r="K226" s="1" t="n">
        <f aca="false">K194</f>
        <v>5708.62254547951</v>
      </c>
      <c r="L226" s="1" t="n">
        <f aca="false">L194</f>
        <v>5574.89056719683</v>
      </c>
      <c r="M226" s="1" t="n">
        <f aca="false">M194</f>
        <v>5417.17766183265</v>
      </c>
      <c r="N226" s="1" t="n">
        <f aca="false">N194</f>
        <v>5227.39511102719</v>
      </c>
      <c r="O226" s="1" t="n">
        <f aca="false">O194</f>
        <v>4995.42774458894</v>
      </c>
      <c r="P226" s="1" t="n">
        <f aca="false">P194</f>
        <v>4764.89287089242</v>
      </c>
      <c r="Q226" s="1" t="n">
        <f aca="false">Q194</f>
        <v>4530.18242497994</v>
      </c>
      <c r="R226" s="1" t="n">
        <f aca="false">R194</f>
        <v>4282.20381867296</v>
      </c>
      <c r="S226" s="1" t="n">
        <f aca="false">S194</f>
        <v>4006.0470721117</v>
      </c>
      <c r="T226" s="1" t="n">
        <f aca="false">T194</f>
        <v>3711.7242058953</v>
      </c>
      <c r="U226" s="1" t="n">
        <f aca="false">U194</f>
        <v>3441.93602126299</v>
      </c>
      <c r="V226" s="1" t="n">
        <f aca="false">V194</f>
        <v>3198.46939501026</v>
      </c>
      <c r="W226" s="1" t="n">
        <f aca="false">W194</f>
        <v>2984.90799718244</v>
      </c>
      <c r="X226" s="1" t="n">
        <f aca="false">X194</f>
        <v>2804.9091295974</v>
      </c>
      <c r="Y226" s="1" t="n">
        <f aca="false">Y194</f>
        <v>2668.12414917476</v>
      </c>
      <c r="Z226" s="1" t="n">
        <f aca="false">Z194</f>
        <v>2566.25944778212</v>
      </c>
      <c r="AA226" s="1" t="n">
        <f aca="false">AA194</f>
        <v>2499.32280975642</v>
      </c>
      <c r="AB226" s="1" t="n">
        <f aca="false">AB194</f>
        <v>2429.35340484529</v>
      </c>
      <c r="AC226" s="1" t="n">
        <f aca="false">AC194</f>
        <v>2351.52657727914</v>
      </c>
    </row>
    <row r="227" customFormat="false" ht="12.8" hidden="false" customHeight="false" outlineLevel="0" collapsed="false">
      <c r="A227" s="1" t="s">
        <v>325</v>
      </c>
      <c r="B227" s="1" t="n">
        <f aca="false">B225-B226</f>
        <v>0</v>
      </c>
      <c r="C227" s="1" t="n">
        <f aca="false">C225-C226</f>
        <v>0</v>
      </c>
      <c r="D227" s="1" t="n">
        <f aca="false">D225-D226</f>
        <v>128.025310297922</v>
      </c>
      <c r="E227" s="1" t="n">
        <f aca="false">E225-E226</f>
        <v>216.164323855601</v>
      </c>
      <c r="F227" s="1" t="n">
        <f aca="false">F225-F226</f>
        <v>420.103823709387</v>
      </c>
      <c r="G227" s="1" t="n">
        <f aca="false">G225-G226</f>
        <v>468.38981751352</v>
      </c>
      <c r="H227" s="1" t="n">
        <f aca="false">H225-H226</f>
        <v>526.281602235817</v>
      </c>
      <c r="I227" s="1" t="n">
        <f aca="false">I225-I226</f>
        <v>590.402181956139</v>
      </c>
      <c r="J227" s="1" t="n">
        <f aca="false">J225-J226</f>
        <v>672.579049749172</v>
      </c>
      <c r="K227" s="1" t="n">
        <f aca="false">K225-K226</f>
        <v>764.689591339766</v>
      </c>
      <c r="L227" s="1" t="n">
        <f aca="false">L225-L226</f>
        <v>885.925894257</v>
      </c>
      <c r="M227" s="1" t="n">
        <f aca="false">M225-M226</f>
        <v>1028.98128458329</v>
      </c>
      <c r="N227" s="1" t="n">
        <f aca="false">N225-N226</f>
        <v>1201.53866172629</v>
      </c>
      <c r="O227" s="1" t="n">
        <f aca="false">O225-O226</f>
        <v>1414.4068983357</v>
      </c>
      <c r="P227" s="1" t="n">
        <f aca="false">P225-P226</f>
        <v>1622.56717654391</v>
      </c>
      <c r="Q227" s="1" t="n">
        <f aca="false">Q225-Q226</f>
        <v>1831.03277733826</v>
      </c>
      <c r="R227" s="1" t="n">
        <f aca="false">R225-R226</f>
        <v>2048.19435822961</v>
      </c>
      <c r="S227" s="1" t="n">
        <f aca="false">S225-S226</f>
        <v>2288.13336258345</v>
      </c>
      <c r="T227" s="1" t="n">
        <f aca="false">T225-T226</f>
        <v>2539.85963392942</v>
      </c>
      <c r="U227" s="1" t="n">
        <f aca="false">U225-U226</f>
        <v>2759.51746498707</v>
      </c>
      <c r="V227" s="1" t="n">
        <f aca="false">V225-V226</f>
        <v>2943.95619494977</v>
      </c>
      <c r="W227" s="1" t="n">
        <f aca="false">W225-W226</f>
        <v>3087.98154899924</v>
      </c>
      <c r="X227" s="1" t="n">
        <f aca="false">X225-X226</f>
        <v>3186.03396063999</v>
      </c>
      <c r="Y227" s="1" t="n">
        <f aca="false">Y225-Y226</f>
        <v>3226.21515841488</v>
      </c>
      <c r="Z227" s="1" t="n">
        <f aca="false">Z225-Z226</f>
        <v>3214.16456258799</v>
      </c>
      <c r="AA227" s="1" t="n">
        <f aca="false">AA225-AA226</f>
        <v>3146.73891815661</v>
      </c>
      <c r="AB227" s="1" t="n">
        <f aca="false">AB225-AB226</f>
        <v>3086.78608910468</v>
      </c>
      <c r="AC227" s="1" t="n">
        <f aca="false">AC225-AC226</f>
        <v>3041.89497806732</v>
      </c>
    </row>
    <row r="228" customFormat="false" ht="12.8" hidden="false" customHeight="false" outlineLevel="0" collapsed="false">
      <c r="A228" s="130" t="s">
        <v>326</v>
      </c>
      <c r="B228" s="130" t="n">
        <f aca="false">B227/B225</f>
        <v>0</v>
      </c>
      <c r="C228" s="130" t="n">
        <f aca="false">C227/C225</f>
        <v>0</v>
      </c>
      <c r="D228" s="130" t="n">
        <f aca="false">D227/D225</f>
        <v>0.0196201652494397</v>
      </c>
      <c r="E228" s="130" t="n">
        <f aca="false">E227/E225</f>
        <v>0.0331481830852387</v>
      </c>
      <c r="F228" s="130" t="n">
        <f aca="false">F227/F225</f>
        <v>0.0644669487745796</v>
      </c>
      <c r="G228" s="130" t="n">
        <f aca="false">G227/G225</f>
        <v>0.0719342872126407</v>
      </c>
      <c r="H228" s="130" t="n">
        <f aca="false">H227/H225</f>
        <v>0.0808996480789957</v>
      </c>
      <c r="I228" s="130" t="n">
        <f aca="false">I227/I225</f>
        <v>0.0909271021884754</v>
      </c>
      <c r="J228" s="130" t="n">
        <f aca="false">J227/J225</f>
        <v>0.103729207393648</v>
      </c>
      <c r="K228" s="130" t="n">
        <f aca="false">K227/K225</f>
        <v>0.118129571875628</v>
      </c>
      <c r="L228" s="130" t="n">
        <f aca="false">L227/L225</f>
        <v>0.137122900726644</v>
      </c>
      <c r="M228" s="130" t="n">
        <f aca="false">M227/M225</f>
        <v>0.159627041954249</v>
      </c>
      <c r="N228" s="130" t="n">
        <f aca="false">N227/N225</f>
        <v>0.186895479747908</v>
      </c>
      <c r="O228" s="130" t="n">
        <f aca="false">O227/O225</f>
        <v>0.220661994751606</v>
      </c>
      <c r="P228" s="130" t="n">
        <f aca="false">P227/P225</f>
        <v>0.254023847428235</v>
      </c>
      <c r="Q228" s="130" t="n">
        <f aca="false">Q227/Q225</f>
        <v>0.287843237353609</v>
      </c>
      <c r="R228" s="130" t="n">
        <f aca="false">R227/R225</f>
        <v>0.323549056630081</v>
      </c>
      <c r="S228" s="130" t="n">
        <f aca="false">S227/S225</f>
        <v>0.363531580691692</v>
      </c>
      <c r="T228" s="130" t="n">
        <f aca="false">T227/T225</f>
        <v>0.406274585609753</v>
      </c>
      <c r="U228" s="130" t="n">
        <f aca="false">U227/U225</f>
        <v>0.444979144180555</v>
      </c>
      <c r="V228" s="130" t="n">
        <f aca="false">V227/V225</f>
        <v>0.479282353824807</v>
      </c>
      <c r="W228" s="130" t="n">
        <f aca="false">W227/W225</f>
        <v>0.508486368065232</v>
      </c>
      <c r="X228" s="130" t="n">
        <f aca="false">X227/X225</f>
        <v>0.531808416913829</v>
      </c>
      <c r="Y228" s="130" t="n">
        <f aca="false">Y227/Y225</f>
        <v>0.547341269319322</v>
      </c>
      <c r="Z228" s="130" t="n">
        <f aca="false">Z227/Z225</f>
        <v>0.556043044043441</v>
      </c>
      <c r="AA228" s="130" t="n">
        <f aca="false">AA227/AA225</f>
        <v>0.557333424570926</v>
      </c>
      <c r="AB228" s="130" t="n">
        <f aca="false">AB227/AB225</f>
        <v>0.559591738477649</v>
      </c>
      <c r="AC228" s="130" t="n">
        <f aca="false">AC227/AC225</f>
        <v>0.564000968003681</v>
      </c>
    </row>
    <row r="230" customFormat="false" ht="12.8" hidden="false" customHeight="false" outlineLevel="0" collapsed="false">
      <c r="A230" s="1" t="s">
        <v>578</v>
      </c>
    </row>
    <row r="231" customFormat="false" ht="12.8" hidden="false" customHeight="false" outlineLevel="0" collapsed="false">
      <c r="A231" s="1" t="s">
        <v>318</v>
      </c>
      <c r="B231" s="1" t="n">
        <f aca="false">B163</f>
        <v>6528.78601175795</v>
      </c>
      <c r="C231" s="1" t="n">
        <f aca="false">C163</f>
        <v>6528.78601175795</v>
      </c>
      <c r="D231" s="1" t="n">
        <f aca="false">D163</f>
        <v>6525.19021477551</v>
      </c>
      <c r="E231" s="1" t="n">
        <f aca="false">E163</f>
        <v>6521.15150021183</v>
      </c>
      <c r="F231" s="1" t="n">
        <f aca="false">F163</f>
        <v>6516.57681486302</v>
      </c>
      <c r="G231" s="1" t="n">
        <f aca="false">G163</f>
        <v>6511.35690173645</v>
      </c>
      <c r="H231" s="1" t="n">
        <f aca="false">H163</f>
        <v>6505.3633079086</v>
      </c>
      <c r="I231" s="1" t="n">
        <f aca="false">I163</f>
        <v>6493.13755465716</v>
      </c>
      <c r="J231" s="1" t="n">
        <f aca="false">J163</f>
        <v>6483.98909669445</v>
      </c>
      <c r="K231" s="1" t="n">
        <f aca="false">K163</f>
        <v>6473.31213681928</v>
      </c>
      <c r="L231" s="1" t="n">
        <f aca="false">L163</f>
        <v>6460.81646145383</v>
      </c>
      <c r="M231" s="1" t="n">
        <f aca="false">M163</f>
        <v>6446.15894641594</v>
      </c>
      <c r="N231" s="1" t="n">
        <f aca="false">N163</f>
        <v>6428.93377275348</v>
      </c>
      <c r="O231" s="1" t="n">
        <f aca="false">O163</f>
        <v>6409.83464292464</v>
      </c>
      <c r="P231" s="1" t="n">
        <f aca="false">P163</f>
        <v>6387.46004743634</v>
      </c>
      <c r="Q231" s="1" t="n">
        <f aca="false">Q163</f>
        <v>6361.2152023182</v>
      </c>
      <c r="R231" s="1" t="n">
        <f aca="false">R163</f>
        <v>6330.39817690257</v>
      </c>
      <c r="S231" s="1" t="n">
        <f aca="false">S163</f>
        <v>6294.18043469515</v>
      </c>
      <c r="T231" s="1" t="n">
        <f aca="false">T163</f>
        <v>6251.58383982472</v>
      </c>
      <c r="U231" s="1" t="n">
        <f aca="false">U163</f>
        <v>6201.45348625006</v>
      </c>
      <c r="V231" s="1" t="n">
        <f aca="false">V163</f>
        <v>6142.42558996003</v>
      </c>
      <c r="W231" s="1" t="n">
        <f aca="false">W163</f>
        <v>6072.88954618168</v>
      </c>
      <c r="X231" s="1" t="n">
        <f aca="false">X163</f>
        <v>5990.94309023739</v>
      </c>
      <c r="Y231" s="1" t="n">
        <f aca="false">Y163</f>
        <v>5894.33930758964</v>
      </c>
      <c r="Z231" s="1" t="n">
        <f aca="false">Z163</f>
        <v>5780.42401037011</v>
      </c>
      <c r="AA231" s="1" t="n">
        <f aca="false">AA163</f>
        <v>5646.06172791303</v>
      </c>
      <c r="AB231" s="1" t="n">
        <f aca="false">AB163</f>
        <v>5516.13949394997</v>
      </c>
      <c r="AC231" s="1" t="n">
        <f aca="false">AC163</f>
        <v>5393.42155534645</v>
      </c>
    </row>
    <row r="232" customFormat="false" ht="12.8" hidden="false" customHeight="false" outlineLevel="0" collapsed="false">
      <c r="A232" s="1" t="s">
        <v>42</v>
      </c>
      <c r="B232" s="1" t="n">
        <f aca="false">B206</f>
        <v>6528.78601175795</v>
      </c>
      <c r="C232" s="1" t="n">
        <f aca="false">C206</f>
        <v>6528.78601175795</v>
      </c>
      <c r="D232" s="1" t="n">
        <f aca="false">D206</f>
        <v>6360.90871600801</v>
      </c>
      <c r="E232" s="1" t="n">
        <f aca="false">E206</f>
        <v>6232.18014089117</v>
      </c>
      <c r="F232" s="1" t="n">
        <f aca="false">F206</f>
        <v>5980.2098381462</v>
      </c>
      <c r="G232" s="1" t="n">
        <f aca="false">G206</f>
        <v>5875.0098789686</v>
      </c>
      <c r="H232" s="1" t="n">
        <f aca="false">H206</f>
        <v>5745.66884780901</v>
      </c>
      <c r="I232" s="1" t="n">
        <f aca="false">I206</f>
        <v>5589.36455152913</v>
      </c>
      <c r="J232" s="1" t="n">
        <f aca="false">J206</f>
        <v>5399.82039689736</v>
      </c>
      <c r="K232" s="1" t="n">
        <f aca="false">K206</f>
        <v>5195.34246638446</v>
      </c>
      <c r="L232" s="1" t="n">
        <f aca="false">L206</f>
        <v>4944.8172501226</v>
      </c>
      <c r="M232" s="1" t="n">
        <f aca="false">M206</f>
        <v>4647.69267643969</v>
      </c>
      <c r="N232" s="1" t="n">
        <f aca="false">N206</f>
        <v>4291.20161571492</v>
      </c>
      <c r="O232" s="1" t="n">
        <f aca="false">O206</f>
        <v>3882.04848458231</v>
      </c>
      <c r="P232" s="1" t="n">
        <f aca="false">P206</f>
        <v>3394.6846309426</v>
      </c>
      <c r="Q232" s="1" t="n">
        <f aca="false">Q206</f>
        <v>2931.76710092277</v>
      </c>
      <c r="R232" s="1" t="n">
        <f aca="false">R206</f>
        <v>2529.69006358918</v>
      </c>
      <c r="S232" s="1" t="n">
        <f aca="false">S206</f>
        <v>2159.1149118701</v>
      </c>
      <c r="T232" s="1" t="n">
        <f aca="false">T206</f>
        <v>1828.0818646966</v>
      </c>
      <c r="U232" s="1" t="n">
        <f aca="false">U206</f>
        <v>1617.25998295469</v>
      </c>
      <c r="V232" s="1" t="n">
        <f aca="false">V206</f>
        <v>1581.26382220505</v>
      </c>
      <c r="W232" s="1" t="n">
        <f aca="false">W206</f>
        <v>1581.26382220505</v>
      </c>
      <c r="X232" s="1" t="n">
        <f aca="false">X206</f>
        <v>1581.26382220505</v>
      </c>
      <c r="Y232" s="1" t="n">
        <f aca="false">Y206</f>
        <v>1581.26382220505</v>
      </c>
      <c r="Z232" s="1" t="n">
        <f aca="false">Z206</f>
        <v>1578.73055225091</v>
      </c>
      <c r="AA232" s="1" t="n">
        <f aca="false">AA206</f>
        <v>1577.29919792705</v>
      </c>
      <c r="AB232" s="1" t="n">
        <f aca="false">AB206</f>
        <v>1578.73055225091</v>
      </c>
      <c r="AC232" s="1" t="n">
        <f aca="false">AC206</f>
        <v>1578.73055225091</v>
      </c>
    </row>
    <row r="233" customFormat="false" ht="12.8" hidden="false" customHeight="false" outlineLevel="0" collapsed="false">
      <c r="A233" s="1" t="s">
        <v>325</v>
      </c>
      <c r="B233" s="1" t="n">
        <f aca="false">B231-B232</f>
        <v>0</v>
      </c>
      <c r="C233" s="1" t="n">
        <f aca="false">C231-C232</f>
        <v>0</v>
      </c>
      <c r="D233" s="1" t="n">
        <f aca="false">D231-D232</f>
        <v>164.281498767505</v>
      </c>
      <c r="E233" s="1" t="n">
        <f aca="false">E231-E232</f>
        <v>288.971359320659</v>
      </c>
      <c r="F233" s="1" t="n">
        <f aca="false">F231-F232</f>
        <v>536.366976716812</v>
      </c>
      <c r="G233" s="1" t="n">
        <f aca="false">G231-G232</f>
        <v>636.34702276785</v>
      </c>
      <c r="H233" s="1" t="n">
        <f aca="false">H231-H232</f>
        <v>759.694460099585</v>
      </c>
      <c r="I233" s="1" t="n">
        <f aca="false">I231-I232</f>
        <v>903.773003128031</v>
      </c>
      <c r="J233" s="1" t="n">
        <f aca="false">J231-J232</f>
        <v>1084.16869979709</v>
      </c>
      <c r="K233" s="1" t="n">
        <f aca="false">K231-K232</f>
        <v>1277.96967043482</v>
      </c>
      <c r="L233" s="1" t="n">
        <f aca="false">L231-L232</f>
        <v>1515.99921133123</v>
      </c>
      <c r="M233" s="1" t="n">
        <f aca="false">M231-M232</f>
        <v>1798.46626997625</v>
      </c>
      <c r="N233" s="1" t="n">
        <f aca="false">N231-N232</f>
        <v>2137.73215703857</v>
      </c>
      <c r="O233" s="1" t="n">
        <f aca="false">O231-O232</f>
        <v>2527.78615834233</v>
      </c>
      <c r="P233" s="1" t="n">
        <f aca="false">P231-P232</f>
        <v>2992.77541649373</v>
      </c>
      <c r="Q233" s="1" t="n">
        <f aca="false">Q231-Q232</f>
        <v>3429.44810139543</v>
      </c>
      <c r="R233" s="1" t="n">
        <f aca="false">R231-R232</f>
        <v>3800.70811331339</v>
      </c>
      <c r="S233" s="1" t="n">
        <f aca="false">S231-S232</f>
        <v>4135.06552282504</v>
      </c>
      <c r="T233" s="1" t="n">
        <f aca="false">T231-T232</f>
        <v>4423.50197512812</v>
      </c>
      <c r="U233" s="1" t="n">
        <f aca="false">U231-U232</f>
        <v>4584.19350329536</v>
      </c>
      <c r="V233" s="1" t="n">
        <f aca="false">V231-V232</f>
        <v>4561.16176775498</v>
      </c>
      <c r="W233" s="1" t="n">
        <f aca="false">W231-W232</f>
        <v>4491.62572397663</v>
      </c>
      <c r="X233" s="1" t="n">
        <f aca="false">X231-X232</f>
        <v>4409.67926803234</v>
      </c>
      <c r="Y233" s="1" t="n">
        <f aca="false">Y231-Y232</f>
        <v>4313.07548538459</v>
      </c>
      <c r="Z233" s="1" t="n">
        <f aca="false">Z231-Z232</f>
        <v>4201.69345811919</v>
      </c>
      <c r="AA233" s="1" t="n">
        <f aca="false">AA231-AA232</f>
        <v>4068.76252998598</v>
      </c>
      <c r="AB233" s="1" t="n">
        <f aca="false">AB231-AB232</f>
        <v>3937.40894169906</v>
      </c>
      <c r="AC233" s="1" t="n">
        <f aca="false">AC231-AC232</f>
        <v>3814.69100309554</v>
      </c>
    </row>
    <row r="234" customFormat="false" ht="12.8" hidden="false" customHeight="false" outlineLevel="0" collapsed="false">
      <c r="A234" s="130" t="s">
        <v>326</v>
      </c>
      <c r="B234" s="130" t="n">
        <f aca="false">B233/B231</f>
        <v>0</v>
      </c>
      <c r="C234" s="130" t="n">
        <f aca="false">C233/C231</f>
        <v>0</v>
      </c>
      <c r="D234" s="130" t="n">
        <f aca="false">D233/D231</f>
        <v>0.0251765072526942</v>
      </c>
      <c r="E234" s="130" t="n">
        <f aca="false">E233/E231</f>
        <v>0.0443129345041703</v>
      </c>
      <c r="F234" s="130" t="n">
        <f aca="false">F233/F231</f>
        <v>0.0823080878128323</v>
      </c>
      <c r="G234" s="130" t="n">
        <f aca="false">G233/G231</f>
        <v>0.0977287886950489</v>
      </c>
      <c r="H234" s="130" t="n">
        <f aca="false">H233/H231</f>
        <v>0.116779713006347</v>
      </c>
      <c r="I234" s="130" t="n">
        <f aca="false">I233/I231</f>
        <v>0.13918895072226</v>
      </c>
      <c r="J234" s="130" t="n">
        <f aca="false">J233/J231</f>
        <v>0.167207051651243</v>
      </c>
      <c r="K234" s="130" t="n">
        <f aca="false">K233/K231</f>
        <v>0.197421295841106</v>
      </c>
      <c r="L234" s="130" t="n">
        <f aca="false">L233/L231</f>
        <v>0.234645144367729</v>
      </c>
      <c r="M234" s="130" t="n">
        <f aca="false">M233/M231</f>
        <v>0.278998126624879</v>
      </c>
      <c r="N234" s="130" t="n">
        <f aca="false">N233/N231</f>
        <v>0.33251737109169</v>
      </c>
      <c r="O234" s="130" t="n">
        <f aca="false">O233/O231</f>
        <v>0.39436058793382</v>
      </c>
      <c r="P234" s="130" t="n">
        <f aca="false">P233/P231</f>
        <v>0.46853919934809</v>
      </c>
      <c r="Q234" s="130" t="n">
        <f aca="false">Q233/Q231</f>
        <v>0.539118390483889</v>
      </c>
      <c r="R234" s="130" t="n">
        <f aca="false">R233/R231</f>
        <v>0.600390055586212</v>
      </c>
      <c r="S234" s="130" t="n">
        <f aca="false">S233/S231</f>
        <v>0.656966473352352</v>
      </c>
      <c r="T234" s="130" t="n">
        <f aca="false">T233/T231</f>
        <v>0.707581004824554</v>
      </c>
      <c r="U234" s="130" t="n">
        <f aca="false">U233/U231</f>
        <v>0.739212752858584</v>
      </c>
      <c r="V234" s="130" t="n">
        <f aca="false">V233/V231</f>
        <v>0.742566873778712</v>
      </c>
      <c r="W234" s="130" t="n">
        <f aca="false">W233/W231</f>
        <v>0.73961920265794</v>
      </c>
      <c r="X234" s="130" t="n">
        <f aca="false">X233/X231</f>
        <v>0.736057612568242</v>
      </c>
      <c r="Y234" s="130" t="n">
        <f aca="false">Y233/Y231</f>
        <v>0.731731795594294</v>
      </c>
      <c r="Z234" s="130" t="n">
        <f aca="false">Z233/Z231</f>
        <v>0.726883261605262</v>
      </c>
      <c r="AA234" s="130" t="n">
        <f aca="false">AA233/AA231</f>
        <v>0.720637273565538</v>
      </c>
      <c r="AB234" s="130" t="n">
        <f aca="false">AB233/AB231</f>
        <v>0.713797928065009</v>
      </c>
      <c r="AC234" s="130" t="n">
        <f aca="false">AC233/AC231</f>
        <v>0.707285897078464</v>
      </c>
    </row>
    <row r="236" customFormat="false" ht="12.8" hidden="false" customHeight="false" outlineLevel="0" collapsed="false">
      <c r="A236" s="1" t="s">
        <v>330</v>
      </c>
      <c r="B236" s="1" t="s">
        <v>1</v>
      </c>
      <c r="C236" s="1" t="s">
        <v>2</v>
      </c>
      <c r="D236" s="1" t="s">
        <v>331</v>
      </c>
      <c r="E236" s="1" t="s">
        <v>3</v>
      </c>
    </row>
    <row r="237" customFormat="false" ht="12.8" hidden="false" customHeight="false" outlineLevel="0" collapsed="false">
      <c r="A237" s="1" t="s">
        <v>332</v>
      </c>
      <c r="B237" s="1" t="n">
        <f aca="false">B214-(SUM(D214:I214)/6)</f>
        <v>123.181555630553</v>
      </c>
      <c r="C237" s="1" t="n">
        <f aca="false">B214-SUM(D214:N214)/11</f>
        <v>138.501702909924</v>
      </c>
      <c r="D237" s="1" t="n">
        <f aca="false">B214-(SUM(N214:AC214)/21)</f>
        <v>166.343615485096</v>
      </c>
    </row>
    <row r="238" customFormat="false" ht="12.8" hidden="false" customHeight="false" outlineLevel="0" collapsed="false">
      <c r="A238" s="1" t="s">
        <v>333</v>
      </c>
    </row>
    <row r="239" customFormat="false" ht="12.8" hidden="false" customHeight="false" outlineLevel="0" collapsed="false">
      <c r="A239" s="1" t="s">
        <v>334</v>
      </c>
      <c r="B239" s="1" t="n">
        <f aca="false">B219-(AVERAGE(D219:I219))</f>
        <v>16.65662939919</v>
      </c>
      <c r="C239" s="1" t="n">
        <f aca="false">B219-AVERAGE(D219:N219)</f>
        <v>40.9690382770841</v>
      </c>
      <c r="D239" s="1" t="n">
        <f aca="false">B220-(AVERAGE(N219:AC219))</f>
        <v>459.929516467111</v>
      </c>
    </row>
    <row r="240" customFormat="false" ht="12.8" hidden="false" customHeight="false" outlineLevel="0" collapsed="false">
      <c r="A240" s="1" t="s">
        <v>335</v>
      </c>
      <c r="B240" s="1" t="n">
        <f aca="false">B220-(AVERAGE(D220:I220))</f>
        <v>262.849926954372</v>
      </c>
      <c r="C240" s="1" t="n">
        <f aca="false">B220-AVERAGE(D220:N220)</f>
        <v>316.957035262262</v>
      </c>
      <c r="D240" s="1" t="n">
        <f aca="false">B220-(AVERAGE(N220:AC220))</f>
        <v>766.22193359433</v>
      </c>
    </row>
    <row r="241" customFormat="false" ht="12.8" hidden="false" customHeight="false" outlineLevel="0" collapsed="false">
      <c r="A241" s="1" t="s">
        <v>336</v>
      </c>
      <c r="B241" s="1" t="n">
        <f aca="false">B226-AVERAGE(D226:I226)</f>
        <v>408.217805993922</v>
      </c>
      <c r="C241" s="1" t="n">
        <f aca="false">B226-AVERAGE(D226:N226)</f>
        <v>668.521905661076</v>
      </c>
      <c r="D241" s="1" t="n">
        <f aca="false">B226-(AVERAGE(N226:AC226))</f>
        <v>2999.86837550425</v>
      </c>
    </row>
    <row r="242" customFormat="false" ht="12.8" hidden="false" customHeight="false" outlineLevel="0" collapsed="false">
      <c r="A242" s="1" t="s">
        <v>337</v>
      </c>
      <c r="B242" s="1" t="n">
        <f aca="false">B232-(AVERAGE(D232:I232))</f>
        <v>564.895682865931</v>
      </c>
      <c r="C242" s="1" t="n">
        <f aca="false">B232-AVERAGE(D232:N232)</f>
        <v>1050.40270458421</v>
      </c>
      <c r="D242" s="1" t="n">
        <f aca="false">B232-(AVERAGE(N232:AC232))</f>
        <v>4324.26133683463</v>
      </c>
    </row>
    <row r="243" customFormat="false" ht="12.8" hidden="false" customHeight="false" outlineLevel="0" collapsed="false">
      <c r="A243" s="1" t="s">
        <v>338</v>
      </c>
    </row>
    <row r="244" customFormat="false" ht="12.8" hidden="false" customHeight="false" outlineLevel="0" collapsed="false">
      <c r="A244" s="1" t="s">
        <v>332</v>
      </c>
      <c r="B244" s="130" t="n">
        <f aca="false">B237/$B$214</f>
        <v>0.662941163515017</v>
      </c>
      <c r="C244" s="130" t="n">
        <f aca="false">C237/$B$214</f>
        <v>0.745391463891712</v>
      </c>
      <c r="D244" s="130" t="n">
        <f aca="false">D237/$B$214</f>
        <v>0.895231671888648</v>
      </c>
    </row>
    <row r="245" customFormat="false" ht="12.8" hidden="false" customHeight="false" outlineLevel="0" collapsed="false">
      <c r="B245" s="130"/>
      <c r="C245" s="130"/>
      <c r="D245" s="130"/>
    </row>
    <row r="246" customFormat="false" ht="12.8" hidden="false" customHeight="false" outlineLevel="0" collapsed="false">
      <c r="A246" s="1" t="s">
        <v>335</v>
      </c>
      <c r="B246" s="130" t="n">
        <f aca="false">B240/$B$226</f>
        <v>0.0402601534927006</v>
      </c>
      <c r="C246" s="130" t="n">
        <f aca="false">C240/$B$226</f>
        <v>0.04854762197619</v>
      </c>
      <c r="D246" s="130" t="n">
        <f aca="false">D240/$B$226</f>
        <v>0.117360552515339</v>
      </c>
    </row>
    <row r="247" customFormat="false" ht="12.8" hidden="false" customHeight="false" outlineLevel="0" collapsed="false">
      <c r="A247" s="1" t="s">
        <v>336</v>
      </c>
      <c r="B247" s="130" t="n">
        <f aca="false">B241/$B$226</f>
        <v>0.0625258363896053</v>
      </c>
      <c r="C247" s="130" t="n">
        <f aca="false">C241/$B$226</f>
        <v>0.102396051035691</v>
      </c>
      <c r="D247" s="130" t="n">
        <f aca="false">D241/$B$226</f>
        <v>0.459483335814907</v>
      </c>
    </row>
    <row r="248" customFormat="false" ht="12.8" hidden="false" customHeight="false" outlineLevel="0" collapsed="false">
      <c r="A248" s="1" t="s">
        <v>337</v>
      </c>
      <c r="B248" s="130" t="n">
        <f aca="false">B242/$B$226</f>
        <v>0.0865238471361426</v>
      </c>
      <c r="C248" s="130" t="n">
        <f aca="false">C242/$B$226</f>
        <v>0.160887905146914</v>
      </c>
      <c r="D248" s="130" t="n">
        <f aca="false">D242/$B$226</f>
        <v>0.662337734618181</v>
      </c>
    </row>
    <row r="250" customFormat="false" ht="12.8" hidden="false" customHeight="false" outlineLevel="0" collapsed="false">
      <c r="A250" s="1" t="s">
        <v>339</v>
      </c>
      <c r="B250" s="1" t="s">
        <v>1</v>
      </c>
      <c r="C250" s="1" t="s">
        <v>2</v>
      </c>
      <c r="D250" s="1" t="s">
        <v>331</v>
      </c>
    </row>
    <row r="251" customFormat="false" ht="12.8" hidden="false" customHeight="false" outlineLevel="0" collapsed="false">
      <c r="A251" s="1" t="s">
        <v>332</v>
      </c>
      <c r="B251" s="1" t="n">
        <f aca="false">(SUM(D215:I215)/6)</f>
        <v>123.09664877759</v>
      </c>
      <c r="C251" s="1" t="n">
        <f aca="false">SUM(D215:N215)/11</f>
        <v>137.993998492589</v>
      </c>
      <c r="D251" s="1" t="n">
        <f aca="false">(SUM(N215:AC215)/21)</f>
        <v>116.682825572274</v>
      </c>
    </row>
    <row r="252" customFormat="false" ht="12.8" hidden="false" customHeight="false" outlineLevel="0" collapsed="false">
      <c r="A252" s="1" t="s">
        <v>335</v>
      </c>
      <c r="B252" s="1" t="n">
        <f aca="false">(SUM(D221:I221)/6)</f>
        <v>246.193297555181</v>
      </c>
      <c r="C252" s="1" t="n">
        <f aca="false">SUM(D221:N221)/11</f>
        <v>275.987996985179</v>
      </c>
      <c r="D252" s="1" t="n">
        <f aca="false">(SUM(N221:AC221)/21)</f>
        <v>233.365651144547</v>
      </c>
    </row>
    <row r="253" customFormat="false" ht="12.8" hidden="false" customHeight="false" outlineLevel="0" collapsed="false">
      <c r="A253" s="1" t="s">
        <v>336</v>
      </c>
      <c r="B253" s="1" t="n">
        <f aca="false">(SUM(D227:I227)/6)</f>
        <v>391.561176594731</v>
      </c>
      <c r="C253" s="1" t="n">
        <f aca="false">SUM(D227:N227)/11</f>
        <v>627.552867383992</v>
      </c>
      <c r="D253" s="1" t="n">
        <f aca="false">(SUM(N227:AC227)/21)</f>
        <v>1935.19151164734</v>
      </c>
    </row>
    <row r="254" customFormat="false" ht="12.8" hidden="false" customHeight="false" outlineLevel="0" collapsed="false">
      <c r="A254" s="1" t="s">
        <v>337</v>
      </c>
      <c r="B254" s="1" t="n">
        <f aca="false">(SUM(D233:I233)/6)</f>
        <v>548.23905346674</v>
      </c>
      <c r="C254" s="1" t="n">
        <f aca="false">SUM(D233:N233)/11</f>
        <v>1009.43366630713</v>
      </c>
      <c r="D254" s="1" t="n">
        <f aca="false">(SUM(N233:AC233)/21)</f>
        <v>2944.25281551811</v>
      </c>
    </row>
    <row r="255" customFormat="false" ht="12.8" hidden="false" customHeight="false" outlineLevel="0" collapsed="false">
      <c r="A255" s="1" t="s">
        <v>338</v>
      </c>
    </row>
    <row r="256" customFormat="false" ht="12.8" hidden="false" customHeight="false" outlineLevel="0" collapsed="false">
      <c r="A256" s="1" t="s">
        <v>332</v>
      </c>
      <c r="B256" s="130" t="n">
        <f aca="false">B251/$B$214</f>
        <v>0.662484209975136</v>
      </c>
      <c r="C256" s="130" t="n">
        <f aca="false">C251/$B$214</f>
        <v>0.742659089264466</v>
      </c>
      <c r="D256" s="130" t="n">
        <f aca="false">D251/$B$214</f>
        <v>0.627966157361278</v>
      </c>
    </row>
    <row r="257" customFormat="false" ht="12.8" hidden="false" customHeight="false" outlineLevel="0" collapsed="false">
      <c r="A257" s="1" t="s">
        <v>335</v>
      </c>
      <c r="B257" s="130" t="n">
        <f aca="false">B252/$B$226</f>
        <v>0.0377088936766807</v>
      </c>
      <c r="C257" s="130" t="n">
        <f aca="false">C252/$B$226</f>
        <v>0.0422724831979699</v>
      </c>
      <c r="D257" s="130" t="n">
        <f aca="false">D252/$B$226</f>
        <v>0.0357441108843619</v>
      </c>
    </row>
    <row r="258" customFormat="false" ht="12.8" hidden="false" customHeight="false" outlineLevel="0" collapsed="false">
      <c r="A258" s="1" t="s">
        <v>336</v>
      </c>
      <c r="B258" s="130" t="n">
        <f aca="false">B253/$B$226</f>
        <v>0.0599745765735855</v>
      </c>
      <c r="C258" s="130" t="n">
        <f aca="false">C253/$B$226</f>
        <v>0.0961209122574712</v>
      </c>
      <c r="D258" s="130" t="n">
        <f aca="false">D253/$B$226</f>
        <v>0.296409088636414</v>
      </c>
    </row>
    <row r="259" customFormat="false" ht="12.8" hidden="false" customHeight="false" outlineLevel="0" collapsed="false">
      <c r="A259" s="1" t="s">
        <v>337</v>
      </c>
      <c r="B259" s="130" t="n">
        <f aca="false">B254/$B$226</f>
        <v>0.0839725873201227</v>
      </c>
      <c r="C259" s="130" t="n">
        <f aca="false">C254/$B$226</f>
        <v>0.154612766368694</v>
      </c>
      <c r="D259" s="130" t="n">
        <f aca="false">D254/$B$226</f>
        <v>0.450964821057956</v>
      </c>
    </row>
    <row r="261" customFormat="false" ht="12.8" hidden="false" customHeight="false" outlineLevel="0" collapsed="false">
      <c r="A261" s="125" t="s">
        <v>340</v>
      </c>
      <c r="B261" s="142" t="s">
        <v>575</v>
      </c>
      <c r="C261" s="142" t="n">
        <v>2024</v>
      </c>
      <c r="D261" s="142" t="n">
        <v>2025</v>
      </c>
      <c r="E261" s="142" t="n">
        <v>2026</v>
      </c>
      <c r="F261" s="142" t="n">
        <v>2027</v>
      </c>
      <c r="G261" s="142" t="n">
        <v>2028</v>
      </c>
      <c r="H261" s="142" t="n">
        <v>2029</v>
      </c>
      <c r="I261" s="143" t="n">
        <v>2030</v>
      </c>
      <c r="J261" s="143" t="n">
        <v>2031</v>
      </c>
      <c r="K261" s="143" t="n">
        <v>2032</v>
      </c>
      <c r="L261" s="143" t="n">
        <v>2033</v>
      </c>
      <c r="M261" s="143" t="n">
        <v>2034</v>
      </c>
      <c r="N261" s="143" t="n">
        <v>2035</v>
      </c>
      <c r="O261" s="143" t="n">
        <v>2036</v>
      </c>
      <c r="P261" s="143" t="n">
        <v>2037</v>
      </c>
      <c r="Q261" s="143" t="n">
        <v>2038</v>
      </c>
      <c r="R261" s="143" t="n">
        <v>2039</v>
      </c>
      <c r="S261" s="143" t="n">
        <v>2040</v>
      </c>
      <c r="T261" s="143" t="n">
        <v>2041</v>
      </c>
      <c r="U261" s="143" t="n">
        <v>2042</v>
      </c>
      <c r="V261" s="143" t="n">
        <v>2043</v>
      </c>
      <c r="W261" s="143" t="n">
        <v>2044</v>
      </c>
      <c r="X261" s="143" t="n">
        <v>2045</v>
      </c>
      <c r="Y261" s="143" t="n">
        <v>2046</v>
      </c>
      <c r="Z261" s="143" t="n">
        <v>2047</v>
      </c>
      <c r="AA261" s="143" t="n">
        <v>2048</v>
      </c>
      <c r="AB261" s="143" t="n">
        <v>2049</v>
      </c>
      <c r="AC261" s="143" t="n">
        <v>2050</v>
      </c>
    </row>
    <row r="262" customFormat="false" ht="12.8" hidden="false" customHeight="false" outlineLevel="0" collapsed="false">
      <c r="A262" s="51" t="s">
        <v>341</v>
      </c>
      <c r="B262" s="1" t="n">
        <f aca="false">($B$30*$B$28)+($B$39*$B$42)</f>
        <v>71.3503343390438</v>
      </c>
      <c r="C262" s="1" t="n">
        <f aca="false">($B$30*$B$28)+($B$39*$B$42)</f>
        <v>71.3503343390438</v>
      </c>
      <c r="D262" s="1" t="n">
        <f aca="false">($B$30*$B$33)+($B$44*$B$47)</f>
        <v>25.4547138723075</v>
      </c>
      <c r="E262" s="1" t="n">
        <f aca="false">($B$30*$B$33)+($B$44*$B$47)</f>
        <v>25.4547138723075</v>
      </c>
      <c r="F262" s="1" t="n">
        <f aca="false">($B$30*$B$33)+($B$44*$B$47)</f>
        <v>25.4547138723075</v>
      </c>
      <c r="G262" s="1" t="n">
        <f aca="false">($B$30*$B$33)+($B$44*$B$47)</f>
        <v>25.4547138723075</v>
      </c>
      <c r="H262" s="1" t="n">
        <f aca="false">($B$30*$B$33)+($B$44*$B$47)</f>
        <v>25.4547138723075</v>
      </c>
      <c r="I262" s="52" t="n">
        <f aca="false">($B$30*$B$33)+($B$44*$B$47)</f>
        <v>25.4547138723075</v>
      </c>
      <c r="J262" s="52" t="n">
        <f aca="false">($B$30*$B$33)+($B$44*$B$47)</f>
        <v>25.4547138723075</v>
      </c>
      <c r="K262" s="52" t="n">
        <f aca="false">($B$30*$B$33)+($B$44*$B$47)</f>
        <v>25.4547138723075</v>
      </c>
      <c r="L262" s="52" t="n">
        <f aca="false">L$166</f>
        <v>22.9092424850768</v>
      </c>
      <c r="M262" s="52" t="n">
        <f aca="false">M$166</f>
        <v>22.9092424850768</v>
      </c>
      <c r="N262" s="52" t="n">
        <f aca="false">N$166</f>
        <v>22.9092424850768</v>
      </c>
      <c r="O262" s="52" t="n">
        <f aca="false">O$166</f>
        <v>22.9092424850768</v>
      </c>
      <c r="P262" s="52" t="n">
        <f aca="false">P$166</f>
        <v>22.9092424850768</v>
      </c>
      <c r="Q262" s="52" t="n">
        <f aca="false">Q$166</f>
        <v>22.9092424850768</v>
      </c>
      <c r="R262" s="52" t="n">
        <f aca="false">R$166</f>
        <v>22.9092424850768</v>
      </c>
      <c r="S262" s="52" t="n">
        <f aca="false">S$166</f>
        <v>20.6183182365691</v>
      </c>
      <c r="T262" s="52" t="n">
        <f aca="false">T$166</f>
        <v>20.6183182365691</v>
      </c>
      <c r="U262" s="52" t="n">
        <f aca="false">U$166</f>
        <v>20.6183182365691</v>
      </c>
      <c r="V262" s="52" t="n">
        <f aca="false">V$166</f>
        <v>20.6183182365691</v>
      </c>
      <c r="W262" s="52" t="n">
        <f aca="false">W$166</f>
        <v>20.6183182365691</v>
      </c>
      <c r="X262" s="52" t="n">
        <f aca="false">X$166</f>
        <v>20.6183182365691</v>
      </c>
      <c r="Y262" s="52" t="n">
        <f aca="false">Y$166</f>
        <v>20.6183182365691</v>
      </c>
      <c r="Z262" s="52" t="n">
        <f aca="false">Z$166</f>
        <v>18.5564864129122</v>
      </c>
      <c r="AA262" s="52" t="n">
        <f aca="false">AA$166</f>
        <v>18.5564864129122</v>
      </c>
      <c r="AB262" s="52" t="n">
        <f aca="false">AB$166</f>
        <v>18.5564864129122</v>
      </c>
      <c r="AC262" s="52" t="n">
        <f aca="false">AC$166</f>
        <v>18.5564864129122</v>
      </c>
    </row>
    <row r="263" customFormat="false" ht="12.8" hidden="false" customHeight="false" outlineLevel="0" collapsed="false">
      <c r="A263" s="51" t="s">
        <v>18</v>
      </c>
      <c r="B263" s="1" t="n">
        <f aca="false">$B$10</f>
        <v>114.460356578722</v>
      </c>
      <c r="C263" s="1" t="n">
        <f aca="false">$B$10</f>
        <v>114.460356578722</v>
      </c>
      <c r="D263" s="1" t="n">
        <f aca="false">$B$10</f>
        <v>114.460356578722</v>
      </c>
      <c r="E263" s="1" t="n">
        <f aca="false">($H$2*0.25)+($B$10*0.75)</f>
        <v>99.1122411302933</v>
      </c>
      <c r="F263" s="141" t="n">
        <f aca="false">($H$2)</f>
        <v>53.0678947850063</v>
      </c>
      <c r="G263" s="141" t="n">
        <f aca="false">($H$2)</f>
        <v>53.0678947850063</v>
      </c>
      <c r="H263" s="141" t="n">
        <f aca="false">($H$2)</f>
        <v>53.0678947850063</v>
      </c>
      <c r="I263" s="144" t="n">
        <f aca="false">($H$2)</f>
        <v>53.0678947850063</v>
      </c>
      <c r="J263" s="144" t="n">
        <f aca="false">($H$2)</f>
        <v>53.0678947850063</v>
      </c>
      <c r="K263" s="144" t="n">
        <f aca="false">($H$2)</f>
        <v>53.0678947850063</v>
      </c>
      <c r="L263" s="144" t="n">
        <f aca="false">($H$2)</f>
        <v>53.0678947850063</v>
      </c>
      <c r="M263" s="144" t="n">
        <f aca="false">($H$2)</f>
        <v>53.0678947850063</v>
      </c>
      <c r="N263" s="144" t="n">
        <f aca="false">($H$2)</f>
        <v>53.0678947850063</v>
      </c>
      <c r="O263" s="144" t="n">
        <f aca="false">($H$2)</f>
        <v>53.0678947850063</v>
      </c>
      <c r="P263" s="144" t="n">
        <f aca="false">($H$2)</f>
        <v>53.0678947850063</v>
      </c>
      <c r="Q263" s="144" t="n">
        <f aca="false">($H$2)</f>
        <v>53.0678947850063</v>
      </c>
      <c r="R263" s="144" t="n">
        <f aca="false">($H$2)</f>
        <v>53.0678947850063</v>
      </c>
      <c r="S263" s="144" t="n">
        <f aca="false">($H$2)</f>
        <v>53.0678947850063</v>
      </c>
      <c r="T263" s="144" t="n">
        <f aca="false">($H$2)</f>
        <v>53.0678947850063</v>
      </c>
      <c r="U263" s="144" t="n">
        <f aca="false">($H$2)</f>
        <v>53.0678947850063</v>
      </c>
      <c r="V263" s="144" t="n">
        <f aca="false">($H$2)</f>
        <v>53.0678947850063</v>
      </c>
      <c r="W263" s="144" t="n">
        <f aca="false">($H$2)</f>
        <v>53.0678947850063</v>
      </c>
      <c r="X263" s="144" t="n">
        <f aca="false">($H$2)</f>
        <v>53.0678947850063</v>
      </c>
      <c r="Y263" s="144" t="n">
        <f aca="false">($H$2)</f>
        <v>53.0678947850063</v>
      </c>
      <c r="Z263" s="144" t="n">
        <f aca="false">($H$2)</f>
        <v>53.0678947850063</v>
      </c>
      <c r="AA263" s="144" t="n">
        <f aca="false">($H$2)</f>
        <v>53.0678947850063</v>
      </c>
      <c r="AB263" s="144" t="n">
        <f aca="false">($H$2)</f>
        <v>53.0678947850063</v>
      </c>
      <c r="AC263" s="144" t="n">
        <f aca="false">($H$2)</f>
        <v>53.0678947850063</v>
      </c>
    </row>
    <row r="264" customFormat="false" ht="12.8" hidden="false" customHeight="false" outlineLevel="0" collapsed="false">
      <c r="A264" s="49" t="s">
        <v>39</v>
      </c>
      <c r="B264" s="1" t="n">
        <f aca="false">SUM(B262:B263)</f>
        <v>185.810690917766</v>
      </c>
      <c r="C264" s="1" t="n">
        <f aca="false">SUM(C262:C263)</f>
        <v>185.810690917766</v>
      </c>
      <c r="D264" s="1" t="n">
        <f aca="false">SUM(D262:D263)</f>
        <v>139.91507045103</v>
      </c>
      <c r="E264" s="1" t="n">
        <f aca="false">SUM(E262:E263)</f>
        <v>124.566955002601</v>
      </c>
      <c r="F264" s="1" t="n">
        <f aca="false">SUM(F262:F263)</f>
        <v>78.5226086573138</v>
      </c>
      <c r="G264" s="1" t="n">
        <f aca="false">SUM(G262:G263)</f>
        <v>78.5226086573138</v>
      </c>
      <c r="H264" s="1" t="n">
        <f aca="false">SUM(H262:H263)</f>
        <v>78.5226086573138</v>
      </c>
      <c r="I264" s="52" t="n">
        <f aca="false">SUM(I262:I263)</f>
        <v>78.5226086573138</v>
      </c>
      <c r="J264" s="52" t="n">
        <f aca="false">SUM(J262:J263)</f>
        <v>78.5226086573138</v>
      </c>
      <c r="K264" s="52" t="n">
        <f aca="false">SUM(K262:K263)</f>
        <v>78.5226086573138</v>
      </c>
      <c r="L264" s="52" t="n">
        <f aca="false">SUM(L262:L263)</f>
        <v>75.9771372700831</v>
      </c>
      <c r="M264" s="52" t="n">
        <f aca="false">SUM(M262:M263)</f>
        <v>75.9771372700831</v>
      </c>
      <c r="N264" s="52" t="n">
        <f aca="false">SUM(N262:N263)</f>
        <v>75.9771372700831</v>
      </c>
      <c r="O264" s="52" t="n">
        <f aca="false">SUM(O262:O263)</f>
        <v>75.9771372700831</v>
      </c>
      <c r="P264" s="52" t="n">
        <f aca="false">SUM(P262:P263)</f>
        <v>75.9771372700831</v>
      </c>
      <c r="Q264" s="52" t="n">
        <f aca="false">SUM(Q262:Q263)</f>
        <v>75.9771372700831</v>
      </c>
      <c r="R264" s="52" t="n">
        <f aca="false">SUM(R262:R263)</f>
        <v>75.9771372700831</v>
      </c>
      <c r="S264" s="52" t="n">
        <f aca="false">SUM(S262:S263)</f>
        <v>73.6862130215754</v>
      </c>
      <c r="T264" s="52" t="n">
        <f aca="false">SUM(T262:T263)</f>
        <v>73.6862130215754</v>
      </c>
      <c r="U264" s="52" t="n">
        <f aca="false">SUM(U262:U263)</f>
        <v>73.6862130215754</v>
      </c>
      <c r="V264" s="52" t="n">
        <f aca="false">SUM(V262:V263)</f>
        <v>73.6862130215754</v>
      </c>
      <c r="W264" s="52" t="n">
        <f aca="false">SUM(W262:W263)</f>
        <v>73.6862130215754</v>
      </c>
      <c r="X264" s="52" t="n">
        <f aca="false">SUM(X262:X263)</f>
        <v>73.6862130215754</v>
      </c>
      <c r="Y264" s="52" t="n">
        <f aca="false">SUM(Y262:Y263)</f>
        <v>73.6862130215754</v>
      </c>
      <c r="Z264" s="52" t="n">
        <f aca="false">SUM(Z262:Z263)</f>
        <v>71.6243811979185</v>
      </c>
      <c r="AA264" s="52" t="n">
        <f aca="false">SUM(AA262:AA263)</f>
        <v>71.6243811979185</v>
      </c>
      <c r="AB264" s="52" t="n">
        <f aca="false">SUM(AB262:AB263)</f>
        <v>71.6243811979185</v>
      </c>
      <c r="AC264" s="52" t="n">
        <f aca="false">SUM(AC262:AC263)</f>
        <v>71.6243811979185</v>
      </c>
    </row>
    <row r="265" customFormat="false" ht="12.8" hidden="false" customHeight="false" outlineLevel="0" collapsed="false">
      <c r="A265" s="51" t="s">
        <v>342</v>
      </c>
      <c r="B265" s="1" t="n">
        <f aca="false">($B264-B264)</f>
        <v>0</v>
      </c>
      <c r="C265" s="1" t="n">
        <f aca="false">($B264-C264)</f>
        <v>0</v>
      </c>
      <c r="D265" s="1" t="n">
        <f aca="false">($B264-D264)</f>
        <v>45.8956204667363</v>
      </c>
      <c r="E265" s="1" t="n">
        <f aca="false">($B264-E264)</f>
        <v>61.2437359151653</v>
      </c>
      <c r="F265" s="1" t="n">
        <f aca="false">($B264-F264)</f>
        <v>107.288082260452</v>
      </c>
      <c r="G265" s="1" t="n">
        <f aca="false">($B264-G264)</f>
        <v>107.288082260452</v>
      </c>
      <c r="H265" s="1" t="n">
        <f aca="false">($B264-H264)</f>
        <v>107.288082260452</v>
      </c>
      <c r="I265" s="52" t="n">
        <f aca="false">($B264-I264)</f>
        <v>107.288082260452</v>
      </c>
      <c r="J265" s="52" t="n">
        <f aca="false">($B264-J264)</f>
        <v>107.288082260452</v>
      </c>
      <c r="K265" s="52" t="n">
        <f aca="false">($B264-K264)</f>
        <v>107.288082260452</v>
      </c>
      <c r="L265" s="52" t="n">
        <f aca="false">($B264-L264)</f>
        <v>109.833553647683</v>
      </c>
      <c r="M265" s="52" t="n">
        <f aca="false">($B264-M264)</f>
        <v>109.833553647683</v>
      </c>
      <c r="N265" s="52" t="n">
        <f aca="false">($B264-N264)</f>
        <v>109.833553647683</v>
      </c>
      <c r="O265" s="52" t="n">
        <f aca="false">($B264-O264)</f>
        <v>109.833553647683</v>
      </c>
      <c r="P265" s="52" t="n">
        <f aca="false">($B264-P264)</f>
        <v>109.833553647683</v>
      </c>
      <c r="Q265" s="52" t="n">
        <f aca="false">($B264-Q264)</f>
        <v>109.833553647683</v>
      </c>
      <c r="R265" s="52" t="n">
        <f aca="false">($B264-R264)</f>
        <v>109.833553647683</v>
      </c>
      <c r="S265" s="52" t="n">
        <f aca="false">($B264-S264)</f>
        <v>112.124477896191</v>
      </c>
      <c r="T265" s="52" t="n">
        <f aca="false">($B264-T264)</f>
        <v>112.124477896191</v>
      </c>
      <c r="U265" s="52" t="n">
        <f aca="false">($B264-U264)</f>
        <v>112.124477896191</v>
      </c>
      <c r="V265" s="52" t="n">
        <f aca="false">($B264-V264)</f>
        <v>112.124477896191</v>
      </c>
      <c r="W265" s="52" t="n">
        <f aca="false">($B264-W264)</f>
        <v>112.124477896191</v>
      </c>
      <c r="X265" s="52" t="n">
        <f aca="false">($B264-X264)</f>
        <v>112.124477896191</v>
      </c>
      <c r="Y265" s="52" t="n">
        <f aca="false">($B264-Y264)</f>
        <v>112.124477896191</v>
      </c>
      <c r="Z265" s="52" t="n">
        <f aca="false">($B264-Z264)</f>
        <v>114.186309719848</v>
      </c>
      <c r="AA265" s="52" t="n">
        <f aca="false">($B264-AA264)</f>
        <v>114.186309719848</v>
      </c>
      <c r="AB265" s="52" t="n">
        <f aca="false">($B264-AB264)</f>
        <v>114.186309719848</v>
      </c>
      <c r="AC265" s="52" t="n">
        <f aca="false">($B264-AC264)</f>
        <v>114.186309719848</v>
      </c>
    </row>
    <row r="266" customFormat="false" ht="12.8" hidden="false" customHeight="false" outlineLevel="0" collapsed="false">
      <c r="A266" s="51" t="s">
        <v>343</v>
      </c>
      <c r="B266" s="130" t="n">
        <f aca="false">($B264-B264)/$B264</f>
        <v>0</v>
      </c>
      <c r="C266" s="130" t="n">
        <f aca="false">($B264-C264)/$B264</f>
        <v>0</v>
      </c>
      <c r="D266" s="130" t="n">
        <f aca="false">($B264-D264)/$B264</f>
        <v>0.247002044069941</v>
      </c>
      <c r="E266" s="130" t="n">
        <f aca="false">($B264-E264)/$B264</f>
        <v>0.329602864144506</v>
      </c>
      <c r="F266" s="130" t="n">
        <f aca="false">($B264-F264)/$B264</f>
        <v>0.577405324368201</v>
      </c>
      <c r="G266" s="130" t="n">
        <f aca="false">($B264-G264)/$B264</f>
        <v>0.577405324368201</v>
      </c>
      <c r="H266" s="130" t="n">
        <f aca="false">($B264-H264)/$B264</f>
        <v>0.577405324368201</v>
      </c>
      <c r="I266" s="145" t="n">
        <f aca="false">($B264-I264)/$B264</f>
        <v>0.577405324368201</v>
      </c>
      <c r="J266" s="145" t="n">
        <f aca="false">($B264-J264)/$B264</f>
        <v>0.577405324368201</v>
      </c>
      <c r="K266" s="145" t="n">
        <f aca="false">($B264-K264)/$B264</f>
        <v>0.577405324368201</v>
      </c>
      <c r="L266" s="145" t="n">
        <f aca="false">($B264-L264)/$B264</f>
        <v>0.591104597400652</v>
      </c>
      <c r="M266" s="145" t="n">
        <f aca="false">($B264-M264)/$B264</f>
        <v>0.591104597400652</v>
      </c>
      <c r="N266" s="145" t="n">
        <f aca="false">($B264-N264)/$B264</f>
        <v>0.591104597400652</v>
      </c>
      <c r="O266" s="145" t="n">
        <f aca="false">($B264-O264)/$B264</f>
        <v>0.591104597400652</v>
      </c>
      <c r="P266" s="145" t="n">
        <f aca="false">($B264-P264)/$B264</f>
        <v>0.591104597400652</v>
      </c>
      <c r="Q266" s="145" t="n">
        <f aca="false">($B264-Q264)/$B264</f>
        <v>0.591104597400652</v>
      </c>
      <c r="R266" s="145" t="n">
        <f aca="false">($B264-R264)/$B264</f>
        <v>0.591104597400652</v>
      </c>
      <c r="S266" s="145" t="n">
        <f aca="false">($B264-S264)/$B264</f>
        <v>0.603433943129857</v>
      </c>
      <c r="T266" s="145" t="n">
        <f aca="false">($B264-T264)/$B264</f>
        <v>0.603433943129857</v>
      </c>
      <c r="U266" s="145" t="n">
        <f aca="false">($B264-U264)/$B264</f>
        <v>0.603433943129857</v>
      </c>
      <c r="V266" s="145" t="n">
        <f aca="false">($B264-V264)/$B264</f>
        <v>0.603433943129857</v>
      </c>
      <c r="W266" s="145" t="n">
        <f aca="false">($B264-W264)/$B264</f>
        <v>0.603433943129857</v>
      </c>
      <c r="X266" s="145" t="n">
        <f aca="false">($B264-X264)/$B264</f>
        <v>0.603433943129857</v>
      </c>
      <c r="Y266" s="145" t="n">
        <f aca="false">($B264-Y264)/$B264</f>
        <v>0.603433943129857</v>
      </c>
      <c r="Z266" s="145" t="n">
        <f aca="false">($B264-Z264)/$B264</f>
        <v>0.614530354286142</v>
      </c>
      <c r="AA266" s="145" t="n">
        <f aca="false">($B264-AA264)/$B264</f>
        <v>0.614530354286142</v>
      </c>
      <c r="AB266" s="145" t="n">
        <f aca="false">($B264-AB264)/$B264</f>
        <v>0.614530354286142</v>
      </c>
      <c r="AC266" s="145" t="n">
        <f aca="false">($B264-AC264)/$B264</f>
        <v>0.614530354286142</v>
      </c>
    </row>
    <row r="267" customFormat="false" ht="12.8" hidden="false" customHeight="false" outlineLevel="0" collapsed="false">
      <c r="A267" s="51"/>
      <c r="B267" s="1" t="s">
        <v>1</v>
      </c>
      <c r="C267" s="1" t="s">
        <v>2</v>
      </c>
      <c r="D267" s="1" t="s">
        <v>3</v>
      </c>
      <c r="F267" s="130"/>
      <c r="G267" s="130"/>
      <c r="H267" s="130"/>
      <c r="I267" s="145"/>
      <c r="J267" s="145"/>
      <c r="K267" s="145"/>
      <c r="L267" s="145"/>
      <c r="M267" s="145"/>
      <c r="N267" s="145"/>
      <c r="O267" s="145"/>
      <c r="P267" s="145"/>
      <c r="Q267" s="145"/>
      <c r="R267" s="145"/>
      <c r="S267" s="145"/>
      <c r="T267" s="145"/>
      <c r="U267" s="145"/>
      <c r="V267" s="145"/>
      <c r="W267" s="145"/>
      <c r="X267" s="145"/>
      <c r="Y267" s="145"/>
      <c r="Z267" s="145"/>
      <c r="AA267" s="145"/>
      <c r="AB267" s="145"/>
      <c r="AC267" s="145"/>
    </row>
    <row r="268" customFormat="false" ht="12.8" hidden="false" customHeight="false" outlineLevel="0" collapsed="false">
      <c r="A268" s="51" t="s">
        <v>20</v>
      </c>
      <c r="B268" s="4" t="n">
        <f aca="false">($B264*6)-(SUM(D264:I264))</f>
        <v>536.291685423711</v>
      </c>
      <c r="C268" s="4" t="n">
        <f aca="false">($B264*11)-(SUM(E264:N264))</f>
        <v>1220.28358133869</v>
      </c>
      <c r="D268" s="4" t="n">
        <f aca="false">($B264*26)-(SUM(D264:AC264))</f>
        <v>2761.31930963112</v>
      </c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  <c r="AB268" s="57"/>
      <c r="AC268" s="57"/>
    </row>
    <row r="269" customFormat="false" ht="12.8" hidden="false" customHeight="false" outlineLevel="0" collapsed="false">
      <c r="A269" s="51" t="s">
        <v>17</v>
      </c>
      <c r="B269" s="4" t="n">
        <f aca="false">$B262*6-SUM(D262:I262)</f>
        <v>275.373722800418</v>
      </c>
      <c r="C269" s="4" t="n">
        <f aca="false">$B262*11-SUM(E262:N262)</f>
        <v>537.942953168099</v>
      </c>
      <c r="D269" s="4" t="n">
        <f aca="false">$B262*26-SUM(D262:AC262)</f>
        <v>1272.55211113351</v>
      </c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  <c r="AB269" s="57"/>
      <c r="AC269" s="57"/>
    </row>
    <row r="270" customFormat="false" ht="12.8" hidden="false" customHeight="false" outlineLevel="0" collapsed="false">
      <c r="A270" s="51" t="s">
        <v>18</v>
      </c>
      <c r="B270" s="4" t="n">
        <f aca="false">$B263*6-SUM(D263:I263)</f>
        <v>260.917962623293</v>
      </c>
      <c r="C270" s="4" t="n">
        <f aca="false">$B263*11-SUM(E263:N263)</f>
        <v>682.340628170595</v>
      </c>
      <c r="D270" s="4" t="n">
        <f aca="false">$B263*26-SUM(D263:AC263)</f>
        <v>1488.76719849761</v>
      </c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  <c r="AB270" s="57"/>
      <c r="AC270" s="57"/>
    </row>
    <row r="271" customFormat="false" ht="12.8" hidden="false" customHeight="false" outlineLevel="0" collapsed="false">
      <c r="A271" s="51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  <c r="AB271" s="57"/>
      <c r="AC271" s="57"/>
    </row>
    <row r="272" customFormat="false" ht="12.8" hidden="false" customHeight="false" outlineLevel="0" collapsed="false">
      <c r="A272" s="51" t="s">
        <v>344</v>
      </c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  <c r="AB272" s="57"/>
      <c r="AC272" s="57"/>
    </row>
    <row r="273" customFormat="false" ht="12.8" hidden="false" customHeight="false" outlineLevel="0" collapsed="false">
      <c r="A273" s="51" t="s">
        <v>345</v>
      </c>
      <c r="B273" s="1" t="s">
        <v>575</v>
      </c>
      <c r="C273" s="1" t="n">
        <v>2024</v>
      </c>
      <c r="D273" s="1" t="n">
        <v>2025</v>
      </c>
      <c r="E273" s="1" t="n">
        <v>2026</v>
      </c>
      <c r="F273" s="1" t="n">
        <v>2027</v>
      </c>
      <c r="G273" s="1" t="n">
        <v>2028</v>
      </c>
      <c r="H273" s="1" t="n">
        <v>2029</v>
      </c>
      <c r="I273" s="52" t="n">
        <v>2030</v>
      </c>
      <c r="J273" s="52" t="n">
        <v>2031</v>
      </c>
      <c r="K273" s="52" t="n">
        <v>2032</v>
      </c>
      <c r="L273" s="52" t="n">
        <v>2033</v>
      </c>
      <c r="M273" s="52" t="n">
        <v>2034</v>
      </c>
      <c r="N273" s="52" t="n">
        <v>2035</v>
      </c>
      <c r="O273" s="52" t="n">
        <v>2036</v>
      </c>
      <c r="P273" s="52" t="n">
        <v>2037</v>
      </c>
      <c r="Q273" s="52" t="n">
        <v>2038</v>
      </c>
      <c r="R273" s="52" t="n">
        <v>2039</v>
      </c>
      <c r="S273" s="52" t="n">
        <v>2040</v>
      </c>
      <c r="T273" s="52" t="n">
        <v>2041</v>
      </c>
      <c r="U273" s="52" t="n">
        <v>2042</v>
      </c>
      <c r="V273" s="52" t="n">
        <v>2043</v>
      </c>
      <c r="W273" s="52" t="n">
        <v>2044</v>
      </c>
      <c r="X273" s="52" t="n">
        <v>2045</v>
      </c>
      <c r="Y273" s="52" t="n">
        <v>2046</v>
      </c>
      <c r="Z273" s="52" t="n">
        <v>2047</v>
      </c>
      <c r="AA273" s="52" t="n">
        <v>2048</v>
      </c>
      <c r="AB273" s="52" t="n">
        <v>2049</v>
      </c>
      <c r="AC273" s="52" t="n">
        <v>2050</v>
      </c>
    </row>
    <row r="274" customFormat="false" ht="12.8" hidden="false" customHeight="false" outlineLevel="0" collapsed="false">
      <c r="A274" s="51" t="s">
        <v>341</v>
      </c>
      <c r="B274" s="1" t="n">
        <f aca="false">($B$30*$B$28)+($B$39*$B$42)</f>
        <v>71.3503343390438</v>
      </c>
      <c r="C274" s="1" t="n">
        <f aca="false">($B$30*$B$28)+($B$39*$B$42)</f>
        <v>71.3503343390438</v>
      </c>
      <c r="D274" s="1" t="n">
        <f aca="false">($B$30*$B$33)+($B$44*$B$47)</f>
        <v>25.4547138723075</v>
      </c>
      <c r="E274" s="1" t="n">
        <f aca="false">($B$30*$B$33)+($B$44*$B$47)</f>
        <v>25.4547138723075</v>
      </c>
      <c r="F274" s="1" t="n">
        <f aca="false">($B$30*$B$33)+($B$44*$B$47)</f>
        <v>25.4547138723075</v>
      </c>
      <c r="G274" s="1" t="n">
        <f aca="false">($B$30*$B$33)+($B$44*$B$47)</f>
        <v>25.4547138723075</v>
      </c>
      <c r="H274" s="1" t="n">
        <f aca="false">($B$30*$B$33)+($B$44*$B$47)</f>
        <v>25.4547138723075</v>
      </c>
      <c r="I274" s="52" t="n">
        <f aca="false">($B$30*$B$33)+($B$44*$B$47)</f>
        <v>25.4547138723075</v>
      </c>
      <c r="J274" s="52" t="n">
        <f aca="false">($B$30*$B$33)+($B$44*$B$47)</f>
        <v>25.4547138723075</v>
      </c>
      <c r="K274" s="52" t="n">
        <f aca="false">($B$30*$B$33)+($B$44*$B$47)</f>
        <v>25.4547138723075</v>
      </c>
      <c r="L274" s="52" t="n">
        <f aca="false">L$166</f>
        <v>22.9092424850768</v>
      </c>
      <c r="M274" s="52" t="n">
        <f aca="false">M$166</f>
        <v>22.9092424850768</v>
      </c>
      <c r="N274" s="52" t="n">
        <f aca="false">N$166</f>
        <v>22.9092424850768</v>
      </c>
      <c r="O274" s="52" t="n">
        <f aca="false">O$166</f>
        <v>22.9092424850768</v>
      </c>
      <c r="P274" s="52" t="n">
        <f aca="false">P$166</f>
        <v>22.9092424850768</v>
      </c>
      <c r="Q274" s="52" t="n">
        <f aca="false">Q$166</f>
        <v>22.9092424850768</v>
      </c>
      <c r="R274" s="52" t="n">
        <f aca="false">R$166</f>
        <v>22.9092424850768</v>
      </c>
      <c r="S274" s="52" t="n">
        <f aca="false">S$166</f>
        <v>20.6183182365691</v>
      </c>
      <c r="T274" s="52" t="n">
        <f aca="false">T$166</f>
        <v>20.6183182365691</v>
      </c>
      <c r="U274" s="52" t="n">
        <f aca="false">U$166</f>
        <v>20.6183182365691</v>
      </c>
      <c r="V274" s="52" t="n">
        <f aca="false">V$166</f>
        <v>20.6183182365691</v>
      </c>
      <c r="W274" s="52" t="n">
        <f aca="false">W$166</f>
        <v>20.6183182365691</v>
      </c>
      <c r="X274" s="52" t="n">
        <f aca="false">X$166</f>
        <v>20.6183182365691</v>
      </c>
      <c r="Y274" s="52" t="n">
        <f aca="false">Y$166</f>
        <v>20.6183182365691</v>
      </c>
      <c r="Z274" s="52" t="n">
        <f aca="false">Z$166</f>
        <v>18.5564864129122</v>
      </c>
      <c r="AA274" s="52" t="n">
        <f aca="false">AA$166</f>
        <v>18.5564864129122</v>
      </c>
      <c r="AB274" s="52" t="n">
        <f aca="false">AB$166</f>
        <v>18.5564864129122</v>
      </c>
      <c r="AC274" s="52" t="n">
        <f aca="false">AC$166</f>
        <v>18.5564864129122</v>
      </c>
    </row>
    <row r="275" customFormat="false" ht="12.8" hidden="false" customHeight="false" outlineLevel="0" collapsed="false">
      <c r="A275" s="51" t="s">
        <v>18</v>
      </c>
      <c r="B275" s="1" t="n">
        <f aca="false">$B$10</f>
        <v>114.460356578722</v>
      </c>
      <c r="C275" s="1" t="n">
        <f aca="false">$B$10</f>
        <v>114.460356578722</v>
      </c>
      <c r="D275" s="1" t="n">
        <f aca="false">$B$10</f>
        <v>114.460356578722</v>
      </c>
      <c r="E275" s="4" t="n">
        <f aca="false">(H3*0.25)+($B$10*0.75)</f>
        <v>87.1829676973752</v>
      </c>
      <c r="F275" s="146" t="n">
        <f aca="false">$H$3</f>
        <v>5.35080105333394</v>
      </c>
      <c r="G275" s="146" t="n">
        <f aca="false">$H$3</f>
        <v>5.35080105333394</v>
      </c>
      <c r="H275" s="146" t="n">
        <f aca="false">$H$3</f>
        <v>5.35080105333394</v>
      </c>
      <c r="I275" s="147" t="n">
        <f aca="false">$H$3</f>
        <v>5.35080105333394</v>
      </c>
      <c r="J275" s="147" t="n">
        <f aca="false">$H$3</f>
        <v>5.35080105333394</v>
      </c>
      <c r="K275" s="147" t="n">
        <f aca="false">$H$3</f>
        <v>5.35080105333394</v>
      </c>
      <c r="L275" s="147" t="n">
        <f aca="false">$H$3</f>
        <v>5.35080105333394</v>
      </c>
      <c r="M275" s="147" t="n">
        <f aca="false">$H$3</f>
        <v>5.35080105333394</v>
      </c>
      <c r="N275" s="147" t="n">
        <f aca="false">$H$3</f>
        <v>5.35080105333394</v>
      </c>
      <c r="O275" s="147" t="n">
        <f aca="false">$H$3</f>
        <v>5.35080105333394</v>
      </c>
      <c r="P275" s="147" t="n">
        <f aca="false">$H$3</f>
        <v>5.35080105333394</v>
      </c>
      <c r="Q275" s="147" t="n">
        <f aca="false">$H$3</f>
        <v>5.35080105333394</v>
      </c>
      <c r="R275" s="147" t="n">
        <f aca="false">$H$3</f>
        <v>5.35080105333394</v>
      </c>
      <c r="S275" s="147" t="n">
        <f aca="false">$H$3</f>
        <v>5.35080105333394</v>
      </c>
      <c r="T275" s="147" t="n">
        <f aca="false">$H$3</f>
        <v>5.35080105333394</v>
      </c>
      <c r="U275" s="147" t="n">
        <f aca="false">$H$3</f>
        <v>5.35080105333394</v>
      </c>
      <c r="V275" s="147" t="n">
        <f aca="false">$H$3</f>
        <v>5.35080105333394</v>
      </c>
      <c r="W275" s="147" t="n">
        <f aca="false">$H$3</f>
        <v>5.35080105333394</v>
      </c>
      <c r="X275" s="147" t="n">
        <f aca="false">$H$3</f>
        <v>5.35080105333394</v>
      </c>
      <c r="Y275" s="147" t="n">
        <f aca="false">$H$3</f>
        <v>5.35080105333394</v>
      </c>
      <c r="Z275" s="147" t="n">
        <f aca="false">$H$3</f>
        <v>5.35080105333394</v>
      </c>
      <c r="AA275" s="147" t="n">
        <f aca="false">$H$3</f>
        <v>5.35080105333394</v>
      </c>
      <c r="AB275" s="147" t="n">
        <f aca="false">$H$3</f>
        <v>5.35080105333394</v>
      </c>
      <c r="AC275" s="147" t="n">
        <f aca="false">$H$3</f>
        <v>5.35080105333394</v>
      </c>
    </row>
    <row r="276" customFormat="false" ht="15.8" hidden="false" customHeight="false" outlineLevel="0" collapsed="false">
      <c r="A276" s="49" t="s">
        <v>39</v>
      </c>
      <c r="B276" s="1" t="n">
        <f aca="false">SUM(B274:B275)</f>
        <v>185.810690917766</v>
      </c>
      <c r="C276" s="1" t="n">
        <f aca="false">SUM(C274:C275)</f>
        <v>185.810690917766</v>
      </c>
      <c r="D276" s="1" t="n">
        <f aca="false">SUM(D274:D275)</f>
        <v>139.91507045103</v>
      </c>
      <c r="E276" s="4" t="n">
        <f aca="false">SUM(E274:E275)</f>
        <v>112.637681569683</v>
      </c>
      <c r="F276" s="4" t="n">
        <f aca="false">SUM(F274:F275)</f>
        <v>30.8055149256415</v>
      </c>
      <c r="G276" s="4" t="n">
        <f aca="false">SUM(G274:G275)</f>
        <v>30.8055149256415</v>
      </c>
      <c r="H276" s="4" t="n">
        <f aca="false">SUM(H274:H275)</f>
        <v>30.8055149256415</v>
      </c>
      <c r="I276" s="148" t="n">
        <f aca="false">SUM(I274:I275)</f>
        <v>30.8055149256415</v>
      </c>
      <c r="J276" s="148" t="n">
        <f aca="false">SUM(J274:J275)</f>
        <v>30.8055149256415</v>
      </c>
      <c r="K276" s="148" t="n">
        <f aca="false">SUM(K274:K275)</f>
        <v>30.8055149256415</v>
      </c>
      <c r="L276" s="148" t="n">
        <f aca="false">SUM(L274:L275)</f>
        <v>28.2600435384107</v>
      </c>
      <c r="M276" s="148" t="n">
        <f aca="false">SUM(M274:M275)</f>
        <v>28.2600435384107</v>
      </c>
      <c r="N276" s="148" t="n">
        <f aca="false">SUM(N274:N275)</f>
        <v>28.2600435384107</v>
      </c>
      <c r="O276" s="148" t="n">
        <f aca="false">SUM(O274:O275)</f>
        <v>28.2600435384107</v>
      </c>
      <c r="P276" s="148" t="n">
        <f aca="false">SUM(P274:P275)</f>
        <v>28.2600435384107</v>
      </c>
      <c r="Q276" s="148" t="n">
        <f aca="false">SUM(Q274:Q275)</f>
        <v>28.2600435384107</v>
      </c>
      <c r="R276" s="148" t="n">
        <f aca="false">SUM(R274:R275)</f>
        <v>28.2600435384107</v>
      </c>
      <c r="S276" s="148" t="n">
        <f aca="false">SUM(S274:S275)</f>
        <v>25.969119289903</v>
      </c>
      <c r="T276" s="148" t="n">
        <f aca="false">SUM(T274:T275)</f>
        <v>25.969119289903</v>
      </c>
      <c r="U276" s="148" t="n">
        <f aca="false">SUM(U274:U275)</f>
        <v>25.969119289903</v>
      </c>
      <c r="V276" s="148" t="n">
        <f aca="false">SUM(V274:V275)</f>
        <v>25.969119289903</v>
      </c>
      <c r="W276" s="148" t="n">
        <f aca="false">SUM(W274:W275)</f>
        <v>25.969119289903</v>
      </c>
      <c r="X276" s="148" t="n">
        <f aca="false">SUM(X274:X275)</f>
        <v>25.969119289903</v>
      </c>
      <c r="Y276" s="148" t="n">
        <f aca="false">SUM(Y274:Y275)</f>
        <v>25.969119289903</v>
      </c>
      <c r="Z276" s="148" t="n">
        <f aca="false">SUM(Z274:Z275)</f>
        <v>23.9072874662461</v>
      </c>
      <c r="AA276" s="148" t="n">
        <f aca="false">SUM(AA274:AA275)</f>
        <v>23.9072874662461</v>
      </c>
      <c r="AB276" s="148" t="n">
        <f aca="false">SUM(AB274:AB275)</f>
        <v>23.9072874662461</v>
      </c>
      <c r="AC276" s="148" t="n">
        <f aca="false">SUM(AC274:AC275)</f>
        <v>23.9072874662461</v>
      </c>
    </row>
    <row r="277" customFormat="false" ht="12.8" hidden="false" customHeight="false" outlineLevel="0" collapsed="false">
      <c r="A277" s="51" t="s">
        <v>342</v>
      </c>
      <c r="B277" s="1" t="n">
        <f aca="false">($B276-B276)</f>
        <v>0</v>
      </c>
      <c r="C277" s="1" t="n">
        <f aca="false">($B276-C276)</f>
        <v>0</v>
      </c>
      <c r="D277" s="1" t="n">
        <f aca="false">($B276-D276)</f>
        <v>45.8956204667363</v>
      </c>
      <c r="E277" s="4" t="n">
        <f aca="false">($B276-E276)</f>
        <v>73.1730093480834</v>
      </c>
      <c r="F277" s="4" t="n">
        <f aca="false">($B276-F276)</f>
        <v>155.005175992125</v>
      </c>
      <c r="G277" s="4" t="n">
        <f aca="false">($B276-G276)</f>
        <v>155.005175992125</v>
      </c>
      <c r="H277" s="4" t="n">
        <f aca="false">($B276-H276)</f>
        <v>155.005175992125</v>
      </c>
      <c r="I277" s="148" t="n">
        <f aca="false">($B276-I276)</f>
        <v>155.005175992125</v>
      </c>
      <c r="J277" s="148" t="n">
        <f aca="false">($B276-J276)</f>
        <v>155.005175992125</v>
      </c>
      <c r="K277" s="148" t="n">
        <f aca="false">($B276-K276)</f>
        <v>155.005175992125</v>
      </c>
      <c r="L277" s="148" t="n">
        <f aca="false">($B276-L276)</f>
        <v>157.550647379355</v>
      </c>
      <c r="M277" s="148" t="n">
        <f aca="false">($B276-M276)</f>
        <v>157.550647379355</v>
      </c>
      <c r="N277" s="148" t="n">
        <f aca="false">($B276-N276)</f>
        <v>157.550647379355</v>
      </c>
      <c r="O277" s="148" t="n">
        <f aca="false">($B276-O276)</f>
        <v>157.550647379355</v>
      </c>
      <c r="P277" s="148" t="n">
        <f aca="false">($B276-P276)</f>
        <v>157.550647379355</v>
      </c>
      <c r="Q277" s="148" t="n">
        <f aca="false">($B276-Q276)</f>
        <v>157.550647379355</v>
      </c>
      <c r="R277" s="148" t="n">
        <f aca="false">($B276-R276)</f>
        <v>157.550647379355</v>
      </c>
      <c r="S277" s="148" t="n">
        <f aca="false">($B276-S276)</f>
        <v>159.841571627863</v>
      </c>
      <c r="T277" s="148" t="n">
        <f aca="false">($B276-T276)</f>
        <v>159.841571627863</v>
      </c>
      <c r="U277" s="148" t="n">
        <f aca="false">($B276-U276)</f>
        <v>159.841571627863</v>
      </c>
      <c r="V277" s="148" t="n">
        <f aca="false">($B276-V276)</f>
        <v>159.841571627863</v>
      </c>
      <c r="W277" s="148" t="n">
        <f aca="false">($B276-W276)</f>
        <v>159.841571627863</v>
      </c>
      <c r="X277" s="148" t="n">
        <f aca="false">($B276-X276)</f>
        <v>159.841571627863</v>
      </c>
      <c r="Y277" s="148" t="n">
        <f aca="false">($B276-Y276)</f>
        <v>159.841571627863</v>
      </c>
      <c r="Z277" s="148" t="n">
        <f aca="false">($B276-Z276)</f>
        <v>161.90340345152</v>
      </c>
      <c r="AA277" s="148" t="n">
        <f aca="false">($B276-AA276)</f>
        <v>161.90340345152</v>
      </c>
      <c r="AB277" s="148" t="n">
        <f aca="false">($B276-AB276)</f>
        <v>161.90340345152</v>
      </c>
      <c r="AC277" s="148" t="n">
        <f aca="false">($B276-AC276)</f>
        <v>161.90340345152</v>
      </c>
    </row>
    <row r="278" customFormat="false" ht="12.8" hidden="false" customHeight="false" outlineLevel="0" collapsed="false">
      <c r="A278" s="51" t="s">
        <v>343</v>
      </c>
      <c r="B278" s="130" t="n">
        <f aca="false">($B276-B276)/$B276</f>
        <v>0</v>
      </c>
      <c r="C278" s="130" t="n">
        <f aca="false">($B276-C276)/$B276</f>
        <v>0</v>
      </c>
      <c r="D278" s="130" t="n">
        <f aca="false">($B276-D276)/$B276</f>
        <v>0.247002044069941</v>
      </c>
      <c r="E278" s="130" t="n">
        <f aca="false">($B276-E276)/$B276</f>
        <v>0.393804086227027</v>
      </c>
      <c r="F278" s="130" t="n">
        <f aca="false">($B276-F276)/$B276</f>
        <v>0.834210212698283</v>
      </c>
      <c r="G278" s="130" t="n">
        <f aca="false">($B276-G276)/$B276</f>
        <v>0.834210212698283</v>
      </c>
      <c r="H278" s="130" t="n">
        <f aca="false">($B276-H276)/$B276</f>
        <v>0.834210212698283</v>
      </c>
      <c r="I278" s="145" t="n">
        <f aca="false">($B276-I276)/$B276</f>
        <v>0.834210212698283</v>
      </c>
      <c r="J278" s="145" t="n">
        <f aca="false">($B276-J276)/$B276</f>
        <v>0.834210212698283</v>
      </c>
      <c r="K278" s="145" t="n">
        <f aca="false">($B276-K276)/$B276</f>
        <v>0.834210212698283</v>
      </c>
      <c r="L278" s="145" t="n">
        <f aca="false">($B276-L276)/$B276</f>
        <v>0.847909485730734</v>
      </c>
      <c r="M278" s="145" t="n">
        <f aca="false">($B276-M276)/$B276</f>
        <v>0.847909485730734</v>
      </c>
      <c r="N278" s="145" t="n">
        <f aca="false">($B276-N276)/$B276</f>
        <v>0.847909485730734</v>
      </c>
      <c r="O278" s="145" t="n">
        <f aca="false">($B276-O276)/$B276</f>
        <v>0.847909485730734</v>
      </c>
      <c r="P278" s="145" t="n">
        <f aca="false">($B276-P276)/$B276</f>
        <v>0.847909485730734</v>
      </c>
      <c r="Q278" s="145" t="n">
        <f aca="false">($B276-Q276)/$B276</f>
        <v>0.847909485730734</v>
      </c>
      <c r="R278" s="145" t="n">
        <f aca="false">($B276-R276)/$B276</f>
        <v>0.847909485730734</v>
      </c>
      <c r="S278" s="145" t="n">
        <f aca="false">($B276-S276)/$B276</f>
        <v>0.860238831459939</v>
      </c>
      <c r="T278" s="145" t="n">
        <f aca="false">($B276-T276)/$B276</f>
        <v>0.860238831459939</v>
      </c>
      <c r="U278" s="145" t="n">
        <f aca="false">($B276-U276)/$B276</f>
        <v>0.860238831459939</v>
      </c>
      <c r="V278" s="145" t="n">
        <f aca="false">($B276-V276)/$B276</f>
        <v>0.860238831459939</v>
      </c>
      <c r="W278" s="145" t="n">
        <f aca="false">($B276-W276)/$B276</f>
        <v>0.860238831459939</v>
      </c>
      <c r="X278" s="145" t="n">
        <f aca="false">($B276-X276)/$B276</f>
        <v>0.860238831459939</v>
      </c>
      <c r="Y278" s="145" t="n">
        <f aca="false">($B276-Y276)/$B276</f>
        <v>0.860238831459939</v>
      </c>
      <c r="Z278" s="145" t="n">
        <f aca="false">($B276-Z276)/$B276</f>
        <v>0.871335242616224</v>
      </c>
      <c r="AA278" s="145" t="n">
        <f aca="false">($B276-AA276)/$B276</f>
        <v>0.871335242616224</v>
      </c>
      <c r="AB278" s="145" t="n">
        <f aca="false">($B276-AB276)/$B276</f>
        <v>0.871335242616224</v>
      </c>
      <c r="AC278" s="145" t="n">
        <f aca="false">($B276-AC276)/$B276</f>
        <v>0.871335242616224</v>
      </c>
    </row>
    <row r="279" customFormat="false" ht="12.8" hidden="false" customHeight="false" outlineLevel="0" collapsed="false">
      <c r="A279" s="51"/>
      <c r="B279" s="1" t="s">
        <v>1</v>
      </c>
      <c r="C279" s="1" t="s">
        <v>2</v>
      </c>
      <c r="D279" s="1" t="s">
        <v>331</v>
      </c>
      <c r="E279" s="1" t="s">
        <v>3</v>
      </c>
      <c r="F279" s="130"/>
      <c r="G279" s="130"/>
      <c r="H279" s="130"/>
      <c r="I279" s="145"/>
      <c r="J279" s="145"/>
      <c r="K279" s="145"/>
      <c r="L279" s="145"/>
      <c r="M279" s="145"/>
      <c r="N279" s="145"/>
      <c r="O279" s="145"/>
      <c r="P279" s="145"/>
      <c r="Q279" s="145"/>
      <c r="R279" s="145"/>
      <c r="S279" s="145"/>
      <c r="T279" s="145"/>
      <c r="U279" s="145"/>
      <c r="V279" s="145"/>
      <c r="W279" s="145"/>
      <c r="X279" s="145"/>
      <c r="Y279" s="145"/>
      <c r="Z279" s="145"/>
      <c r="AA279" s="145"/>
      <c r="AB279" s="145"/>
      <c r="AC279" s="145"/>
    </row>
    <row r="280" customFormat="false" ht="12.8" hidden="false" customHeight="false" outlineLevel="0" collapsed="false">
      <c r="A280" s="51" t="s">
        <v>20</v>
      </c>
      <c r="B280" s="4" t="n">
        <f aca="false">($B276*6)-(SUM(D276:I276))</f>
        <v>739.089333783318</v>
      </c>
      <c r="C280" s="4" t="n">
        <f aca="false">($B276*11)-(SUM(E276:N276))</f>
        <v>1661.66669835666</v>
      </c>
      <c r="D280" s="4" t="n">
        <f aca="false">($B276*26)-(SUM(D276:AC276))</f>
        <v>3918.45883262418</v>
      </c>
      <c r="E280" s="130"/>
      <c r="F280" s="130"/>
      <c r="G280" s="130"/>
      <c r="H280" s="130"/>
      <c r="I280" s="145"/>
      <c r="J280" s="145"/>
      <c r="K280" s="145"/>
      <c r="L280" s="145"/>
      <c r="M280" s="145"/>
      <c r="N280" s="145"/>
      <c r="O280" s="145"/>
      <c r="P280" s="145"/>
      <c r="Q280" s="145"/>
      <c r="R280" s="145"/>
      <c r="S280" s="145"/>
      <c r="T280" s="145"/>
      <c r="U280" s="145"/>
      <c r="V280" s="145"/>
      <c r="W280" s="145"/>
      <c r="X280" s="145"/>
      <c r="Y280" s="145"/>
      <c r="Z280" s="145"/>
      <c r="AA280" s="145"/>
      <c r="AB280" s="145"/>
      <c r="AC280" s="145"/>
    </row>
    <row r="281" customFormat="false" ht="12.8" hidden="false" customHeight="false" outlineLevel="0" collapsed="false">
      <c r="A281" s="51" t="s">
        <v>17</v>
      </c>
      <c r="B281" s="4" t="n">
        <f aca="false">$B274*6-SUM(D274:I274)</f>
        <v>275.373722800418</v>
      </c>
      <c r="C281" s="4" t="n">
        <f aca="false">$B274*11-SUM(E274:N274)</f>
        <v>537.942953168099</v>
      </c>
      <c r="D281" s="4" t="n">
        <f aca="false">$B274*26-SUM(D274:AC274)</f>
        <v>1272.55211113351</v>
      </c>
      <c r="E281" s="130"/>
      <c r="F281" s="130"/>
      <c r="G281" s="130"/>
      <c r="H281" s="130"/>
      <c r="I281" s="145"/>
      <c r="J281" s="145"/>
      <c r="K281" s="145"/>
      <c r="L281" s="145"/>
      <c r="M281" s="145"/>
      <c r="N281" s="145"/>
      <c r="O281" s="145"/>
      <c r="P281" s="145"/>
      <c r="Q281" s="145"/>
      <c r="R281" s="145"/>
      <c r="S281" s="145"/>
      <c r="T281" s="145"/>
      <c r="U281" s="145"/>
      <c r="V281" s="145"/>
      <c r="W281" s="145"/>
      <c r="X281" s="145"/>
      <c r="Y281" s="145"/>
      <c r="Z281" s="145"/>
      <c r="AA281" s="145"/>
      <c r="AB281" s="145"/>
      <c r="AC281" s="145"/>
    </row>
    <row r="282" customFormat="false" ht="12.8" hidden="false" customHeight="false" outlineLevel="0" collapsed="false">
      <c r="A282" s="51" t="s">
        <v>18</v>
      </c>
      <c r="B282" s="4" t="n">
        <f aca="false">$B275*6-SUM(D275:I275)</f>
        <v>463.7156109829</v>
      </c>
      <c r="C282" s="4" t="n">
        <f aca="false">$B275*11-SUM(E275:N275)</f>
        <v>1123.72374518856</v>
      </c>
      <c r="D282" s="4" t="n">
        <f aca="false">$B275*26-SUM(D275:AC275)</f>
        <v>2645.90672149067</v>
      </c>
      <c r="E282" s="130"/>
      <c r="F282" s="130"/>
      <c r="G282" s="130"/>
      <c r="H282" s="130"/>
      <c r="I282" s="145"/>
      <c r="J282" s="145"/>
      <c r="K282" s="145"/>
      <c r="L282" s="145"/>
      <c r="M282" s="145"/>
      <c r="N282" s="145"/>
      <c r="O282" s="145"/>
      <c r="P282" s="145"/>
      <c r="Q282" s="145"/>
      <c r="R282" s="145"/>
      <c r="S282" s="145"/>
      <c r="T282" s="145"/>
      <c r="U282" s="145"/>
      <c r="V282" s="145"/>
      <c r="W282" s="145"/>
      <c r="X282" s="145"/>
      <c r="Y282" s="145"/>
      <c r="Z282" s="145"/>
      <c r="AA282" s="145"/>
      <c r="AB282" s="145"/>
      <c r="AC282" s="145"/>
    </row>
    <row r="283" customFormat="false" ht="12.8" hidden="false" customHeight="false" outlineLevel="0" collapsed="false">
      <c r="A283" s="51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  <c r="AB283" s="57"/>
      <c r="AC283" s="57"/>
    </row>
    <row r="284" customFormat="false" ht="12.8" hidden="false" customHeight="false" outlineLevel="0" collapsed="false">
      <c r="A284" s="51" t="s">
        <v>346</v>
      </c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  <c r="AB284" s="57"/>
      <c r="AC284" s="57"/>
    </row>
    <row r="285" customFormat="false" ht="12.8" hidden="false" customHeight="false" outlineLevel="0" collapsed="false">
      <c r="A285" s="51" t="s">
        <v>345</v>
      </c>
      <c r="B285" s="1" t="s">
        <v>575</v>
      </c>
      <c r="C285" s="1" t="n">
        <v>2024</v>
      </c>
      <c r="D285" s="1" t="n">
        <v>2025</v>
      </c>
      <c r="E285" s="1" t="n">
        <v>2026</v>
      </c>
      <c r="F285" s="1" t="n">
        <v>2027</v>
      </c>
      <c r="G285" s="1" t="n">
        <v>2028</v>
      </c>
      <c r="H285" s="1" t="n">
        <v>2029</v>
      </c>
      <c r="I285" s="52" t="n">
        <v>2030</v>
      </c>
      <c r="J285" s="52" t="n">
        <v>2031</v>
      </c>
      <c r="K285" s="52" t="n">
        <v>2032</v>
      </c>
      <c r="L285" s="52" t="n">
        <v>2033</v>
      </c>
      <c r="M285" s="52" t="n">
        <v>2034</v>
      </c>
      <c r="N285" s="52" t="n">
        <v>2035</v>
      </c>
      <c r="O285" s="52" t="n">
        <v>2036</v>
      </c>
      <c r="P285" s="52" t="n">
        <v>2037</v>
      </c>
      <c r="Q285" s="52" t="n">
        <v>2038</v>
      </c>
      <c r="R285" s="52" t="n">
        <v>2039</v>
      </c>
      <c r="S285" s="52" t="n">
        <v>2040</v>
      </c>
      <c r="T285" s="52" t="n">
        <v>2041</v>
      </c>
      <c r="U285" s="52" t="n">
        <v>2042</v>
      </c>
      <c r="V285" s="52" t="n">
        <v>2043</v>
      </c>
      <c r="W285" s="52" t="n">
        <v>2044</v>
      </c>
      <c r="X285" s="52" t="n">
        <v>2045</v>
      </c>
      <c r="Y285" s="52" t="n">
        <v>2046</v>
      </c>
      <c r="Z285" s="52" t="n">
        <v>2047</v>
      </c>
      <c r="AA285" s="52" t="n">
        <v>2048</v>
      </c>
      <c r="AB285" s="52" t="n">
        <v>2049</v>
      </c>
      <c r="AC285" s="52" t="n">
        <v>2050</v>
      </c>
    </row>
    <row r="286" customFormat="false" ht="12.8" hidden="false" customHeight="false" outlineLevel="0" collapsed="false">
      <c r="A286" s="51" t="s">
        <v>341</v>
      </c>
      <c r="B286" s="1" t="n">
        <f aca="false">($B$30*$B$28)+($B$39*$B$42)</f>
        <v>71.3503343390438</v>
      </c>
      <c r="C286" s="1" t="n">
        <f aca="false">($B$30*$B$28)+($B$39*$B$42)</f>
        <v>71.3503343390438</v>
      </c>
      <c r="D286" s="1" t="n">
        <f aca="false">($B$30*$B$33)+($B$44*$B$47)</f>
        <v>25.4547138723075</v>
      </c>
      <c r="E286" s="1" t="n">
        <f aca="false">($B$30*$B$33)+($B$44*$B$47)</f>
        <v>25.4547138723075</v>
      </c>
      <c r="F286" s="1" t="n">
        <f aca="false">($B$30*$B$33)+($B$44*$B$47)</f>
        <v>25.4547138723075</v>
      </c>
      <c r="G286" s="1" t="n">
        <f aca="false">($B$30*$B$33)+($B$44*$B$47)</f>
        <v>25.4547138723075</v>
      </c>
      <c r="H286" s="1" t="n">
        <f aca="false">($B$30*$B$33)+($B$44*$B$47)</f>
        <v>25.4547138723075</v>
      </c>
      <c r="I286" s="52" t="n">
        <f aca="false">($B$30*$B$33)+($B$44*$B$47)</f>
        <v>25.4547138723075</v>
      </c>
      <c r="J286" s="52" t="n">
        <f aca="false">($B$30*$B$33)+($B$44*$B$47)</f>
        <v>25.4547138723075</v>
      </c>
      <c r="K286" s="52" t="n">
        <f aca="false">($B$30*$B$33)+($B$44*$B$47)</f>
        <v>25.4547138723075</v>
      </c>
      <c r="L286" s="52" t="n">
        <f aca="false">L$166</f>
        <v>22.9092424850768</v>
      </c>
      <c r="M286" s="52" t="n">
        <f aca="false">M$166</f>
        <v>22.9092424850768</v>
      </c>
      <c r="N286" s="52" t="n">
        <f aca="false">N$166</f>
        <v>22.9092424850768</v>
      </c>
      <c r="O286" s="52" t="n">
        <f aca="false">O$166</f>
        <v>22.9092424850768</v>
      </c>
      <c r="P286" s="52" t="n">
        <f aca="false">P$166</f>
        <v>22.9092424850768</v>
      </c>
      <c r="Q286" s="52" t="n">
        <f aca="false">Q$166</f>
        <v>22.9092424850768</v>
      </c>
      <c r="R286" s="52" t="n">
        <f aca="false">R$166</f>
        <v>22.9092424850768</v>
      </c>
      <c r="S286" s="52" t="n">
        <f aca="false">S$166</f>
        <v>20.6183182365691</v>
      </c>
      <c r="T286" s="52" t="n">
        <f aca="false">T$166</f>
        <v>20.6183182365691</v>
      </c>
      <c r="U286" s="52" t="n">
        <f aca="false">U$166</f>
        <v>20.6183182365691</v>
      </c>
      <c r="V286" s="52" t="n">
        <f aca="false">V$166</f>
        <v>20.6183182365691</v>
      </c>
      <c r="W286" s="52" t="n">
        <f aca="false">W$166</f>
        <v>20.6183182365691</v>
      </c>
      <c r="X286" s="52" t="n">
        <f aca="false">X$166</f>
        <v>20.6183182365691</v>
      </c>
      <c r="Y286" s="52" t="n">
        <f aca="false">Y$166</f>
        <v>20.6183182365691</v>
      </c>
      <c r="Z286" s="52" t="n">
        <f aca="false">Z$166</f>
        <v>18.5564864129122</v>
      </c>
      <c r="AA286" s="52" t="n">
        <f aca="false">AA$166</f>
        <v>18.5564864129122</v>
      </c>
      <c r="AB286" s="52" t="n">
        <f aca="false">AB$166</f>
        <v>18.5564864129122</v>
      </c>
      <c r="AC286" s="52" t="n">
        <f aca="false">AC$166</f>
        <v>18.5564864129122</v>
      </c>
    </row>
    <row r="287" customFormat="false" ht="12.8" hidden="false" customHeight="false" outlineLevel="0" collapsed="false">
      <c r="A287" s="51" t="s">
        <v>18</v>
      </c>
      <c r="B287" s="1" t="n">
        <f aca="false">$B$10</f>
        <v>114.460356578722</v>
      </c>
      <c r="C287" s="1" t="n">
        <f aca="false">$B$10</f>
        <v>114.460356578722</v>
      </c>
      <c r="D287" s="1" t="n">
        <f aca="false">$B$10</f>
        <v>114.460356578722</v>
      </c>
      <c r="E287" s="1" t="n">
        <f aca="false">(0*0.25)+($B$10*0.75)</f>
        <v>85.8452674340417</v>
      </c>
      <c r="F287" s="141" t="n">
        <v>0</v>
      </c>
      <c r="G287" s="141" t="n">
        <v>0</v>
      </c>
      <c r="H287" s="141" t="n">
        <v>0</v>
      </c>
      <c r="I287" s="144" t="n">
        <v>0</v>
      </c>
      <c r="J287" s="141" t="n">
        <v>0</v>
      </c>
      <c r="K287" s="141" t="n">
        <v>0</v>
      </c>
      <c r="L287" s="144" t="n">
        <v>0</v>
      </c>
      <c r="M287" s="141" t="n">
        <v>0</v>
      </c>
      <c r="N287" s="141" t="n">
        <v>0</v>
      </c>
      <c r="O287" s="144" t="n">
        <v>0</v>
      </c>
      <c r="P287" s="141" t="n">
        <v>0</v>
      </c>
      <c r="Q287" s="141" t="n">
        <v>0</v>
      </c>
      <c r="R287" s="144" t="n">
        <v>0</v>
      </c>
      <c r="S287" s="141" t="n">
        <v>0</v>
      </c>
      <c r="T287" s="141" t="n">
        <v>0</v>
      </c>
      <c r="U287" s="144" t="n">
        <v>0</v>
      </c>
      <c r="V287" s="141" t="n">
        <v>0</v>
      </c>
      <c r="W287" s="141" t="n">
        <v>0</v>
      </c>
      <c r="X287" s="144" t="n">
        <v>0</v>
      </c>
      <c r="Y287" s="141" t="n">
        <v>0</v>
      </c>
      <c r="Z287" s="141" t="n">
        <v>0</v>
      </c>
      <c r="AA287" s="144" t="n">
        <v>0</v>
      </c>
      <c r="AB287" s="141" t="n">
        <v>0</v>
      </c>
      <c r="AC287" s="141" t="n">
        <v>0</v>
      </c>
    </row>
    <row r="288" customFormat="false" ht="12.8" hidden="false" customHeight="false" outlineLevel="0" collapsed="false">
      <c r="A288" s="49" t="s">
        <v>39</v>
      </c>
      <c r="B288" s="1" t="n">
        <f aca="false">SUM(B286:B287)</f>
        <v>185.810690917766</v>
      </c>
      <c r="C288" s="1" t="n">
        <f aca="false">SUM(C286:C287)</f>
        <v>185.810690917766</v>
      </c>
      <c r="D288" s="1" t="n">
        <f aca="false">SUM(D286:D287)</f>
        <v>139.91507045103</v>
      </c>
      <c r="E288" s="1" t="n">
        <f aca="false">SUM(E286:E287)</f>
        <v>111.299981306349</v>
      </c>
      <c r="F288" s="1" t="n">
        <f aca="false">SUM(F286:F287)</f>
        <v>25.4547138723075</v>
      </c>
      <c r="G288" s="1" t="n">
        <f aca="false">SUM(G286:G287)</f>
        <v>25.4547138723075</v>
      </c>
      <c r="H288" s="1" t="n">
        <f aca="false">SUM(H286:H287)</f>
        <v>25.4547138723075</v>
      </c>
      <c r="I288" s="52" t="n">
        <f aca="false">SUM(I286:I287)</f>
        <v>25.4547138723075</v>
      </c>
      <c r="J288" s="52" t="n">
        <f aca="false">SUM(J286:J287)</f>
        <v>25.4547138723075</v>
      </c>
      <c r="K288" s="52" t="n">
        <f aca="false">SUM(K286:K287)</f>
        <v>25.4547138723075</v>
      </c>
      <c r="L288" s="52" t="n">
        <f aca="false">SUM(L286:L287)</f>
        <v>22.9092424850768</v>
      </c>
      <c r="M288" s="52" t="n">
        <f aca="false">SUM(M286:M287)</f>
        <v>22.9092424850768</v>
      </c>
      <c r="N288" s="52" t="n">
        <f aca="false">SUM(N286:N287)</f>
        <v>22.9092424850768</v>
      </c>
      <c r="O288" s="52" t="n">
        <f aca="false">SUM(O286:O287)</f>
        <v>22.9092424850768</v>
      </c>
      <c r="P288" s="52" t="n">
        <f aca="false">SUM(P286:P287)</f>
        <v>22.9092424850768</v>
      </c>
      <c r="Q288" s="52" t="n">
        <f aca="false">SUM(Q286:Q287)</f>
        <v>22.9092424850768</v>
      </c>
      <c r="R288" s="52" t="n">
        <f aca="false">SUM(R286:R287)</f>
        <v>22.9092424850768</v>
      </c>
      <c r="S288" s="52" t="n">
        <f aca="false">SUM(S286:S287)</f>
        <v>20.6183182365691</v>
      </c>
      <c r="T288" s="52" t="n">
        <f aca="false">SUM(T286:T287)</f>
        <v>20.6183182365691</v>
      </c>
      <c r="U288" s="52" t="n">
        <f aca="false">SUM(U286:U287)</f>
        <v>20.6183182365691</v>
      </c>
      <c r="V288" s="52" t="n">
        <f aca="false">SUM(V286:V287)</f>
        <v>20.6183182365691</v>
      </c>
      <c r="W288" s="52" t="n">
        <f aca="false">SUM(W286:W287)</f>
        <v>20.6183182365691</v>
      </c>
      <c r="X288" s="52" t="n">
        <f aca="false">SUM(X286:X287)</f>
        <v>20.6183182365691</v>
      </c>
      <c r="Y288" s="52" t="n">
        <f aca="false">SUM(Y286:Y287)</f>
        <v>20.6183182365691</v>
      </c>
      <c r="Z288" s="52" t="n">
        <f aca="false">SUM(Z286:Z287)</f>
        <v>18.5564864129122</v>
      </c>
      <c r="AA288" s="52" t="n">
        <f aca="false">SUM(AA286:AA287)</f>
        <v>18.5564864129122</v>
      </c>
      <c r="AB288" s="52" t="n">
        <f aca="false">SUM(AB286:AB287)</f>
        <v>18.5564864129122</v>
      </c>
      <c r="AC288" s="52" t="n">
        <f aca="false">SUM(AC286:AC287)</f>
        <v>18.5564864129122</v>
      </c>
    </row>
    <row r="289" customFormat="false" ht="12.8" hidden="false" customHeight="false" outlineLevel="0" collapsed="false">
      <c r="A289" s="51" t="s">
        <v>342</v>
      </c>
      <c r="B289" s="1" t="n">
        <f aca="false">($B288-B288)</f>
        <v>0</v>
      </c>
      <c r="C289" s="1" t="n">
        <f aca="false">($B288-C288)</f>
        <v>0</v>
      </c>
      <c r="D289" s="1" t="n">
        <f aca="false">($B288-D288)</f>
        <v>45.8956204667363</v>
      </c>
      <c r="E289" s="1" t="n">
        <f aca="false">($B288-E288)</f>
        <v>74.5107096114169</v>
      </c>
      <c r="F289" s="1" t="n">
        <f aca="false">($B288-F288)</f>
        <v>160.355977045459</v>
      </c>
      <c r="G289" s="1" t="n">
        <f aca="false">($B288-G288)</f>
        <v>160.355977045459</v>
      </c>
      <c r="H289" s="1" t="n">
        <f aca="false">($B288-H288)</f>
        <v>160.355977045459</v>
      </c>
      <c r="I289" s="52" t="n">
        <f aca="false">($B288-I288)</f>
        <v>160.355977045459</v>
      </c>
      <c r="J289" s="52" t="n">
        <f aca="false">($B288-J288)</f>
        <v>160.355977045459</v>
      </c>
      <c r="K289" s="52" t="n">
        <f aca="false">($B288-K288)</f>
        <v>160.355977045459</v>
      </c>
      <c r="L289" s="52" t="n">
        <f aca="false">($B288-L288)</f>
        <v>162.901448432689</v>
      </c>
      <c r="M289" s="52" t="n">
        <f aca="false">($B288-M288)</f>
        <v>162.901448432689</v>
      </c>
      <c r="N289" s="52" t="n">
        <f aca="false">($B288-N288)</f>
        <v>162.901448432689</v>
      </c>
      <c r="O289" s="52" t="n">
        <f aca="false">($B288-O288)</f>
        <v>162.901448432689</v>
      </c>
      <c r="P289" s="52" t="n">
        <f aca="false">($B288-P288)</f>
        <v>162.901448432689</v>
      </c>
      <c r="Q289" s="52" t="n">
        <f aca="false">($B288-Q288)</f>
        <v>162.901448432689</v>
      </c>
      <c r="R289" s="52" t="n">
        <f aca="false">($B288-R288)</f>
        <v>162.901448432689</v>
      </c>
      <c r="S289" s="52" t="n">
        <f aca="false">($B288-S288)</f>
        <v>165.192372681197</v>
      </c>
      <c r="T289" s="52" t="n">
        <f aca="false">($B288-T288)</f>
        <v>165.192372681197</v>
      </c>
      <c r="U289" s="52" t="n">
        <f aca="false">($B288-U288)</f>
        <v>165.192372681197</v>
      </c>
      <c r="V289" s="52" t="n">
        <f aca="false">($B288-V288)</f>
        <v>165.192372681197</v>
      </c>
      <c r="W289" s="52" t="n">
        <f aca="false">($B288-W288)</f>
        <v>165.192372681197</v>
      </c>
      <c r="X289" s="52" t="n">
        <f aca="false">($B288-X288)</f>
        <v>165.192372681197</v>
      </c>
      <c r="Y289" s="52" t="n">
        <f aca="false">($B288-Y288)</f>
        <v>165.192372681197</v>
      </c>
      <c r="Z289" s="52" t="n">
        <f aca="false">($B288-Z288)</f>
        <v>167.254204504854</v>
      </c>
      <c r="AA289" s="52" t="n">
        <f aca="false">($B288-AA288)</f>
        <v>167.254204504854</v>
      </c>
      <c r="AB289" s="52" t="n">
        <f aca="false">($B288-AB288)</f>
        <v>167.254204504854</v>
      </c>
      <c r="AC289" s="52" t="n">
        <f aca="false">($B288-AC288)</f>
        <v>167.254204504854</v>
      </c>
    </row>
    <row r="290" customFormat="false" ht="12.65" hidden="false" customHeight="true" outlineLevel="0" collapsed="false">
      <c r="A290" s="51" t="s">
        <v>343</v>
      </c>
      <c r="B290" s="149" t="n">
        <f aca="false">($B288-B288)/$B288</f>
        <v>0</v>
      </c>
      <c r="C290" s="149" t="n">
        <f aca="false">($B288-C288)/$B288</f>
        <v>0</v>
      </c>
      <c r="D290" s="149" t="n">
        <f aca="false">($B288-D288)/$B288</f>
        <v>0.247002044069941</v>
      </c>
      <c r="E290" s="149" t="n">
        <f aca="false">($B288-E288)/$B288</f>
        <v>0.40100335047133</v>
      </c>
      <c r="F290" s="149" t="n">
        <f aca="false">($B288-F288)/$B288</f>
        <v>0.863007269675495</v>
      </c>
      <c r="G290" s="149" t="n">
        <f aca="false">($B288-G288)/$B288</f>
        <v>0.863007269675495</v>
      </c>
      <c r="H290" s="149" t="n">
        <f aca="false">($B288-H288)/$B288</f>
        <v>0.863007269675495</v>
      </c>
      <c r="I290" s="145" t="n">
        <f aca="false">($B288-I288)/$B288</f>
        <v>0.863007269675495</v>
      </c>
      <c r="J290" s="145" t="n">
        <f aca="false">($B288-J288)/$B288</f>
        <v>0.863007269675495</v>
      </c>
      <c r="K290" s="145" t="n">
        <f aca="false">($B288-K288)/$B288</f>
        <v>0.863007269675495</v>
      </c>
      <c r="L290" s="145" t="n">
        <f aca="false">($B288-L288)/$B288</f>
        <v>0.876706542707945</v>
      </c>
      <c r="M290" s="145" t="n">
        <f aca="false">($B288-M288)/$B288</f>
        <v>0.876706542707945</v>
      </c>
      <c r="N290" s="145" t="n">
        <f aca="false">($B288-N288)/$B288</f>
        <v>0.876706542707945</v>
      </c>
      <c r="O290" s="145" t="n">
        <f aca="false">($B288-O288)/$B288</f>
        <v>0.876706542707945</v>
      </c>
      <c r="P290" s="145" t="n">
        <f aca="false">($B288-P288)/$B288</f>
        <v>0.876706542707945</v>
      </c>
      <c r="Q290" s="145" t="n">
        <f aca="false">($B288-Q288)/$B288</f>
        <v>0.876706542707945</v>
      </c>
      <c r="R290" s="145" t="n">
        <f aca="false">($B288-R288)/$B288</f>
        <v>0.876706542707945</v>
      </c>
      <c r="S290" s="145" t="n">
        <f aca="false">($B288-S288)/$B288</f>
        <v>0.889035888437151</v>
      </c>
      <c r="T290" s="145" t="n">
        <f aca="false">($B288-T288)/$B288</f>
        <v>0.889035888437151</v>
      </c>
      <c r="U290" s="145" t="n">
        <f aca="false">($B288-U288)/$B288</f>
        <v>0.889035888437151</v>
      </c>
      <c r="V290" s="145" t="n">
        <f aca="false">($B288-V288)/$B288</f>
        <v>0.889035888437151</v>
      </c>
      <c r="W290" s="145" t="n">
        <f aca="false">($B288-W288)/$B288</f>
        <v>0.889035888437151</v>
      </c>
      <c r="X290" s="145" t="n">
        <f aca="false">($B288-X288)/$B288</f>
        <v>0.889035888437151</v>
      </c>
      <c r="Y290" s="145" t="n">
        <f aca="false">($B288-Y288)/$B288</f>
        <v>0.889035888437151</v>
      </c>
      <c r="Z290" s="145" t="n">
        <f aca="false">($B288-Z288)/$B288</f>
        <v>0.900132299593436</v>
      </c>
      <c r="AA290" s="145" t="n">
        <f aca="false">($B288-AA288)/$B288</f>
        <v>0.900132299593436</v>
      </c>
      <c r="AB290" s="145" t="n">
        <f aca="false">($B288-AB288)/$B288</f>
        <v>0.900132299593436</v>
      </c>
      <c r="AC290" s="145" t="n">
        <f aca="false">($B288-AC288)/$B288</f>
        <v>0.900132299593436</v>
      </c>
    </row>
    <row r="291" customFormat="false" ht="12.65" hidden="false" customHeight="true" outlineLevel="0" collapsed="false">
      <c r="A291" s="51"/>
      <c r="B291" s="1" t="s">
        <v>1</v>
      </c>
      <c r="C291" s="1" t="s">
        <v>2</v>
      </c>
      <c r="D291" s="1" t="s">
        <v>331</v>
      </c>
      <c r="E291" s="1" t="s">
        <v>3</v>
      </c>
      <c r="F291" s="149"/>
      <c r="G291" s="149"/>
      <c r="H291" s="149"/>
      <c r="I291" s="145"/>
      <c r="J291" s="145"/>
      <c r="K291" s="145"/>
      <c r="L291" s="145"/>
      <c r="M291" s="145"/>
      <c r="N291" s="145"/>
      <c r="O291" s="145"/>
      <c r="P291" s="145"/>
      <c r="Q291" s="145"/>
      <c r="R291" s="145"/>
      <c r="S291" s="145"/>
      <c r="T291" s="145"/>
      <c r="U291" s="145"/>
      <c r="V291" s="145"/>
      <c r="W291" s="145"/>
      <c r="X291" s="145"/>
      <c r="Y291" s="145"/>
      <c r="Z291" s="145"/>
      <c r="AA291" s="145"/>
      <c r="AB291" s="145"/>
      <c r="AC291" s="145"/>
    </row>
    <row r="292" customFormat="false" ht="12.8" hidden="false" customHeight="false" outlineLevel="0" collapsed="false">
      <c r="A292" s="51" t="s">
        <v>20</v>
      </c>
      <c r="B292" s="4" t="n">
        <f aca="false">($B288*6)-(SUM(D288:I288))</f>
        <v>761.830238259987</v>
      </c>
      <c r="C292" s="4" t="n">
        <f aca="false">($B288*11)-(SUM(E288:N288))</f>
        <v>1711.1616081</v>
      </c>
      <c r="D292" s="4" t="n">
        <f aca="false">($B288*26)-(SUM(D288:AC288))</f>
        <v>4048.21575816752</v>
      </c>
      <c r="E292" s="149"/>
      <c r="F292" s="149"/>
      <c r="G292" s="149"/>
      <c r="H292" s="149"/>
      <c r="I292" s="145"/>
    </row>
    <row r="293" customFormat="false" ht="12.8" hidden="false" customHeight="false" outlineLevel="0" collapsed="false">
      <c r="A293" s="51" t="s">
        <v>17</v>
      </c>
      <c r="B293" s="4" t="n">
        <f aca="false">$B286*6-SUM(D286:I286)</f>
        <v>275.373722800418</v>
      </c>
      <c r="C293" s="4" t="n">
        <f aca="false">$B286*11-SUM(E286:N286)</f>
        <v>537.942953168099</v>
      </c>
      <c r="D293" s="4" t="n">
        <f aca="false">$B286*26-SUM(D286:AC286)</f>
        <v>1272.55211113351</v>
      </c>
      <c r="E293" s="149"/>
      <c r="F293" s="149"/>
      <c r="G293" s="149"/>
      <c r="H293" s="149"/>
      <c r="I293" s="145"/>
    </row>
    <row r="294" customFormat="false" ht="12.8" hidden="false" customHeight="false" outlineLevel="0" collapsed="false">
      <c r="A294" s="83" t="s">
        <v>18</v>
      </c>
      <c r="B294" s="4" t="n">
        <f aca="false">$B287*6-SUM(D287:I287)</f>
        <v>486.45651545957</v>
      </c>
      <c r="C294" s="4" t="n">
        <f aca="false">$B287*11-SUM(E287:N287)</f>
        <v>1173.2186549319</v>
      </c>
      <c r="D294" s="4" t="n">
        <f aca="false">$B287*26-SUM(D287:AC287)</f>
        <v>2775.66364703401</v>
      </c>
      <c r="E294" s="150"/>
      <c r="F294" s="150"/>
      <c r="G294" s="150"/>
      <c r="H294" s="150"/>
      <c r="I294" s="151"/>
    </row>
    <row r="296" customFormat="false" ht="12.8" hidden="false" customHeight="false" outlineLevel="0" collapsed="false">
      <c r="A296" s="1" t="s">
        <v>579</v>
      </c>
    </row>
    <row r="297" customFormat="false" ht="12.8" hidden="false" customHeight="false" outlineLevel="0" collapsed="false">
      <c r="A297" s="1" t="s">
        <v>348</v>
      </c>
      <c r="B297" s="1" t="s">
        <v>1</v>
      </c>
      <c r="C297" s="1" t="s">
        <v>2</v>
      </c>
      <c r="D297" s="1" t="s">
        <v>331</v>
      </c>
      <c r="E297" s="1" t="s">
        <v>3</v>
      </c>
    </row>
    <row r="298" customFormat="false" ht="12.8" hidden="false" customHeight="false" outlineLevel="0" collapsed="false">
      <c r="A298" s="1" t="s">
        <v>334</v>
      </c>
      <c r="B298" s="4" t="n">
        <f aca="false">B239*6</f>
        <v>99.9397763951401</v>
      </c>
      <c r="C298" s="4" t="n">
        <f aca="false">C239*11</f>
        <v>450.659421047925</v>
      </c>
      <c r="D298" s="4" t="n">
        <f aca="false">D239*16</f>
        <v>7358.87226347378</v>
      </c>
    </row>
    <row r="299" customFormat="false" ht="12.8" hidden="false" customHeight="false" outlineLevel="0" collapsed="false">
      <c r="A299" s="1" t="s">
        <v>335</v>
      </c>
      <c r="B299" s="4" t="n">
        <f aca="false">B240*6</f>
        <v>1577.09956172623</v>
      </c>
      <c r="C299" s="4" t="n">
        <f aca="false">C240*11</f>
        <v>3486.52738788489</v>
      </c>
      <c r="D299" s="4" t="n">
        <f aca="false">D240*16</f>
        <v>12259.5509375093</v>
      </c>
    </row>
    <row r="300" customFormat="false" ht="12.8" hidden="false" customHeight="false" outlineLevel="0" collapsed="false">
      <c r="A300" s="1" t="s">
        <v>336</v>
      </c>
      <c r="B300" s="4" t="n">
        <f aca="false">B241*6</f>
        <v>2449.30683596353</v>
      </c>
      <c r="C300" s="4" t="n">
        <f aca="false">C241*11</f>
        <v>7353.74096227183</v>
      </c>
      <c r="D300" s="4" t="n">
        <f aca="false">D241*16</f>
        <v>47997.894008068</v>
      </c>
    </row>
    <row r="301" customFormat="false" ht="12.8" hidden="false" customHeight="false" outlineLevel="0" collapsed="false">
      <c r="A301" s="1" t="s">
        <v>337</v>
      </c>
      <c r="B301" s="4" t="n">
        <f aca="false">B242*6</f>
        <v>3389.37409719559</v>
      </c>
      <c r="C301" s="4" t="n">
        <f aca="false">C242*11</f>
        <v>11554.4297504263</v>
      </c>
      <c r="D301" s="4" t="n">
        <f aca="false">D242*16</f>
        <v>69188.1813893541</v>
      </c>
    </row>
    <row r="302" customFormat="false" ht="12.8" hidden="false" customHeight="false" outlineLevel="0" collapsed="false">
      <c r="B302" s="4"/>
      <c r="C302" s="4"/>
      <c r="D302" s="4"/>
    </row>
    <row r="303" customFormat="false" ht="12.8" hidden="false" customHeight="false" outlineLevel="0" collapsed="false">
      <c r="A303" s="1" t="s">
        <v>349</v>
      </c>
      <c r="B303" s="4"/>
      <c r="C303" s="4"/>
      <c r="D303" s="4"/>
    </row>
    <row r="304" customFormat="false" ht="12.8" hidden="false" customHeight="false" outlineLevel="0" collapsed="false">
      <c r="A304" s="1" t="s">
        <v>334</v>
      </c>
      <c r="B304" s="4" t="n">
        <f aca="false">B213-(SUM(D213:I213)/6)</f>
        <v>0.0849068529625754</v>
      </c>
      <c r="C304" s="4" t="n">
        <f aca="false">B213-SUM(D213:N213)/11</f>
        <v>0.507704417334765</v>
      </c>
      <c r="D304" s="4" t="n">
        <f aca="false">B213-(AVERAGE(N213:AC213))</f>
        <v>7.11394584877812</v>
      </c>
    </row>
    <row r="305" customFormat="false" ht="12.8" hidden="false" customHeight="false" outlineLevel="0" collapsed="false">
      <c r="A305" s="1" t="s">
        <v>350</v>
      </c>
      <c r="B305" s="4" t="n">
        <f aca="false">B237*6</f>
        <v>739.089333783318</v>
      </c>
      <c r="C305" s="4" t="n">
        <f aca="false">C237*11</f>
        <v>1523.51873200917</v>
      </c>
      <c r="D305" s="4" t="n">
        <f aca="false">D237*16</f>
        <v>2661.49784776154</v>
      </c>
    </row>
    <row r="307" customFormat="false" ht="12.8" hidden="false" customHeight="false" outlineLevel="0" collapsed="false">
      <c r="A307" s="1" t="s">
        <v>580</v>
      </c>
    </row>
    <row r="308" customFormat="false" ht="12.8" hidden="false" customHeight="false" outlineLevel="0" collapsed="false">
      <c r="A308" s="1" t="e">
        <f aca="false">#REF!</f>
        <v>#REF!</v>
      </c>
      <c r="B308" s="1" t="e">
        <f aca="false">#REF!</f>
        <v>#REF!</v>
      </c>
      <c r="C308" s="1" t="e">
        <f aca="false">#REF!</f>
        <v>#REF!</v>
      </c>
      <c r="D308" s="1" t="e">
        <f aca="false">#REF!</f>
        <v>#REF!</v>
      </c>
      <c r="E308" s="1" t="s">
        <v>3</v>
      </c>
    </row>
    <row r="309" customFormat="false" ht="12.8" hidden="false" customHeight="false" outlineLevel="0" collapsed="false">
      <c r="A309" s="1" t="e">
        <f aca="false">#REF!</f>
        <v>#REF!</v>
      </c>
      <c r="B309" s="4" t="e">
        <f aca="false">#REF!</f>
        <v>#REF!</v>
      </c>
      <c r="C309" s="4" t="e">
        <f aca="false">#REF!</f>
        <v>#REF!</v>
      </c>
      <c r="D309" s="4" t="e">
        <f aca="false">#REF!</f>
        <v>#REF!</v>
      </c>
    </row>
    <row r="310" customFormat="false" ht="12.8" hidden="false" customHeight="false" outlineLevel="0" collapsed="false">
      <c r="A310" s="1" t="e">
        <f aca="false">#REF!</f>
        <v>#REF!</v>
      </c>
      <c r="B310" s="4" t="e">
        <f aca="false">#REF!</f>
        <v>#REF!</v>
      </c>
      <c r="C310" s="4" t="e">
        <f aca="false">#REF!</f>
        <v>#REF!</v>
      </c>
      <c r="D310" s="4" t="e">
        <f aca="false">#REF!</f>
        <v>#REF!</v>
      </c>
    </row>
    <row r="311" customFormat="false" ht="12.8" hidden="false" customHeight="false" outlineLevel="0" collapsed="false">
      <c r="A311" s="1" t="e">
        <f aca="false">#REF!</f>
        <v>#REF!</v>
      </c>
      <c r="B311" s="4" t="e">
        <f aca="false">#REF!</f>
        <v>#REF!</v>
      </c>
      <c r="C311" s="4" t="e">
        <f aca="false">#REF!</f>
        <v>#REF!</v>
      </c>
      <c r="D311" s="4" t="e">
        <f aca="false">#REF!</f>
        <v>#REF!</v>
      </c>
    </row>
    <row r="312" customFormat="false" ht="12.8" hidden="false" customHeight="false" outlineLevel="0" collapsed="false">
      <c r="A312" s="1" t="e">
        <f aca="false">#REF!</f>
        <v>#REF!</v>
      </c>
      <c r="B312" s="4" t="e">
        <f aca="false">#REF!</f>
        <v>#REF!</v>
      </c>
      <c r="C312" s="4" t="e">
        <f aca="false">#REF!</f>
        <v>#REF!</v>
      </c>
      <c r="D312" s="4" t="e">
        <f aca="false">#REF!</f>
        <v>#REF!</v>
      </c>
    </row>
    <row r="313" customFormat="false" ht="12.8" hidden="false" customHeight="false" outlineLevel="0" collapsed="false">
      <c r="B313" s="4"/>
      <c r="C313" s="4"/>
      <c r="D313" s="4"/>
    </row>
    <row r="314" customFormat="false" ht="12.8" hidden="false" customHeight="false" outlineLevel="0" collapsed="false">
      <c r="A314" s="1" t="e">
        <f aca="false">#REF!</f>
        <v>#REF!</v>
      </c>
      <c r="B314" s="4"/>
      <c r="C314" s="4"/>
      <c r="D314" s="4"/>
      <c r="E314" s="1" t="s">
        <v>3</v>
      </c>
    </row>
    <row r="315" customFormat="false" ht="12.8" hidden="false" customHeight="false" outlineLevel="0" collapsed="false">
      <c r="A315" s="1" t="e">
        <f aca="false">#REF!</f>
        <v>#REF!</v>
      </c>
      <c r="B315" s="4" t="e">
        <f aca="false">#REF!</f>
        <v>#REF!</v>
      </c>
      <c r="C315" s="4" t="e">
        <f aca="false">#REF!</f>
        <v>#REF!</v>
      </c>
      <c r="D315" s="4" t="e">
        <f aca="false">#REF!</f>
        <v>#REF!</v>
      </c>
    </row>
    <row r="316" customFormat="false" ht="12.8" hidden="false" customHeight="false" outlineLevel="0" collapsed="false">
      <c r="A316" s="1" t="e">
        <f aca="false">#REF!</f>
        <v>#REF!</v>
      </c>
      <c r="B316" s="4" t="e">
        <f aca="false">#REF!</f>
        <v>#REF!</v>
      </c>
      <c r="C316" s="4" t="e">
        <f aca="false">#REF!</f>
        <v>#REF!</v>
      </c>
      <c r="D316" s="4" t="e">
        <f aca="false">#REF!</f>
        <v>#REF!</v>
      </c>
    </row>
    <row r="319" customFormat="false" ht="12.8" hidden="false" customHeight="false" outlineLevel="0" collapsed="false">
      <c r="A319" s="4" t="s">
        <v>581</v>
      </c>
      <c r="B319" s="4" t="s">
        <v>1</v>
      </c>
      <c r="C319" s="4" t="s">
        <v>2</v>
      </c>
      <c r="D319" s="1" t="s">
        <v>3</v>
      </c>
    </row>
    <row r="320" customFormat="false" ht="12.8" hidden="false" customHeight="false" outlineLevel="0" collapsed="false">
      <c r="A320" s="4" t="s">
        <v>4</v>
      </c>
      <c r="B320" s="4" t="n">
        <f aca="false">$B$159*6-SUM(D159:I159)</f>
        <v>0</v>
      </c>
      <c r="C320" s="4" t="n">
        <f aca="false">$B$159*6-SUM(E159:J159)</f>
        <v>0</v>
      </c>
      <c r="D320" s="4" t="n">
        <f aca="false">$B$159*26-SUM(D159:AC159)</f>
        <v>0</v>
      </c>
    </row>
    <row r="321" customFormat="false" ht="12.8" hidden="false" customHeight="false" outlineLevel="0" collapsed="false">
      <c r="A321" s="4" t="s">
        <v>5</v>
      </c>
      <c r="B321" s="4" t="n">
        <f aca="false">$B$158*6-SUM(D158:I158)</f>
        <v>0.509441117775396</v>
      </c>
      <c r="C321" s="4" t="n">
        <f aca="false">$B$160*11-SUM(D160:N160)</f>
        <v>5.58474859068247</v>
      </c>
      <c r="D321" s="4" t="n">
        <f aca="false">$B$160*26-SUM(D160:AC160)</f>
        <v>117.959139987252</v>
      </c>
    </row>
    <row r="322" customFormat="false" ht="12.8" hidden="false" customHeight="false" outlineLevel="0" collapsed="false">
      <c r="A322" s="4" t="s">
        <v>6</v>
      </c>
      <c r="B322" s="4" t="n">
        <f aca="false">$B$160*6-SUM(D160:I160)</f>
        <v>0.509441117775396</v>
      </c>
      <c r="C322" s="4" t="n">
        <f aca="false">$B$160*6-SUM(E160:J160)</f>
        <v>1.15356514190398</v>
      </c>
      <c r="D322" s="4" t="n">
        <f aca="false">$B$160*6-SUM(F160:K160)</f>
        <v>1.95441585411118</v>
      </c>
    </row>
    <row r="323" customFormat="false" ht="12.8" hidden="false" customHeight="false" outlineLevel="0" collapsed="false">
      <c r="A323" s="4" t="s">
        <v>7</v>
      </c>
      <c r="B323" s="4" t="n">
        <f aca="false">$B$184*6-SUM(D184:I184)</f>
        <v>81.343050746349</v>
      </c>
      <c r="C323" s="4" t="n">
        <f aca="false">$B$184*11-SUM(D184:N184)</f>
        <v>348.022463035108</v>
      </c>
      <c r="D323" s="4" t="n">
        <f aca="false">$B$184*26-SUM(D184:AC184)</f>
        <v>3562.85623013796</v>
      </c>
    </row>
    <row r="324" customFormat="false" ht="12.8" hidden="false" customHeight="false" outlineLevel="0" collapsed="false">
      <c r="A324" s="4" t="s">
        <v>8</v>
      </c>
      <c r="B324" s="4" t="n">
        <f aca="false">$B$185*6-SUM(D185:I185)</f>
        <v>595.978815540806</v>
      </c>
      <c r="C324" s="4" t="n">
        <f aca="false">$B$185*11-SUM(D185:N185)</f>
        <v>2620.07622218937</v>
      </c>
      <c r="D324" s="4" t="n">
        <f aca="false">$B$185*26-SUM(D185:AC185)</f>
        <v>32107.431257644</v>
      </c>
    </row>
    <row r="325" customFormat="false" ht="12.8" hidden="false" customHeight="false" outlineLevel="0" collapsed="false">
      <c r="A325" s="4" t="s">
        <v>9</v>
      </c>
      <c r="B325" s="5" t="n">
        <f aca="false">SUM(B323:B324)</f>
        <v>677.321866287155</v>
      </c>
      <c r="C325" s="5" t="n">
        <f aca="false">SUM(C323:C324)</f>
        <v>2968.09868522448</v>
      </c>
      <c r="D325" s="5" t="n">
        <f aca="false">SUM(D323:D324)</f>
        <v>35670.287487782</v>
      </c>
    </row>
    <row r="326" customFormat="false" ht="12.8" hidden="false" customHeight="false" outlineLevel="0" collapsed="false">
      <c r="A326" s="4" t="s">
        <v>10</v>
      </c>
      <c r="B326" s="4" t="n">
        <f aca="false">$B$192*6-SUM(D192:I192)</f>
        <v>136.757826639776</v>
      </c>
      <c r="C326" s="4" t="n">
        <f aca="false">$B$192*11-SUM(D192:N192)</f>
        <v>666.41286223623</v>
      </c>
      <c r="D326" s="4" t="n">
        <f aca="false">$B$192*26-SUM(D192:AC192)</f>
        <v>8924.34398622256</v>
      </c>
    </row>
    <row r="327" customFormat="false" ht="12.8" hidden="false" customHeight="false" outlineLevel="0" collapsed="false">
      <c r="A327" s="4" t="s">
        <v>11</v>
      </c>
      <c r="B327" s="4" t="n">
        <f aca="false">$B$193*6-SUM(D193:I193)</f>
        <v>834.370341757123</v>
      </c>
      <c r="C327" s="4" t="n">
        <f aca="false">$B$193*11-SUM(D193:N193)</f>
        <v>3640.29063601727</v>
      </c>
      <c r="D327" s="4" t="n">
        <f aca="false">$B$193*26-SUM(D193:AC193)</f>
        <v>37267.406077034</v>
      </c>
    </row>
    <row r="328" customFormat="false" ht="12.8" hidden="false" customHeight="false" outlineLevel="0" collapsed="false">
      <c r="A328" s="4" t="s">
        <v>12</v>
      </c>
      <c r="B328" s="5" t="n">
        <f aca="false">SUM(B326:B327)</f>
        <v>971.128168396899</v>
      </c>
      <c r="C328" s="5" t="n">
        <f aca="false">SUM(C326:C327)</f>
        <v>4306.7034982535</v>
      </c>
      <c r="D328" s="5" t="n">
        <f aca="false">SUM(D326:D327)</f>
        <v>46191.7500632566</v>
      </c>
    </row>
    <row r="329" customFormat="false" ht="12.8" hidden="false" customHeight="false" outlineLevel="0" collapsed="false">
      <c r="A329" s="4" t="s">
        <v>13</v>
      </c>
      <c r="B329" s="4" t="n">
        <f aca="false">$B$204*6-SUM(D204:I204)</f>
        <v>242.454746114712</v>
      </c>
      <c r="C329" s="4" t="n">
        <f aca="false">$B$204*11-SUM(D204:N204)</f>
        <v>1421.52353970839</v>
      </c>
      <c r="D329" s="4" t="n">
        <f aca="false">$B$204*26-SUM(D204:AC204)</f>
        <v>23288.0737086676</v>
      </c>
    </row>
    <row r="330" customFormat="false" ht="12.8" hidden="false" customHeight="false" outlineLevel="0" collapsed="false">
      <c r="A330" s="4" t="s">
        <v>14</v>
      </c>
      <c r="B330" s="4" t="n">
        <f aca="false">$B$205*6-SUM(D205:I205)</f>
        <v>1668.74068351424</v>
      </c>
      <c r="C330" s="4" t="n">
        <f aca="false">$B$205*11-SUM(D205:N205)</f>
        <v>7085.86874669959</v>
      </c>
      <c r="D330" s="4" t="n">
        <f aca="false">$B$205*26-SUM(D205:AC205)</f>
        <v>47358.4590287173</v>
      </c>
    </row>
    <row r="331" customFormat="false" ht="12.8" hidden="false" customHeight="false" outlineLevel="0" collapsed="false">
      <c r="A331" s="4" t="s">
        <v>15</v>
      </c>
      <c r="B331" s="5" t="n">
        <f aca="false">SUM(B329:B330)</f>
        <v>1911.19542962896</v>
      </c>
      <c r="C331" s="5" t="n">
        <f aca="false">SUM(C329:C330)</f>
        <v>8507.39228640798</v>
      </c>
      <c r="D331" s="5" t="n">
        <f aca="false">SUM(D329:D330)</f>
        <v>70646.5327373849</v>
      </c>
    </row>
    <row r="333" customFormat="false" ht="12.8" hidden="false" customHeight="false" outlineLevel="0" collapsed="false">
      <c r="A333" s="1" t="s">
        <v>351</v>
      </c>
    </row>
    <row r="334" customFormat="false" ht="12.8" hidden="false" customHeight="false" outlineLevel="0" collapsed="false">
      <c r="A334" s="9" t="s">
        <v>334</v>
      </c>
      <c r="B334" s="4" t="n">
        <f aca="false">$B$183*6-SUM(D209:I209)</f>
        <v>0.509441117775396</v>
      </c>
      <c r="D334" s="4" t="n">
        <f aca="false">$B$183*26-SUM(D209:AC209)</f>
        <v>117.959139987252</v>
      </c>
    </row>
    <row r="335" customFormat="false" ht="12.8" hidden="false" customHeight="false" outlineLevel="0" collapsed="false">
      <c r="A335" s="9" t="s">
        <v>17</v>
      </c>
      <c r="B335" s="4" t="n">
        <f aca="false">$B$181*6-SUM(D181:I181)</f>
        <v>275.373722800418</v>
      </c>
      <c r="C335" s="4" t="n">
        <f aca="false">$B$181*11-SUM(D181:O181)</f>
        <v>489.578996810715</v>
      </c>
      <c r="D335" s="4" t="n">
        <f aca="false">$B$181*26-SUM(D181:AC181)</f>
        <v>1272.55211113351</v>
      </c>
    </row>
    <row r="336" customFormat="false" ht="12.8" hidden="false" customHeight="false" outlineLevel="0" collapsed="false">
      <c r="A336" s="9" t="s">
        <v>18</v>
      </c>
      <c r="B336" s="4" t="n">
        <f aca="false">$B$182*6-SUM(D182:I182)</f>
        <v>463.7156109829</v>
      </c>
      <c r="C336" s="4" t="n">
        <f aca="false">$B$182*11-SUM(D182:N182)</f>
        <v>1009.26338860984</v>
      </c>
      <c r="D336" s="4" t="n">
        <f aca="false">$B$182*26-SUM(D182:AC182)</f>
        <v>2645.90672149067</v>
      </c>
    </row>
    <row r="337" customFormat="false" ht="12.8" hidden="false" customHeight="false" outlineLevel="0" collapsed="false">
      <c r="A337" s="10" t="s">
        <v>20</v>
      </c>
      <c r="B337" s="5" t="n">
        <f aca="false">SUM(B335:B336)</f>
        <v>739.089333783318</v>
      </c>
      <c r="C337" s="5" t="n">
        <f aca="false">SUM(C335:C336)</f>
        <v>1498.84238542056</v>
      </c>
      <c r="D337" s="5" t="n">
        <f aca="false">SUM(D335:D336)</f>
        <v>3918.45883262418</v>
      </c>
    </row>
    <row r="339" customFormat="false" ht="12.8" hidden="false" customHeight="false" outlineLevel="0" collapsed="false">
      <c r="A339" s="1" t="s">
        <v>21</v>
      </c>
      <c r="B339" s="1" t="n">
        <f aca="false">B325+B$337</f>
        <v>1416.41120007047</v>
      </c>
      <c r="C339" s="1"/>
      <c r="D339" s="4" t="n">
        <f aca="false">D325+D$337</f>
        <v>39588.7463204061</v>
      </c>
    </row>
    <row r="340" customFormat="false" ht="12.8" hidden="false" customHeight="false" outlineLevel="0" collapsed="false">
      <c r="A340" s="1" t="s">
        <v>22</v>
      </c>
      <c r="B340" s="1" t="n">
        <f aca="false">B328+B$337</f>
        <v>1710.21750218022</v>
      </c>
      <c r="C340" s="1"/>
      <c r="D340" s="4" t="n">
        <f aca="false">D328+D$337</f>
        <v>50110.2088958808</v>
      </c>
    </row>
    <row r="341" customFormat="false" ht="12.8" hidden="false" customHeight="false" outlineLevel="0" collapsed="false">
      <c r="A341" s="1" t="s">
        <v>23</v>
      </c>
      <c r="B341" s="1" t="n">
        <f aca="false">B331+B$337</f>
        <v>2650.28476341227</v>
      </c>
      <c r="C341" s="1"/>
      <c r="D341" s="4" t="n">
        <f aca="false">D331+D$337</f>
        <v>74564.9915700091</v>
      </c>
    </row>
    <row r="342" customFormat="false" ht="12.8" hidden="false" customHeight="false" outlineLevel="0" collapsed="false">
      <c r="C342" s="1"/>
      <c r="D342" s="4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E383"/>
  <sheetViews>
    <sheetView showFormulas="false" showGridLines="true" showRowColHeaders="true" showZeros="true" rightToLeft="false" tabSelected="false" showOutlineSymbols="true" defaultGridColor="true" view="normal" topLeftCell="A37" colorId="64" zoomScale="100" zoomScaleNormal="100" zoomScalePageLayoutView="100" workbookViewId="0">
      <selection pane="topLeft" activeCell="O378" activeCellId="1" sqref="B3:D14 O378"/>
    </sheetView>
  </sheetViews>
  <sheetFormatPr defaultColWidth="12.8046875" defaultRowHeight="12.8" zeroHeight="false" outlineLevelRow="0" outlineLevelCol="0"/>
  <cols>
    <col collapsed="false" customWidth="true" hidden="false" outlineLevel="0" max="1" min="1" style="1" width="54.96"/>
    <col collapsed="false" customWidth="true" hidden="false" outlineLevel="0" max="2" min="2" style="1" width="23.93"/>
    <col collapsed="false" customWidth="true" hidden="false" outlineLevel="0" max="4" min="4" style="1" width="35.04"/>
    <col collapsed="false" customWidth="true" hidden="false" outlineLevel="0" max="7" min="7" style="10" width="13.89"/>
  </cols>
  <sheetData>
    <row r="1" customFormat="false" ht="22.35" hidden="false" customHeight="true" outlineLevel="0" collapsed="false">
      <c r="A1" s="1" t="s">
        <v>223</v>
      </c>
      <c r="B1" s="1" t="s">
        <v>27</v>
      </c>
      <c r="C1" s="1" t="s">
        <v>224</v>
      </c>
      <c r="D1" s="1" t="s">
        <v>225</v>
      </c>
      <c r="F1" s="114" t="s">
        <v>226</v>
      </c>
      <c r="G1" s="115" t="s">
        <v>227</v>
      </c>
      <c r="H1" s="116" t="s">
        <v>228</v>
      </c>
    </row>
    <row r="2" customFormat="false" ht="12.8" hidden="false" customHeight="false" outlineLevel="0" collapsed="false">
      <c r="A2" s="1" t="s">
        <v>229</v>
      </c>
      <c r="B2" s="2" t="n">
        <v>1189.49</v>
      </c>
      <c r="C2" s="117" t="n">
        <v>6880</v>
      </c>
      <c r="D2" s="1" t="n">
        <f aca="false">C2*12</f>
        <v>82560</v>
      </c>
      <c r="F2" s="118" t="s">
        <v>230</v>
      </c>
      <c r="G2" s="119" t="n">
        <v>0.406631839034269</v>
      </c>
      <c r="H2" s="120" t="n">
        <f aca="false">$G2*$B$16</f>
        <v>26.8572197045354</v>
      </c>
    </row>
    <row r="3" customFormat="false" ht="23.85" hidden="false" customHeight="false" outlineLevel="0" collapsed="false">
      <c r="A3" s="1" t="s">
        <v>231</v>
      </c>
      <c r="B3" s="2" t="n">
        <v>1292.01</v>
      </c>
      <c r="C3" s="121" t="n">
        <v>2250</v>
      </c>
      <c r="D3" s="1" t="n">
        <f aca="false">C3*12</f>
        <v>27000</v>
      </c>
      <c r="F3" s="118" t="s">
        <v>232</v>
      </c>
      <c r="G3" s="119" t="n">
        <v>0.0410004218452327</v>
      </c>
      <c r="H3" s="120" t="n">
        <f aca="false">$G3*$B$16</f>
        <v>2.70799586203393</v>
      </c>
    </row>
    <row r="4" customFormat="false" ht="12.8" hidden="false" customHeight="false" outlineLevel="0" collapsed="false">
      <c r="A4" s="1" t="s">
        <v>233</v>
      </c>
      <c r="B4" s="2" t="n">
        <f aca="false">525.58*2</f>
        <v>1051.16</v>
      </c>
      <c r="C4" s="121" t="n">
        <v>2720</v>
      </c>
      <c r="D4" s="1" t="n">
        <f aca="false">C4*12</f>
        <v>32640</v>
      </c>
      <c r="F4" s="122" t="s">
        <v>234</v>
      </c>
      <c r="G4" s="123" t="n">
        <v>0</v>
      </c>
      <c r="H4" s="120" t="n">
        <f aca="false">$G4*$B$16</f>
        <v>0</v>
      </c>
    </row>
    <row r="5" customFormat="false" ht="12.8" hidden="false" customHeight="false" outlineLevel="0" collapsed="false">
      <c r="A5" s="1" t="s">
        <v>235</v>
      </c>
      <c r="B5" s="2" t="n">
        <v>351.07</v>
      </c>
      <c r="C5" s="121" t="n">
        <v>5367</v>
      </c>
      <c r="D5" s="1" t="n">
        <f aca="false">C5*12</f>
        <v>64404</v>
      </c>
    </row>
    <row r="6" customFormat="false" ht="12.8" hidden="false" customHeight="false" outlineLevel="0" collapsed="false">
      <c r="A6" s="1" t="s">
        <v>236</v>
      </c>
      <c r="B6" s="2" t="n">
        <v>602.56</v>
      </c>
      <c r="C6" s="121" t="n">
        <v>6240</v>
      </c>
      <c r="D6" s="1" t="n">
        <f aca="false">C6*12</f>
        <v>74880</v>
      </c>
    </row>
    <row r="7" customFormat="false" ht="12.8" hidden="false" customHeight="false" outlineLevel="0" collapsed="false">
      <c r="A7" s="1" t="s">
        <v>20</v>
      </c>
      <c r="B7" s="2" t="n">
        <f aca="false">SUM(B2:B6)</f>
        <v>4486.29</v>
      </c>
      <c r="C7" s="1" t="n">
        <f aca="false">SUM(C2:C6)</f>
        <v>23457</v>
      </c>
      <c r="D7" s="1" t="n">
        <f aca="false">C7*12</f>
        <v>281484</v>
      </c>
    </row>
    <row r="8" customFormat="false" ht="12.8" hidden="false" customHeight="false" outlineLevel="0" collapsed="false">
      <c r="A8" s="1" t="s">
        <v>237</v>
      </c>
      <c r="B8" s="1" t="n">
        <f aca="false">(D7/1000)</f>
        <v>281.484</v>
      </c>
    </row>
    <row r="9" customFormat="false" ht="12.8" hidden="false" customHeight="false" outlineLevel="0" collapsed="false">
      <c r="A9" s="1" t="s">
        <v>238</v>
      </c>
      <c r="B9" s="1" t="n">
        <f aca="false">C10</f>
        <v>0.406631839034269</v>
      </c>
      <c r="C9" s="2"/>
    </row>
    <row r="10" customFormat="false" ht="17.15" hidden="false" customHeight="true" outlineLevel="0" collapsed="false">
      <c r="A10" s="1" t="s">
        <v>239</v>
      </c>
      <c r="B10" s="1" t="n">
        <f aca="false">B9*B8</f>
        <v>114.460356578722</v>
      </c>
      <c r="C10" s="1" t="n">
        <f aca="false">204.4/502.666</f>
        <v>0.406631839034269</v>
      </c>
    </row>
    <row r="12" customFormat="false" ht="12.8" hidden="false" customHeight="false" outlineLevel="0" collapsed="false">
      <c r="A12" s="1" t="s">
        <v>240</v>
      </c>
      <c r="D12" s="10"/>
      <c r="F12" s="1"/>
    </row>
    <row r="13" customFormat="false" ht="12.8" hidden="false" customHeight="false" outlineLevel="0" collapsed="false">
      <c r="A13" s="1" t="s">
        <v>229</v>
      </c>
      <c r="B13" s="2" t="n">
        <f aca="false">1189.49*0.3</f>
        <v>356.847</v>
      </c>
      <c r="C13" s="4" t="n">
        <f aca="false">C2*0.3</f>
        <v>2064</v>
      </c>
      <c r="D13" s="5" t="n">
        <f aca="false">C13*12</f>
        <v>24768</v>
      </c>
      <c r="E13" s="2" t="n">
        <f aca="false">F13*19.3</f>
        <v>54.5314168377823</v>
      </c>
      <c r="F13" s="2" t="n">
        <f aca="false">C13/730.5</f>
        <v>2.82546201232033</v>
      </c>
    </row>
    <row r="14" customFormat="false" ht="12.8" hidden="false" customHeight="false" outlineLevel="0" collapsed="false">
      <c r="A14" s="1" t="s">
        <v>231</v>
      </c>
      <c r="B14" s="2" t="n">
        <f aca="false">1292.01*0.5</f>
        <v>646.005</v>
      </c>
      <c r="C14" s="4" t="n">
        <f aca="false">C2*0.5</f>
        <v>3440</v>
      </c>
      <c r="D14" s="5" t="n">
        <f aca="false">C14*12</f>
        <v>41280</v>
      </c>
      <c r="F14" s="2" t="n">
        <f aca="false">(F13*4.7)*1000</f>
        <v>13279.6714579055</v>
      </c>
    </row>
    <row r="15" customFormat="false" ht="12.8" hidden="false" customHeight="false" outlineLevel="0" collapsed="false">
      <c r="A15" s="1" t="s">
        <v>20</v>
      </c>
      <c r="B15" s="2" t="n">
        <f aca="false">SUM(B13:B14)</f>
        <v>1002.852</v>
      </c>
      <c r="C15" s="4" t="n">
        <f aca="false">C13+C14</f>
        <v>5504</v>
      </c>
      <c r="D15" s="5" t="n">
        <f aca="false">C15*12</f>
        <v>66048</v>
      </c>
      <c r="F15" s="2" t="n">
        <f aca="false">F14*(4/3)</f>
        <v>17706.2286105407</v>
      </c>
    </row>
    <row r="16" customFormat="false" ht="12.8" hidden="false" customHeight="false" outlineLevel="0" collapsed="false">
      <c r="A16" s="1" t="s">
        <v>241</v>
      </c>
      <c r="B16" s="1" t="n">
        <f aca="false">D15/1000</f>
        <v>66.048</v>
      </c>
    </row>
    <row r="17" customFormat="false" ht="12.8" hidden="false" customHeight="false" outlineLevel="0" collapsed="false">
      <c r="A17" s="1" t="s">
        <v>238</v>
      </c>
      <c r="B17" s="10" t="n">
        <v>0</v>
      </c>
      <c r="C17" s="10" t="n">
        <f aca="false">(0.09038953*1000)/2204.6</f>
        <v>0.0410004218452327</v>
      </c>
    </row>
    <row r="18" customFormat="false" ht="35.05" hidden="false" customHeight="false" outlineLevel="0" collapsed="false">
      <c r="A18" s="1" t="s">
        <v>239</v>
      </c>
      <c r="B18" s="1" t="n">
        <f aca="false">B17*B16</f>
        <v>0</v>
      </c>
      <c r="D18" s="2"/>
    </row>
    <row r="20" customFormat="false" ht="12.8" hidden="false" customHeight="false" outlineLevel="0" collapsed="false">
      <c r="A20" s="1" t="s">
        <v>242</v>
      </c>
      <c r="B20" s="155" t="n">
        <f aca="false">B10-B18</f>
        <v>114.460356578722</v>
      </c>
    </row>
    <row r="22" customFormat="false" ht="12.8" hidden="false" customHeight="false" outlineLevel="0" collapsed="false">
      <c r="D22" s="125" t="s">
        <v>243</v>
      </c>
      <c r="E22" s="126" t="n">
        <f aca="false">31568*1000000</f>
        <v>31568000000</v>
      </c>
    </row>
    <row r="23" customFormat="false" ht="12.8" hidden="false" customHeight="false" outlineLevel="0" collapsed="false">
      <c r="D23" s="83" t="s">
        <v>244</v>
      </c>
      <c r="E23" s="127" t="n">
        <f aca="false">(E22)/1800717</f>
        <v>17530.7946778978</v>
      </c>
    </row>
    <row r="24" customFormat="false" ht="12.8" hidden="false" customHeight="false" outlineLevel="0" collapsed="false">
      <c r="A24" s="1" t="s">
        <v>245</v>
      </c>
    </row>
    <row r="25" customFormat="false" ht="12.8" hidden="false" customHeight="false" outlineLevel="0" collapsed="false">
      <c r="A25" s="1" t="s">
        <v>246</v>
      </c>
      <c r="B25" s="1" t="n">
        <v>8</v>
      </c>
    </row>
    <row r="26" customFormat="false" ht="12.8" hidden="false" customHeight="false" outlineLevel="0" collapsed="false">
      <c r="A26" s="1" t="s">
        <v>247</v>
      </c>
      <c r="B26" s="1" t="n">
        <f aca="false">E23</f>
        <v>17530.7946778978</v>
      </c>
    </row>
    <row r="27" customFormat="false" ht="12.8" hidden="false" customHeight="false" outlineLevel="0" collapsed="false">
      <c r="A27" s="1" t="s">
        <v>248</v>
      </c>
      <c r="B27" s="1" t="n">
        <v>373</v>
      </c>
    </row>
    <row r="28" customFormat="false" ht="12.8" hidden="false" customHeight="false" outlineLevel="0" collapsed="false">
      <c r="A28" s="1" t="s">
        <v>249</v>
      </c>
      <c r="B28" s="1" t="n">
        <f aca="false">(B26*B27)/1000000</f>
        <v>6.53898641485586</v>
      </c>
    </row>
    <row r="30" customFormat="false" ht="12.8" hidden="false" customHeight="false" outlineLevel="0" collapsed="false">
      <c r="A30" s="1" t="s">
        <v>250</v>
      </c>
      <c r="B30" s="1" t="n">
        <v>8</v>
      </c>
    </row>
    <row r="31" customFormat="false" ht="12.8" hidden="false" customHeight="false" outlineLevel="0" collapsed="false">
      <c r="A31" s="1" t="s">
        <v>247</v>
      </c>
      <c r="B31" s="1" t="n">
        <f aca="false">E23</f>
        <v>17530.7946778978</v>
      </c>
    </row>
    <row r="32" customFormat="false" ht="12.8" hidden="false" customHeight="false" outlineLevel="0" collapsed="false">
      <c r="A32" s="1" t="s">
        <v>251</v>
      </c>
      <c r="B32" s="1" t="n">
        <v>12.1430850704046</v>
      </c>
    </row>
    <row r="33" customFormat="false" ht="12.8" hidden="false" customHeight="false" outlineLevel="0" collapsed="false">
      <c r="A33" s="1" t="s">
        <v>249</v>
      </c>
      <c r="B33" s="1" t="n">
        <f aca="false">(B31*B32)/1000000</f>
        <v>0.212877931125509</v>
      </c>
    </row>
    <row r="35" customFormat="false" ht="12.8" hidden="false" customHeight="false" outlineLevel="0" collapsed="false">
      <c r="A35" s="1" t="s">
        <v>259</v>
      </c>
      <c r="B35" s="1" t="n">
        <f aca="false">B25*(B28-B33)</f>
        <v>50.6088678698428</v>
      </c>
    </row>
    <row r="36" customFormat="false" ht="17.35" hidden="false" customHeight="false" outlineLevel="0" collapsed="false"/>
    <row r="38" customFormat="false" ht="12.8" hidden="false" customHeight="false" outlineLevel="0" collapsed="false">
      <c r="A38" s="1" t="s">
        <v>255</v>
      </c>
    </row>
    <row r="39" customFormat="false" ht="12.8" hidden="false" customHeight="false" outlineLevel="0" collapsed="false">
      <c r="A39" s="1" t="s">
        <v>256</v>
      </c>
      <c r="B39" s="1" t="n">
        <v>2</v>
      </c>
    </row>
    <row r="40" customFormat="false" ht="12.8" hidden="false" customHeight="false" outlineLevel="0" collapsed="false">
      <c r="A40" s="1" t="s">
        <v>247</v>
      </c>
      <c r="B40" s="1" t="n">
        <f aca="false">$E$23</f>
        <v>17530.7946778978</v>
      </c>
    </row>
    <row r="41" customFormat="false" ht="12.8" hidden="false" customHeight="false" outlineLevel="0" collapsed="false">
      <c r="A41" s="1" t="s">
        <v>248</v>
      </c>
      <c r="B41" s="1" t="n">
        <v>543</v>
      </c>
    </row>
    <row r="42" customFormat="false" ht="12.8" hidden="false" customHeight="false" outlineLevel="0" collapsed="false">
      <c r="A42" s="1" t="s">
        <v>257</v>
      </c>
      <c r="B42" s="1" t="n">
        <f aca="false">(B40*B41)/1000000</f>
        <v>9.51922151009848</v>
      </c>
    </row>
    <row r="44" customFormat="false" ht="12.8" hidden="false" customHeight="false" outlineLevel="0" collapsed="false">
      <c r="A44" s="1" t="s">
        <v>258</v>
      </c>
      <c r="B44" s="1" t="n">
        <v>2</v>
      </c>
    </row>
    <row r="45" customFormat="false" ht="12.8" hidden="false" customHeight="false" outlineLevel="0" collapsed="false">
      <c r="A45" s="1" t="s">
        <v>247</v>
      </c>
      <c r="B45" s="1" t="n">
        <f aca="false">$E$23</f>
        <v>17530.7946778978</v>
      </c>
    </row>
    <row r="46" customFormat="false" ht="12.8" hidden="false" customHeight="false" outlineLevel="0" collapsed="false">
      <c r="A46" s="1" t="s">
        <v>248</v>
      </c>
      <c r="B46" s="1" t="n">
        <v>22.750398873208</v>
      </c>
    </row>
    <row r="47" customFormat="false" ht="12.8" hidden="false" customHeight="false" outlineLevel="0" collapsed="false">
      <c r="A47" s="1" t="s">
        <v>257</v>
      </c>
      <c r="B47" s="1" t="n">
        <f aca="false">(B45*B46)/1000000</f>
        <v>0.398832571486486</v>
      </c>
    </row>
    <row r="49" customFormat="false" ht="12.8" hidden="false" customHeight="false" outlineLevel="0" collapsed="false">
      <c r="A49" s="1" t="s">
        <v>259</v>
      </c>
      <c r="B49" s="1" t="n">
        <f aca="false">B39*(B42-B47)</f>
        <v>18.240777877224</v>
      </c>
    </row>
    <row r="51" customFormat="false" ht="12.8" hidden="false" customHeight="false" outlineLevel="0" collapsed="false">
      <c r="A51" s="124" t="s">
        <v>260</v>
      </c>
      <c r="B51" s="124" t="n">
        <f aca="false">B49+B42</f>
        <v>27.7599993873225</v>
      </c>
    </row>
    <row r="53" customFormat="false" ht="12.8" hidden="false" customHeight="false" outlineLevel="0" collapsed="false">
      <c r="A53" s="1" t="s">
        <v>261</v>
      </c>
      <c r="B53" s="3" t="n">
        <f aca="false">B54-B55</f>
        <v>68.8496457470668</v>
      </c>
    </row>
    <row r="54" customFormat="false" ht="12.8" hidden="false" customHeight="false" outlineLevel="0" collapsed="false">
      <c r="A54" s="1" t="s">
        <v>262</v>
      </c>
      <c r="B54" s="1" t="n">
        <f aca="false">B10+(B28*8)+(B42*2)</f>
        <v>185.810690917766</v>
      </c>
      <c r="D54" s="1" t="n">
        <f aca="false">1-(B55/B54)</f>
        <v>0.370536514379237</v>
      </c>
    </row>
    <row r="55" customFormat="false" ht="12.8" hidden="false" customHeight="false" outlineLevel="0" collapsed="false">
      <c r="A55" s="1" t="s">
        <v>263</v>
      </c>
      <c r="B55" s="1" t="n">
        <f aca="false">B20+(B33*8)+(B47*2)</f>
        <v>116.961045170699</v>
      </c>
    </row>
    <row r="56" customFormat="false" ht="12.8" hidden="false" customHeight="false" outlineLevel="0" collapsed="false">
      <c r="C56" s="0" t="s">
        <v>264</v>
      </c>
      <c r="D56" s="1" t="s">
        <v>265</v>
      </c>
      <c r="E56" s="0" t="s">
        <v>266</v>
      </c>
      <c r="F56" s="10" t="s">
        <v>267</v>
      </c>
      <c r="G56" s="0"/>
    </row>
    <row r="57" customFormat="false" ht="12.8" hidden="false" customHeight="false" outlineLevel="0" collapsed="false">
      <c r="A57" s="129" t="s">
        <v>268</v>
      </c>
      <c r="B57" s="1" t="n">
        <v>400</v>
      </c>
      <c r="C57" s="1" t="n">
        <f aca="false">(B57*B62*B60)/1000000</f>
        <v>8018.82390447805</v>
      </c>
      <c r="D57" s="1" t="s">
        <v>269</v>
      </c>
      <c r="E57" s="0" t="n">
        <v>126</v>
      </c>
      <c r="F57" s="0" t="n">
        <f aca="false">(E57*B62*B60)/1000000</f>
        <v>2525.92952991059</v>
      </c>
    </row>
    <row r="58" customFormat="false" ht="12.8" hidden="false" customHeight="false" outlineLevel="0" collapsed="false">
      <c r="A58" s="1" t="s">
        <v>270</v>
      </c>
      <c r="B58" s="1" t="n">
        <v>222</v>
      </c>
      <c r="C58" s="1" t="n">
        <f aca="false">(B58*B62*B60)/1000000</f>
        <v>4450.44726698532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30"/>
    </row>
    <row r="59" customFormat="false" ht="12.8" hidden="false" customHeight="false" outlineLevel="0" collapsed="false">
      <c r="A59" s="1" t="s">
        <v>271</v>
      </c>
      <c r="B59" s="1" t="n">
        <f aca="false">B57-B58</f>
        <v>178</v>
      </c>
      <c r="C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30"/>
    </row>
    <row r="60" customFormat="false" ht="12.8" hidden="false" customHeight="false" outlineLevel="0" collapsed="false">
      <c r="A60" s="1" t="s">
        <v>272</v>
      </c>
      <c r="B60" s="1" t="n">
        <f aca="false">E23</f>
        <v>17530.7946778978</v>
      </c>
      <c r="C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30"/>
    </row>
    <row r="61" customFormat="false" ht="12.8" hidden="false" customHeight="false" outlineLevel="0" collapsed="false">
      <c r="A61" s="1" t="s">
        <v>273</v>
      </c>
      <c r="B61" s="1" t="n">
        <f aca="false">B60*B59</f>
        <v>3120481.4526658</v>
      </c>
      <c r="C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30"/>
    </row>
    <row r="62" customFormat="false" ht="12.8" hidden="false" customHeight="false" outlineLevel="0" collapsed="false">
      <c r="A62" s="1" t="s">
        <v>274</v>
      </c>
      <c r="B62" s="131" t="n">
        <f aca="false">1433*0.798</f>
        <v>1143.534</v>
      </c>
      <c r="C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30"/>
    </row>
    <row r="63" customFormat="false" ht="12.8" hidden="false" customHeight="false" outlineLevel="0" collapsed="false">
      <c r="A63" s="1" t="s">
        <v>275</v>
      </c>
      <c r="B63" s="4" t="n">
        <f aca="false">B62*B61</f>
        <v>3568376637.49273</v>
      </c>
    </row>
    <row r="64" customFormat="false" ht="12.8" hidden="false" customHeight="false" outlineLevel="0" collapsed="false">
      <c r="A64" s="1" t="s">
        <v>276</v>
      </c>
      <c r="B64" s="1" t="n">
        <f aca="false">B63/1000000</f>
        <v>3568.37663749273</v>
      </c>
      <c r="C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30"/>
    </row>
    <row r="65" customFormat="false" ht="12.8" hidden="false" customHeight="false" outlineLevel="0" collapsed="false">
      <c r="C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30"/>
    </row>
    <row r="66" customFormat="false" ht="12.8" hidden="false" customHeight="false" outlineLevel="0" collapsed="false">
      <c r="A66" s="1" t="s">
        <v>38</v>
      </c>
      <c r="B66" s="10" t="s">
        <v>417</v>
      </c>
      <c r="C66" s="10" t="s">
        <v>418</v>
      </c>
      <c r="D66" s="10" t="s">
        <v>225</v>
      </c>
      <c r="E66" s="10" t="s">
        <v>419</v>
      </c>
      <c r="F66" s="10" t="s">
        <v>420</v>
      </c>
      <c r="G66" s="10" t="s">
        <v>421</v>
      </c>
      <c r="H66" s="0" t="s">
        <v>422</v>
      </c>
      <c r="I66" s="0" t="s">
        <v>423</v>
      </c>
      <c r="J66" s="0" t="s">
        <v>424</v>
      </c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30"/>
    </row>
    <row r="67" customFormat="false" ht="12.8" hidden="false" customHeight="false" outlineLevel="0" collapsed="false">
      <c r="A67" s="10" t="s">
        <v>425</v>
      </c>
      <c r="B67" s="10" t="n">
        <v>28</v>
      </c>
      <c r="C67" s="10" t="n">
        <v>24</v>
      </c>
      <c r="D67" s="10" t="n">
        <f aca="false">C67*B67*24</f>
        <v>16128</v>
      </c>
      <c r="E67" s="1" t="n">
        <f aca="false">0.406631839034269*(D67/1000)</f>
        <v>6.55815829994469</v>
      </c>
      <c r="F67" s="1" t="n">
        <f aca="false">0.0410004218452327*(D67/1000)</f>
        <v>0.661254803519913</v>
      </c>
      <c r="G67" s="10" t="n">
        <v>3</v>
      </c>
      <c r="H67" s="0" t="n">
        <f aca="false">(E67-F67)*3</f>
        <v>17.6907104892743</v>
      </c>
      <c r="I67" s="0" t="n">
        <f aca="false">H67*24.5</f>
        <v>433.422406987221</v>
      </c>
      <c r="J67" s="0" t="n">
        <f aca="false">(B67*3)/4.7</f>
        <v>17.8723404255319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30"/>
    </row>
    <row r="68" customFormat="false" ht="12.8" hidden="false" customHeight="false" outlineLevel="0" collapsed="false">
      <c r="C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30"/>
    </row>
    <row r="69" customFormat="false" ht="12.8" hidden="false" customHeight="false" outlineLevel="0" collapsed="false">
      <c r="A69" s="1" t="s">
        <v>283</v>
      </c>
      <c r="B69" s="1" t="n">
        <v>9773</v>
      </c>
      <c r="C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30"/>
    </row>
    <row r="70" customFormat="false" ht="12.8" hidden="false" customHeight="false" outlineLevel="0" collapsed="false">
      <c r="A70" s="1" t="s">
        <v>278</v>
      </c>
      <c r="B70" s="1" t="n">
        <v>480</v>
      </c>
      <c r="C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30"/>
    </row>
    <row r="71" customFormat="false" ht="12.8" hidden="false" customHeight="false" outlineLevel="0" collapsed="false">
      <c r="A71" s="1" t="s">
        <v>279</v>
      </c>
      <c r="B71" s="132" t="n">
        <f aca="false">9773*480</f>
        <v>4691040</v>
      </c>
      <c r="C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30"/>
    </row>
    <row r="72" customFormat="false" ht="12.8" hidden="false" customHeight="false" outlineLevel="0" collapsed="false">
      <c r="A72" s="1" t="s">
        <v>280</v>
      </c>
      <c r="C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30"/>
    </row>
    <row r="73" customFormat="false" ht="12.8" hidden="false" customHeight="false" outlineLevel="0" collapsed="false">
      <c r="A73" s="1" t="s">
        <v>281</v>
      </c>
      <c r="B73" s="1" t="n">
        <v>1907.7</v>
      </c>
      <c r="C73" s="1" t="s">
        <v>282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30"/>
    </row>
    <row r="74" customFormat="false" ht="12.8" hidden="false" customHeight="false" outlineLevel="0" collapsed="false">
      <c r="C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30"/>
    </row>
    <row r="75" customFormat="false" ht="12.8" hidden="false" customHeight="false" outlineLevel="0" collapsed="false">
      <c r="A75" s="1" t="s">
        <v>283</v>
      </c>
      <c r="B75" s="1" t="n">
        <v>9773</v>
      </c>
      <c r="C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30"/>
    </row>
    <row r="76" customFormat="false" ht="12.8" hidden="false" customHeight="false" outlineLevel="0" collapsed="false">
      <c r="A76" s="124" t="s">
        <v>284</v>
      </c>
      <c r="B76" s="10" t="n">
        <f aca="false">(0.09038953*1000)/2204.6</f>
        <v>0.0410004218452327</v>
      </c>
      <c r="C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30"/>
    </row>
    <row r="77" customFormat="false" ht="12.8" hidden="false" customHeight="false" outlineLevel="0" collapsed="false">
      <c r="A77" s="1" t="s">
        <v>278</v>
      </c>
      <c r="B77" s="1" t="n">
        <v>480</v>
      </c>
    </row>
    <row r="79" customFormat="false" ht="12.8" hidden="false" customHeight="false" outlineLevel="0" collapsed="false">
      <c r="A79" s="1" t="s">
        <v>285</v>
      </c>
      <c r="B79" s="1" t="n">
        <f aca="false">(B75*B76*B77)/1000</f>
        <v>192.33461889286</v>
      </c>
    </row>
    <row r="81" customFormat="false" ht="12.8" hidden="false" customHeight="false" outlineLevel="0" collapsed="false">
      <c r="A81" s="1" t="s">
        <v>286</v>
      </c>
      <c r="B81" s="4" t="n">
        <f aca="false">(B73-B79)/480</f>
        <v>3.57367787730654</v>
      </c>
    </row>
    <row r="82" customFormat="false" ht="12.8" hidden="false" customHeight="false" outlineLevel="0" collapsed="false">
      <c r="A82" s="1" t="s">
        <v>287</v>
      </c>
      <c r="B82" s="4" t="n">
        <f aca="false">B$81*B$70*0.05</f>
        <v>85.768269055357</v>
      </c>
    </row>
    <row r="83" customFormat="false" ht="12.8" hidden="false" customHeight="false" outlineLevel="0" collapsed="false">
      <c r="A83" s="130" t="s">
        <v>288</v>
      </c>
      <c r="B83" s="4" t="n">
        <f aca="false">B$81*B$70*0.1</f>
        <v>171.536538110714</v>
      </c>
    </row>
    <row r="84" customFormat="false" ht="12.8" hidden="false" customHeight="false" outlineLevel="0" collapsed="false">
      <c r="A84" s="130" t="s">
        <v>289</v>
      </c>
      <c r="B84" s="4" t="n">
        <f aca="false">B$81*B$70*0.25</f>
        <v>428.841345276785</v>
      </c>
    </row>
    <row r="85" customFormat="false" ht="12.8" hidden="false" customHeight="false" outlineLevel="0" collapsed="false">
      <c r="A85" s="130" t="s">
        <v>295</v>
      </c>
      <c r="B85" s="1" t="s">
        <v>575</v>
      </c>
      <c r="C85" s="1" t="n">
        <v>2024</v>
      </c>
      <c r="D85" s="1" t="n">
        <v>2025</v>
      </c>
      <c r="E85" s="1" t="n">
        <v>2026</v>
      </c>
      <c r="F85" s="1" t="n">
        <v>2027</v>
      </c>
      <c r="G85" s="1" t="n">
        <v>2028</v>
      </c>
      <c r="H85" s="1" t="n">
        <v>2029</v>
      </c>
      <c r="I85" s="1" t="n">
        <v>2030</v>
      </c>
      <c r="J85" s="1" t="n">
        <v>2031</v>
      </c>
      <c r="K85" s="1" t="n">
        <v>2032</v>
      </c>
      <c r="L85" s="1" t="n">
        <v>2033</v>
      </c>
      <c r="M85" s="1" t="n">
        <v>2034</v>
      </c>
      <c r="N85" s="1" t="n">
        <v>2035</v>
      </c>
      <c r="O85" s="1" t="n">
        <v>2036</v>
      </c>
      <c r="P85" s="1" t="n">
        <v>2037</v>
      </c>
      <c r="Q85" s="1" t="n">
        <v>2038</v>
      </c>
      <c r="R85" s="1" t="n">
        <v>2039</v>
      </c>
      <c r="S85" s="1" t="n">
        <v>2040</v>
      </c>
      <c r="T85" s="1" t="n">
        <v>2041</v>
      </c>
      <c r="U85" s="1" t="n">
        <v>2042</v>
      </c>
      <c r="V85" s="1" t="n">
        <v>2043</v>
      </c>
      <c r="W85" s="1" t="n">
        <v>2044</v>
      </c>
      <c r="X85" s="1" t="n">
        <v>2045</v>
      </c>
      <c r="Y85" s="1" t="n">
        <v>2046</v>
      </c>
      <c r="Z85" s="1" t="n">
        <v>2047</v>
      </c>
      <c r="AA85" s="1" t="n">
        <v>2048</v>
      </c>
      <c r="AB85" s="1" t="n">
        <v>2049</v>
      </c>
      <c r="AC85" s="1" t="n">
        <v>2050</v>
      </c>
    </row>
    <row r="86" customFormat="false" ht="12.8" hidden="false" customHeight="false" outlineLevel="0" collapsed="false">
      <c r="A86" s="130" t="s">
        <v>297</v>
      </c>
      <c r="B86" s="130" t="n">
        <v>0.021</v>
      </c>
      <c r="C86" s="130" t="n">
        <f aca="false">B86*1.182</f>
        <v>0.024822</v>
      </c>
      <c r="D86" s="130" t="n">
        <f aca="false">C86*1.182</f>
        <v>0.029339604</v>
      </c>
      <c r="E86" s="130" t="n">
        <f aca="false">D86*1.182</f>
        <v>0.034679411928</v>
      </c>
      <c r="F86" s="130" t="n">
        <f aca="false">E86*1.182</f>
        <v>0.040991064898896</v>
      </c>
      <c r="G86" s="130" t="n">
        <f aca="false">F86*1.182</f>
        <v>0.0484514387104951</v>
      </c>
      <c r="H86" s="130" t="n">
        <f aca="false">G86*1.182</f>
        <v>0.0572696005558052</v>
      </c>
      <c r="I86" s="130" t="n">
        <f aca="false">H86*1.182</f>
        <v>0.0676926678569617</v>
      </c>
      <c r="J86" s="130" t="n">
        <f aca="false">I86*1.182</f>
        <v>0.0800127334069287</v>
      </c>
      <c r="K86" s="130" t="n">
        <f aca="false">J86*1.182</f>
        <v>0.0945750508869897</v>
      </c>
      <c r="L86" s="130" t="n">
        <f aca="false">K86*1.182</f>
        <v>0.111787710148422</v>
      </c>
      <c r="M86" s="130" t="n">
        <f aca="false">L86*1.182</f>
        <v>0.132133073395435</v>
      </c>
      <c r="N86" s="130" t="n">
        <f aca="false">M86*1.182</f>
        <v>0.156181292753404</v>
      </c>
      <c r="O86" s="130" t="n">
        <f aca="false">N86*1.182</f>
        <v>0.184606288034523</v>
      </c>
      <c r="P86" s="130" t="n">
        <f aca="false">O86*1.182</f>
        <v>0.218204632456806</v>
      </c>
      <c r="Q86" s="130" t="n">
        <f aca="false">P86*1.182</f>
        <v>0.257917875563945</v>
      </c>
      <c r="R86" s="130" t="n">
        <f aca="false">Q86*1.182</f>
        <v>0.304858928916583</v>
      </c>
      <c r="S86" s="130" t="n">
        <f aca="false">R86*1.182</f>
        <v>0.360343253979401</v>
      </c>
      <c r="T86" s="130" t="n">
        <f aca="false">S86*1.182</f>
        <v>0.425925726203652</v>
      </c>
      <c r="U86" s="130" t="n">
        <f aca="false">T86*1.182</f>
        <v>0.503444208372717</v>
      </c>
      <c r="V86" s="130" t="n">
        <f aca="false">U86*1.182</f>
        <v>0.595071054296551</v>
      </c>
      <c r="W86" s="130" t="n">
        <f aca="false">V86*1.182</f>
        <v>0.703373986178524</v>
      </c>
      <c r="X86" s="130" t="n">
        <f aca="false">W86*1.182</f>
        <v>0.831388051663015</v>
      </c>
      <c r="Y86" s="130" t="n">
        <f aca="false">X86*1.182</f>
        <v>0.982700677065684</v>
      </c>
      <c r="Z86" s="130" t="n">
        <v>1</v>
      </c>
      <c r="AA86" s="130" t="n">
        <v>1</v>
      </c>
      <c r="AB86" s="130" t="n">
        <v>1</v>
      </c>
      <c r="AC86" s="130" t="n">
        <v>1</v>
      </c>
    </row>
    <row r="87" customFormat="false" ht="12.8" hidden="false" customHeight="false" outlineLevel="0" collapsed="false">
      <c r="A87" s="130" t="s">
        <v>298</v>
      </c>
      <c r="B87" s="130" t="n">
        <v>0.05</v>
      </c>
      <c r="C87" s="130" t="n">
        <f aca="false">B87*1.182</f>
        <v>0.0591</v>
      </c>
      <c r="D87" s="130" t="n">
        <f aca="false">C87*1.182</f>
        <v>0.0698562</v>
      </c>
      <c r="E87" s="130" t="n">
        <f aca="false">D87*1.182</f>
        <v>0.0825700284</v>
      </c>
      <c r="F87" s="130" t="n">
        <f aca="false">E87*1.182</f>
        <v>0.0975977735688</v>
      </c>
      <c r="G87" s="130" t="n">
        <f aca="false">F87*1.182</f>
        <v>0.115360568358322</v>
      </c>
      <c r="H87" s="130" t="n">
        <f aca="false">G87*1.182</f>
        <v>0.136356191799536</v>
      </c>
      <c r="I87" s="130" t="n">
        <f aca="false">H87*1.182</f>
        <v>0.161173018707052</v>
      </c>
      <c r="J87" s="130" t="n">
        <f aca="false">I87*1.182</f>
        <v>0.190506508111735</v>
      </c>
      <c r="K87" s="130" t="n">
        <f aca="false">J87*1.182</f>
        <v>0.225178692588071</v>
      </c>
      <c r="L87" s="130" t="n">
        <f aca="false">K87*1.182</f>
        <v>0.2661612146391</v>
      </c>
      <c r="M87" s="130" t="n">
        <f aca="false">L87*1.182</f>
        <v>0.314602555703416</v>
      </c>
      <c r="N87" s="130" t="n">
        <f aca="false">M87*1.182</f>
        <v>0.371860220841438</v>
      </c>
      <c r="O87" s="130" t="n">
        <f aca="false">N87*1.182</f>
        <v>0.439538781034579</v>
      </c>
      <c r="P87" s="130" t="n">
        <f aca="false">O87*1.182</f>
        <v>0.519534839182873</v>
      </c>
      <c r="Q87" s="130" t="n">
        <f aca="false">P87*1.182</f>
        <v>0.614090179914155</v>
      </c>
      <c r="R87" s="130" t="n">
        <f aca="false">Q87*1.182</f>
        <v>0.725854592658532</v>
      </c>
      <c r="S87" s="130" t="n">
        <f aca="false">R87*1.182</f>
        <v>0.857960128522384</v>
      </c>
      <c r="T87" s="130" t="n">
        <v>1</v>
      </c>
      <c r="U87" s="130" t="n">
        <v>1</v>
      </c>
      <c r="V87" s="130" t="n">
        <v>1</v>
      </c>
      <c r="W87" s="130" t="n">
        <v>1</v>
      </c>
      <c r="X87" s="130" t="n">
        <v>1</v>
      </c>
      <c r="Y87" s="130" t="n">
        <v>1</v>
      </c>
      <c r="Z87" s="130" t="n">
        <v>1</v>
      </c>
      <c r="AA87" s="130" t="n">
        <v>1</v>
      </c>
      <c r="AB87" s="130" t="n">
        <v>1</v>
      </c>
      <c r="AC87" s="130" t="n">
        <v>1</v>
      </c>
    </row>
    <row r="88" customFormat="false" ht="12.8" hidden="false" customHeight="false" outlineLevel="0" collapsed="false">
      <c r="A88" s="130" t="s">
        <v>299</v>
      </c>
      <c r="B88" s="130" t="n">
        <v>0.07</v>
      </c>
      <c r="C88" s="130" t="n">
        <f aca="false">B88*1.182</f>
        <v>0.08274</v>
      </c>
      <c r="D88" s="130" t="n">
        <f aca="false">C88*1.182</f>
        <v>0.09779868</v>
      </c>
      <c r="E88" s="130" t="n">
        <f aca="false">D88*1.182</f>
        <v>0.11559803976</v>
      </c>
      <c r="F88" s="130" t="n">
        <f aca="false">E88*1.182</f>
        <v>0.13663688299632</v>
      </c>
      <c r="G88" s="130" t="n">
        <f aca="false">F88*1.182</f>
        <v>0.16150479570165</v>
      </c>
      <c r="H88" s="130" t="n">
        <f aca="false">G88*1.182</f>
        <v>0.190898668519351</v>
      </c>
      <c r="I88" s="130" t="n">
        <f aca="false">H88*1.182</f>
        <v>0.225642226189872</v>
      </c>
      <c r="J88" s="130" t="n">
        <f aca="false">I88*1.182</f>
        <v>0.266709111356429</v>
      </c>
      <c r="K88" s="130" t="n">
        <f aca="false">J88*1.182</f>
        <v>0.315250169623299</v>
      </c>
      <c r="L88" s="130" t="n">
        <f aca="false">K88*1.182</f>
        <v>0.37262570049474</v>
      </c>
      <c r="M88" s="130" t="n">
        <f aca="false">L88*1.182</f>
        <v>0.440443577984782</v>
      </c>
      <c r="N88" s="130" t="n">
        <f aca="false">M88*1.182</f>
        <v>0.520604309178013</v>
      </c>
      <c r="O88" s="130" t="n">
        <f aca="false">N88*1.182</f>
        <v>0.615354293448411</v>
      </c>
      <c r="P88" s="130" t="n">
        <f aca="false">O88*1.182</f>
        <v>0.727348774856022</v>
      </c>
      <c r="Q88" s="130" t="n">
        <f aca="false">P88*1.182</f>
        <v>0.859726251879817</v>
      </c>
      <c r="R88" s="130" t="n">
        <v>1</v>
      </c>
      <c r="S88" s="130" t="n">
        <v>1</v>
      </c>
      <c r="T88" s="130" t="n">
        <v>1</v>
      </c>
      <c r="U88" s="130" t="n">
        <v>1</v>
      </c>
      <c r="V88" s="130" t="n">
        <v>1</v>
      </c>
      <c r="W88" s="130" t="n">
        <v>1</v>
      </c>
      <c r="X88" s="130" t="n">
        <v>1</v>
      </c>
      <c r="Y88" s="130" t="n">
        <v>1</v>
      </c>
      <c r="Z88" s="130" t="n">
        <v>1</v>
      </c>
      <c r="AA88" s="130" t="n">
        <v>1</v>
      </c>
      <c r="AB88" s="130" t="n">
        <v>1</v>
      </c>
      <c r="AC88" s="130" t="n">
        <v>1</v>
      </c>
    </row>
    <row r="89" customFormat="false" ht="12.8" hidden="false" customHeight="false" outlineLevel="0" collapsed="false">
      <c r="A89" s="130" t="s">
        <v>300</v>
      </c>
      <c r="B89" s="130" t="n">
        <v>0.14</v>
      </c>
      <c r="C89" s="130" t="n">
        <f aca="false">B89*1.182</f>
        <v>0.16548</v>
      </c>
      <c r="D89" s="130" t="n">
        <f aca="false">C89*1.182</f>
        <v>0.19559736</v>
      </c>
      <c r="E89" s="130" t="n">
        <f aca="false">D89*1.182</f>
        <v>0.23119607952</v>
      </c>
      <c r="F89" s="130" t="n">
        <f aca="false">E89*1.182</f>
        <v>0.27327376599264</v>
      </c>
      <c r="G89" s="130" t="n">
        <f aca="false">F89*1.182</f>
        <v>0.3230095914033</v>
      </c>
      <c r="H89" s="130" t="n">
        <f aca="false">G89*1.182</f>
        <v>0.381797337038701</v>
      </c>
      <c r="I89" s="130" t="n">
        <f aca="false">H89*1.182</f>
        <v>0.451284452379745</v>
      </c>
      <c r="J89" s="130" t="n">
        <f aca="false">I89*1.182</f>
        <v>0.533418222712858</v>
      </c>
      <c r="K89" s="130" t="n">
        <f aca="false">J89*1.182</f>
        <v>0.630500339246598</v>
      </c>
      <c r="L89" s="130" t="n">
        <f aca="false">K89*1.182</f>
        <v>0.745251400989479</v>
      </c>
      <c r="M89" s="130" t="n">
        <f aca="false">L89*1.182</f>
        <v>0.880887155969565</v>
      </c>
      <c r="N89" s="130" t="n">
        <v>1</v>
      </c>
      <c r="O89" s="130" t="n">
        <v>1</v>
      </c>
      <c r="P89" s="130" t="n">
        <v>1</v>
      </c>
      <c r="Q89" s="130" t="n">
        <v>1</v>
      </c>
      <c r="R89" s="130" t="n">
        <v>1</v>
      </c>
      <c r="S89" s="130" t="n">
        <v>1</v>
      </c>
      <c r="T89" s="130" t="n">
        <v>1</v>
      </c>
      <c r="U89" s="130" t="n">
        <v>1</v>
      </c>
      <c r="V89" s="130" t="n">
        <v>1</v>
      </c>
      <c r="W89" s="130" t="n">
        <v>1</v>
      </c>
      <c r="X89" s="130" t="n">
        <v>1</v>
      </c>
      <c r="Y89" s="130" t="n">
        <v>1</v>
      </c>
      <c r="Z89" s="130" t="n">
        <v>1</v>
      </c>
      <c r="AA89" s="130" t="n">
        <v>1</v>
      </c>
      <c r="AB89" s="130" t="n">
        <v>1</v>
      </c>
      <c r="AC89" s="130" t="n">
        <v>1</v>
      </c>
    </row>
    <row r="90" customFormat="false" ht="12.8" hidden="false" customHeight="false" outlineLevel="0" collapsed="false">
      <c r="A90" s="130" t="s">
        <v>301</v>
      </c>
      <c r="B90" s="130" t="n">
        <v>0.25</v>
      </c>
      <c r="C90" s="130" t="n">
        <f aca="false">B90*1.182</f>
        <v>0.2955</v>
      </c>
      <c r="D90" s="130" t="n">
        <f aca="false">C90*1.182</f>
        <v>0.349281</v>
      </c>
      <c r="E90" s="130" t="n">
        <f aca="false">D90*1.182</f>
        <v>0.412850142</v>
      </c>
      <c r="F90" s="130" t="n">
        <f aca="false">E90*1.182</f>
        <v>0.487988867844</v>
      </c>
      <c r="G90" s="130" t="n">
        <f aca="false">F90*1.182</f>
        <v>0.576802841791608</v>
      </c>
      <c r="H90" s="130" t="n">
        <f aca="false">G90*1.182</f>
        <v>0.68178095899768</v>
      </c>
      <c r="I90" s="130" t="n">
        <f aca="false">H90*1.182</f>
        <v>0.805865093535258</v>
      </c>
      <c r="J90" s="130" t="n">
        <f aca="false">I90*1.182</f>
        <v>0.952532540558675</v>
      </c>
      <c r="K90" s="130" t="n">
        <v>1</v>
      </c>
      <c r="L90" s="130" t="n">
        <v>1</v>
      </c>
      <c r="M90" s="130" t="n">
        <v>1</v>
      </c>
      <c r="N90" s="130" t="n">
        <v>1</v>
      </c>
      <c r="O90" s="130" t="n">
        <v>1</v>
      </c>
      <c r="P90" s="130" t="n">
        <v>1</v>
      </c>
      <c r="Q90" s="130" t="n">
        <v>1</v>
      </c>
      <c r="R90" s="130" t="n">
        <v>1</v>
      </c>
      <c r="S90" s="130" t="n">
        <v>1</v>
      </c>
      <c r="T90" s="130" t="n">
        <v>1</v>
      </c>
      <c r="U90" s="130" t="n">
        <v>1</v>
      </c>
      <c r="V90" s="130" t="n">
        <v>1</v>
      </c>
      <c r="W90" s="130" t="n">
        <v>1</v>
      </c>
      <c r="X90" s="130" t="n">
        <v>1</v>
      </c>
      <c r="Y90" s="130" t="n">
        <v>1</v>
      </c>
      <c r="Z90" s="130" t="n">
        <v>1</v>
      </c>
      <c r="AA90" s="130" t="n">
        <v>1</v>
      </c>
      <c r="AB90" s="130" t="n">
        <v>1</v>
      </c>
      <c r="AC90" s="130" t="n">
        <v>1</v>
      </c>
    </row>
    <row r="91" customFormat="false" ht="12.8" hidden="false" customHeight="false" outlineLevel="0" collapsed="false">
      <c r="A91" s="130"/>
      <c r="B91" s="130"/>
      <c r="C91" s="130"/>
      <c r="D91" s="130"/>
      <c r="E91" s="130"/>
      <c r="F91" s="130"/>
      <c r="G91" s="130"/>
      <c r="H91" s="130"/>
      <c r="I91" s="130"/>
      <c r="J91" s="130"/>
      <c r="K91" s="130"/>
      <c r="L91" s="130"/>
      <c r="M91" s="130"/>
      <c r="N91" s="130"/>
      <c r="O91" s="130"/>
      <c r="P91" s="130"/>
      <c r="Q91" s="130"/>
      <c r="R91" s="130"/>
      <c r="S91" s="130"/>
      <c r="T91" s="130"/>
      <c r="U91" s="130"/>
      <c r="V91" s="130"/>
      <c r="W91" s="130"/>
      <c r="X91" s="130"/>
      <c r="Y91" s="130"/>
      <c r="Z91" s="130"/>
      <c r="AA91" s="130"/>
      <c r="AB91" s="130"/>
      <c r="AC91" s="130"/>
    </row>
    <row r="92" customFormat="false" ht="12.8" hidden="false" customHeight="false" outlineLevel="0" collapsed="false">
      <c r="A92" s="130" t="s">
        <v>295</v>
      </c>
      <c r="B92" s="1" t="s">
        <v>575</v>
      </c>
      <c r="C92" s="1" t="n">
        <v>2024</v>
      </c>
      <c r="D92" s="1" t="n">
        <v>2025</v>
      </c>
      <c r="E92" s="1" t="n">
        <v>2026</v>
      </c>
      <c r="F92" s="1" t="n">
        <v>2027</v>
      </c>
      <c r="G92" s="1" t="n">
        <v>2028</v>
      </c>
      <c r="H92" s="1" t="n">
        <v>2029</v>
      </c>
      <c r="I92" s="1" t="n">
        <v>2030</v>
      </c>
      <c r="J92" s="1" t="n">
        <v>2031</v>
      </c>
      <c r="K92" s="1" t="n">
        <v>2032</v>
      </c>
      <c r="L92" s="1" t="n">
        <v>2033</v>
      </c>
      <c r="M92" s="1" t="n">
        <v>2034</v>
      </c>
      <c r="N92" s="1" t="n">
        <v>2035</v>
      </c>
      <c r="O92" s="1" t="n">
        <v>2036</v>
      </c>
      <c r="P92" s="1" t="n">
        <v>2037</v>
      </c>
      <c r="Q92" s="1" t="n">
        <v>2038</v>
      </c>
      <c r="R92" s="1" t="n">
        <v>2039</v>
      </c>
      <c r="S92" s="1" t="n">
        <v>2040</v>
      </c>
      <c r="T92" s="1" t="n">
        <v>2041</v>
      </c>
      <c r="U92" s="1" t="n">
        <v>2042</v>
      </c>
      <c r="V92" s="1" t="n">
        <v>2043</v>
      </c>
      <c r="W92" s="1" t="n">
        <v>2044</v>
      </c>
      <c r="X92" s="1" t="n">
        <v>2045</v>
      </c>
      <c r="Y92" s="1" t="n">
        <v>2046</v>
      </c>
      <c r="Z92" s="1" t="n">
        <v>2047</v>
      </c>
      <c r="AA92" s="1" t="n">
        <v>2048</v>
      </c>
      <c r="AB92" s="1" t="n">
        <v>2049</v>
      </c>
      <c r="AC92" s="1" t="n">
        <v>2050</v>
      </c>
    </row>
    <row r="93" customFormat="false" ht="12.8" hidden="false" customHeight="false" outlineLevel="0" collapsed="false">
      <c r="A93" s="130" t="s">
        <v>582</v>
      </c>
      <c r="B93" s="130" t="n">
        <v>0</v>
      </c>
      <c r="C93" s="130" t="n">
        <v>0</v>
      </c>
      <c r="D93" s="130" t="n">
        <v>0</v>
      </c>
      <c r="E93" s="130" t="n">
        <v>0</v>
      </c>
      <c r="F93" s="130" t="n">
        <v>0</v>
      </c>
      <c r="G93" s="130" t="n">
        <v>0</v>
      </c>
      <c r="H93" s="130" t="n">
        <v>0</v>
      </c>
      <c r="I93" s="130" t="n">
        <v>0.0025</v>
      </c>
      <c r="J93" s="130" t="n">
        <f aca="false">I93*1.2</f>
        <v>0.003</v>
      </c>
      <c r="K93" s="130" t="n">
        <f aca="false">J93*1.2</f>
        <v>0.0036</v>
      </c>
      <c r="L93" s="130" t="n">
        <f aca="false">K93*1.2</f>
        <v>0.00432</v>
      </c>
      <c r="M93" s="130" t="n">
        <f aca="false">L93*1.2</f>
        <v>0.005184</v>
      </c>
      <c r="N93" s="130" t="n">
        <f aca="false">M93*1.2</f>
        <v>0.0062208</v>
      </c>
      <c r="O93" s="130" t="n">
        <f aca="false">N93*1.09</f>
        <v>0.006780672</v>
      </c>
      <c r="P93" s="130" t="n">
        <f aca="false">O93*1.09</f>
        <v>0.00739093248</v>
      </c>
      <c r="Q93" s="130" t="n">
        <f aca="false">P93*1.09</f>
        <v>0.0080561164032</v>
      </c>
      <c r="R93" s="130" t="n">
        <f aca="false">Q93*1.09</f>
        <v>0.008781166879488</v>
      </c>
      <c r="S93" s="130" t="n">
        <f aca="false">R93*1.09</f>
        <v>0.00957147189864192</v>
      </c>
      <c r="T93" s="130" t="n">
        <f aca="false">S93*1.09</f>
        <v>0.0104329043695197</v>
      </c>
      <c r="U93" s="130" t="n">
        <f aca="false">T93*1.09</f>
        <v>0.0113718657627765</v>
      </c>
      <c r="V93" s="130" t="n">
        <f aca="false">U93*1.09</f>
        <v>0.0123953336814264</v>
      </c>
      <c r="W93" s="130" t="n">
        <f aca="false">V93*1.09</f>
        <v>0.0135109137127547</v>
      </c>
      <c r="X93" s="130" t="n">
        <f aca="false">W93*1.09</f>
        <v>0.0147268959469027</v>
      </c>
      <c r="Y93" s="130" t="n">
        <f aca="false">X93*1.09</f>
        <v>0.0160523165821239</v>
      </c>
      <c r="Z93" s="130" t="n">
        <f aca="false">Y93*1.09</f>
        <v>0.017497025074515</v>
      </c>
      <c r="AA93" s="130" t="n">
        <f aca="false">Z93*1.09</f>
        <v>0.0190717573312214</v>
      </c>
      <c r="AB93" s="130" t="n">
        <f aca="false">AA93*1.09</f>
        <v>0.0207882154910313</v>
      </c>
      <c r="AC93" s="130" t="n">
        <f aca="false">AB93*1.09</f>
        <v>0.0226591548852241</v>
      </c>
    </row>
    <row r="94" customFormat="false" ht="12.8" hidden="false" customHeight="false" outlineLevel="0" collapsed="false">
      <c r="A94" s="130" t="s">
        <v>303</v>
      </c>
      <c r="B94" s="130" t="n">
        <v>0</v>
      </c>
      <c r="C94" s="130" t="n">
        <f aca="false">2/480</f>
        <v>0.00416666666666667</v>
      </c>
      <c r="D94" s="130" t="n">
        <f aca="false">C94*1.25</f>
        <v>0.00520833333333333</v>
      </c>
      <c r="E94" s="130" t="n">
        <f aca="false">D94*1.25</f>
        <v>0.00651041666666667</v>
      </c>
      <c r="F94" s="130" t="n">
        <f aca="false">E94*1.25</f>
        <v>0.00813802083333333</v>
      </c>
      <c r="G94" s="130" t="n">
        <f aca="false">F94*1.25</f>
        <v>0.0101725260416667</v>
      </c>
      <c r="H94" s="130" t="n">
        <f aca="false">G94*1.3</f>
        <v>0.0132242838541667</v>
      </c>
      <c r="I94" s="130" t="n">
        <f aca="false">H94*1.3</f>
        <v>0.0171915690104167</v>
      </c>
      <c r="J94" s="130" t="n">
        <f aca="false">I94*1.3</f>
        <v>0.0223490397135417</v>
      </c>
      <c r="K94" s="130" t="n">
        <f aca="false">J94*1.3</f>
        <v>0.0290537516276042</v>
      </c>
      <c r="L94" s="130" t="n">
        <f aca="false">K94*1.3</f>
        <v>0.0377698771158854</v>
      </c>
      <c r="M94" s="130" t="n">
        <f aca="false">L94*1.3</f>
        <v>0.0491008402506511</v>
      </c>
      <c r="N94" s="130" t="n">
        <f aca="false">M94*1.3</f>
        <v>0.0638310923258464</v>
      </c>
      <c r="O94" s="130" t="n">
        <f aca="false">N94+(N94*0.09)</f>
        <v>0.0695758906351725</v>
      </c>
      <c r="P94" s="130" t="n">
        <f aca="false">O94*1.09</f>
        <v>0.0758377207923381</v>
      </c>
      <c r="Q94" s="130" t="n">
        <f aca="false">P94*1.09</f>
        <v>0.0826631156636485</v>
      </c>
      <c r="R94" s="130" t="n">
        <f aca="false">Q94*1.09</f>
        <v>0.0901027960733769</v>
      </c>
      <c r="S94" s="130" t="n">
        <f aca="false">R94*1.09</f>
        <v>0.0982120477199808</v>
      </c>
      <c r="T94" s="130" t="n">
        <f aca="false">S94*1.09</f>
        <v>0.107051132014779</v>
      </c>
      <c r="U94" s="130" t="n">
        <f aca="false">T94*1.09</f>
        <v>0.116685733896109</v>
      </c>
      <c r="V94" s="130" t="n">
        <f aca="false">U94*1.09</f>
        <v>0.127187449946759</v>
      </c>
      <c r="W94" s="130" t="n">
        <f aca="false">V94*1.09</f>
        <v>0.138634320441967</v>
      </c>
      <c r="X94" s="130" t="n">
        <f aca="false">W94*1.09</f>
        <v>0.151111409281745</v>
      </c>
      <c r="Y94" s="130" t="n">
        <f aca="false">X94*1.09</f>
        <v>0.164711436117102</v>
      </c>
      <c r="Z94" s="130" t="n">
        <f aca="false">Y94*1.09</f>
        <v>0.179535465367641</v>
      </c>
      <c r="AA94" s="130" t="n">
        <f aca="false">Z94*1.09</f>
        <v>0.195693657250728</v>
      </c>
      <c r="AB94" s="130" t="n">
        <f aca="false">AA94*1.09</f>
        <v>0.213306086403294</v>
      </c>
      <c r="AC94" s="130" t="n">
        <f aca="false">AB94*1.09</f>
        <v>0.23250363417959</v>
      </c>
    </row>
    <row r="95" customFormat="false" ht="12.8" hidden="false" customHeight="false" outlineLevel="0" collapsed="false">
      <c r="A95" s="130" t="s">
        <v>304</v>
      </c>
      <c r="B95" s="130" t="n">
        <v>0</v>
      </c>
      <c r="C95" s="130" t="n">
        <f aca="false">3/480</f>
        <v>0.00625</v>
      </c>
      <c r="D95" s="130" t="n">
        <f aca="false">C95*1.3</f>
        <v>0.008125</v>
      </c>
      <c r="E95" s="130" t="n">
        <f aca="false">D95*1.3</f>
        <v>0.0105625</v>
      </c>
      <c r="F95" s="130" t="n">
        <f aca="false">E95*1.3</f>
        <v>0.01373125</v>
      </c>
      <c r="G95" s="130" t="n">
        <f aca="false">F95*1.3</f>
        <v>0.017850625</v>
      </c>
      <c r="H95" s="130" t="n">
        <f aca="false">G95*1.3</f>
        <v>0.0232058125</v>
      </c>
      <c r="I95" s="130" t="n">
        <f aca="false">H95*1.3</f>
        <v>0.03016755625</v>
      </c>
      <c r="J95" s="130" t="n">
        <f aca="false">I95*1.3</f>
        <v>0.039217823125</v>
      </c>
      <c r="K95" s="130" t="n">
        <f aca="false">J95*1.4</f>
        <v>0.054904952375</v>
      </c>
      <c r="L95" s="130" t="n">
        <f aca="false">K95*1.4</f>
        <v>0.076866933325</v>
      </c>
      <c r="M95" s="130" t="n">
        <f aca="false">L95*1.4</f>
        <v>0.107613706655</v>
      </c>
      <c r="N95" s="130" t="n">
        <f aca="false">M95*1.4</f>
        <v>0.150659189317</v>
      </c>
      <c r="O95" s="130" t="n">
        <f aca="false">N95+((1/35))</f>
        <v>0.179230617888429</v>
      </c>
      <c r="P95" s="130" t="n">
        <f aca="false">O95*1.09</f>
        <v>0.195361373498387</v>
      </c>
      <c r="Q95" s="130" t="n">
        <f aca="false">P95*1.09</f>
        <v>0.212943897113242</v>
      </c>
      <c r="R95" s="130" t="n">
        <f aca="false">Q95*1.09</f>
        <v>0.232108847853434</v>
      </c>
      <c r="S95" s="130" t="n">
        <f aca="false">R95*1.09</f>
        <v>0.252998644160243</v>
      </c>
      <c r="T95" s="130" t="n">
        <f aca="false">S95*1.09</f>
        <v>0.275768522134665</v>
      </c>
      <c r="U95" s="130" t="n">
        <f aca="false">T95*1.09</f>
        <v>0.300587689126785</v>
      </c>
      <c r="V95" s="130" t="n">
        <f aca="false">U95*1.09</f>
        <v>0.327640581148195</v>
      </c>
      <c r="W95" s="130" t="n">
        <f aca="false">V95*1.09</f>
        <v>0.357128233451533</v>
      </c>
      <c r="X95" s="130" t="n">
        <f aca="false">W95*1.09</f>
        <v>0.389269774462171</v>
      </c>
      <c r="Y95" s="130" t="n">
        <f aca="false">X95*1.09</f>
        <v>0.424304054163766</v>
      </c>
      <c r="Z95" s="130" t="n">
        <f aca="false">Y95*1.09</f>
        <v>0.462491419038505</v>
      </c>
      <c r="AA95" s="130" t="n">
        <f aca="false">Z95*1.09</f>
        <v>0.504115646751971</v>
      </c>
      <c r="AB95" s="130" t="n">
        <f aca="false">AA95*1.09</f>
        <v>0.549486054959648</v>
      </c>
      <c r="AC95" s="130" t="n">
        <f aca="false">AB95*1.09</f>
        <v>0.598939799906017</v>
      </c>
    </row>
    <row r="96" customFormat="false" ht="12.8" hidden="false" customHeight="false" outlineLevel="0" collapsed="false">
      <c r="A96" s="130" t="s">
        <v>305</v>
      </c>
      <c r="B96" s="130" t="n">
        <v>0</v>
      </c>
      <c r="C96" s="130" t="n">
        <f aca="false">5/480</f>
        <v>0.0104166666666667</v>
      </c>
      <c r="D96" s="130" t="n">
        <f aca="false">C96*1.3</f>
        <v>0.0135416666666667</v>
      </c>
      <c r="E96" s="130" t="n">
        <f aca="false">D96*1.3</f>
        <v>0.0176041666666667</v>
      </c>
      <c r="F96" s="130" t="n">
        <f aca="false">E96*1.3</f>
        <v>0.0228854166666667</v>
      </c>
      <c r="G96" s="130" t="n">
        <f aca="false">F96*1.4</f>
        <v>0.0320395833333333</v>
      </c>
      <c r="H96" s="130" t="n">
        <f aca="false">G96*1.4</f>
        <v>0.0448554166666667</v>
      </c>
      <c r="I96" s="130" t="n">
        <f aca="false">H96*1.4</f>
        <v>0.0627975833333333</v>
      </c>
      <c r="J96" s="130" t="n">
        <f aca="false">I96*1.4</f>
        <v>0.0879166166666667</v>
      </c>
      <c r="K96" s="130" t="n">
        <f aca="false">J96*1.4</f>
        <v>0.123083263333333</v>
      </c>
      <c r="L96" s="130" t="n">
        <f aca="false">K96*1.4</f>
        <v>0.172316568666667</v>
      </c>
      <c r="M96" s="130" t="n">
        <f aca="false">L96*1.4</f>
        <v>0.241243196133333</v>
      </c>
      <c r="N96" s="130" t="n">
        <f aca="false">M96+(40/480)</f>
        <v>0.324576529466667</v>
      </c>
      <c r="O96" s="130" t="n">
        <f aca="false">N96+0.12</f>
        <v>0.444576529466667</v>
      </c>
      <c r="P96" s="130" t="n">
        <f aca="false">O96+0.12</f>
        <v>0.564576529466667</v>
      </c>
      <c r="Q96" s="130" t="n">
        <f aca="false">P96+0.12</f>
        <v>0.684576529466667</v>
      </c>
      <c r="R96" s="130" t="n">
        <f aca="false">Q96+0.12</f>
        <v>0.804576529466667</v>
      </c>
      <c r="S96" s="130" t="n">
        <f aca="false">R96+0.12</f>
        <v>0.924576529466667</v>
      </c>
      <c r="T96" s="130" t="n">
        <v>1</v>
      </c>
      <c r="U96" s="130" t="n">
        <v>1</v>
      </c>
      <c r="V96" s="130" t="n">
        <v>1</v>
      </c>
      <c r="W96" s="130" t="n">
        <v>1</v>
      </c>
      <c r="X96" s="130" t="n">
        <v>1</v>
      </c>
      <c r="Y96" s="130" t="n">
        <v>1</v>
      </c>
      <c r="Z96" s="130" t="n">
        <v>1</v>
      </c>
      <c r="AA96" s="130" t="n">
        <v>1</v>
      </c>
      <c r="AB96" s="130" t="n">
        <v>1</v>
      </c>
      <c r="AC96" s="130" t="n">
        <v>1</v>
      </c>
    </row>
    <row r="97" customFormat="false" ht="12.8" hidden="false" customHeight="false" outlineLevel="0" collapsed="false">
      <c r="A97" s="130"/>
      <c r="B97" s="130"/>
      <c r="C97" s="130"/>
      <c r="D97" s="130"/>
      <c r="E97" s="130"/>
      <c r="F97" s="130"/>
      <c r="G97" s="130"/>
      <c r="H97" s="130"/>
      <c r="I97" s="130"/>
      <c r="J97" s="130"/>
      <c r="K97" s="130"/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</row>
    <row r="98" customFormat="false" ht="12.8" hidden="false" customHeight="false" outlineLevel="0" collapsed="false">
      <c r="A98" s="130"/>
      <c r="B98" s="130"/>
      <c r="C98" s="130"/>
      <c r="D98" s="130"/>
      <c r="E98" s="130"/>
      <c r="F98" s="130"/>
      <c r="G98" s="130"/>
      <c r="H98" s="130"/>
      <c r="I98" s="130"/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</row>
    <row r="99" customFormat="false" ht="12.8" hidden="false" customHeight="false" outlineLevel="0" collapsed="false">
      <c r="A99" s="130"/>
      <c r="B99" s="130"/>
      <c r="C99" s="130"/>
      <c r="D99" s="130"/>
      <c r="E99" s="130"/>
      <c r="F99" s="130"/>
      <c r="G99" s="130"/>
      <c r="H99" s="130"/>
      <c r="I99" s="130"/>
      <c r="J99" s="130"/>
      <c r="K99" s="130"/>
      <c r="L99" s="130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</row>
    <row r="100" customFormat="false" ht="12.8" hidden="false" customHeight="false" outlineLevel="0" collapsed="false">
      <c r="A100" s="130" t="s">
        <v>310</v>
      </c>
      <c r="B100" s="130" t="n">
        <v>0</v>
      </c>
      <c r="C100" s="130" t="n">
        <v>0</v>
      </c>
      <c r="D100" s="130" t="n">
        <f aca="false">(C100*(16/17))+(B86*(1/17))</f>
        <v>0.00123529411764706</v>
      </c>
      <c r="E100" s="130" t="n">
        <f aca="false">(D100*(16/17))+(C86*(1/17))</f>
        <v>0.00262274740484429</v>
      </c>
      <c r="F100" s="130" t="n">
        <f aca="false">(E100*(16/17))+(D86*(1/17))</f>
        <v>0.00419432720455933</v>
      </c>
      <c r="G100" s="130" t="n">
        <f aca="false">(F100*(16/17))+(E86*(1/17))</f>
        <v>0.00598756748240878</v>
      </c>
      <c r="H100" s="130" t="n">
        <f aca="false">(G100*(16/17))+(F86*(1/17))</f>
        <v>0.00804659674220215</v>
      </c>
      <c r="I100" s="130" t="n">
        <f aca="false">(H100*(16/17))+(G86*(1/17))</f>
        <v>0.0104233521521017</v>
      </c>
      <c r="J100" s="130" t="n">
        <f aca="false">(I100*(16/17))+(H86*(1/17))</f>
        <v>0.0131790138229078</v>
      </c>
      <c r="K100" s="130" t="n">
        <f aca="false">(J100*(16/17))+(I86*(1/17))</f>
        <v>0.0163856993543228</v>
      </c>
      <c r="L100" s="130" t="n">
        <f aca="false">(K100*(16/17))+(J86*(1/17))</f>
        <v>0.0201284660632996</v>
      </c>
      <c r="M100" s="130" t="n">
        <f aca="false">(L100*(16/17))+(K86*(1/17))</f>
        <v>0.0245076769352813</v>
      </c>
      <c r="N100" s="130" t="n">
        <f aca="false">(M100*(16/17))+(L86*(1/17))</f>
        <v>0.0296417965360543</v>
      </c>
      <c r="O100" s="130" t="n">
        <f aca="false">(N100*(16/17))+(M86*(1/17))</f>
        <v>0.0356706951748414</v>
      </c>
      <c r="P100" s="130" t="n">
        <f aca="false">(O100*(16/17))+(N86*(1/17))</f>
        <v>0.0427595538559333</v>
      </c>
      <c r="Q100" s="130" t="n">
        <f aca="false">(P100*(16/17))+(O86*(1/17))</f>
        <v>0.0511034793958503</v>
      </c>
      <c r="R100" s="130" t="n">
        <f aca="false">(Q100*(16/17))+(P86*(1/17))</f>
        <v>0.0609329589876713</v>
      </c>
      <c r="S100" s="130" t="n">
        <f aca="false">(R100*(16/17))+(Q86*(1/17))</f>
        <v>0.0725203070215698</v>
      </c>
      <c r="T100" s="130" t="n">
        <f aca="false">(S100*(16/17))+(R86*(1/17))</f>
        <v>0.0861872847801</v>
      </c>
      <c r="U100" s="130" t="n">
        <f aca="false">(T100*(16/17))+(S86*(1/17))</f>
        <v>0.102314106497706</v>
      </c>
      <c r="V100" s="130" t="n">
        <f aca="false">(U100*(16/17))+(T86*(1/17))</f>
        <v>0.121350084127467</v>
      </c>
      <c r="W100" s="130" t="n">
        <f aca="false">(V100*(16/17))+(U86*(1/17))</f>
        <v>0.14382620908307</v>
      </c>
      <c r="X100" s="130" t="n">
        <f aca="false">(W100*(16/17))+(V86*(1/17))</f>
        <v>0.170370023507393</v>
      </c>
      <c r="Y100" s="130" t="n">
        <f aca="false">(X100*(16/17))+(W86*(1/17))</f>
        <v>0.201723197782165</v>
      </c>
      <c r="Z100" s="130" t="n">
        <f aca="false">(Y100*(16/17))+(X86*(1/17))</f>
        <v>0.23876230683398</v>
      </c>
      <c r="AA100" s="130" t="n">
        <f aca="false">(Z100*(16/17))+(Y86*(1/17))</f>
        <v>0.282523387435845</v>
      </c>
      <c r="AB100" s="130" t="n">
        <f aca="false">(AA100*(16/17))+(Z86*(1/17))</f>
        <v>0.324727894057266</v>
      </c>
      <c r="AC100" s="130" t="n">
        <f aca="false">(AB100*(16/17))+(AA86*(1/17))</f>
        <v>0.364449782642132</v>
      </c>
    </row>
    <row r="101" customFormat="false" ht="12.8" hidden="false" customHeight="false" outlineLevel="0" collapsed="false">
      <c r="A101" s="130" t="s">
        <v>298</v>
      </c>
      <c r="B101" s="130" t="n">
        <f aca="false">B112/1144</f>
        <v>0</v>
      </c>
      <c r="C101" s="130" t="n">
        <f aca="false">C112/1144</f>
        <v>0</v>
      </c>
      <c r="D101" s="130" t="n">
        <f aca="false">D112/1144</f>
        <v>0.00714285714285714</v>
      </c>
      <c r="E101" s="130" t="n">
        <f aca="false">E112/1144</f>
        <v>0.0155857142857143</v>
      </c>
      <c r="F101" s="130" t="n">
        <f aca="false">F112/1144</f>
        <v>0.0255651714285714</v>
      </c>
      <c r="G101" s="130" t="n">
        <f aca="false">G112/1144</f>
        <v>0.0373608897714286</v>
      </c>
      <c r="H101" s="130" t="n">
        <f aca="false">H112/1144</f>
        <v>0.0513034288526857</v>
      </c>
      <c r="I101" s="130" t="n">
        <f aca="false">I112/1144</f>
        <v>0.0677835100467316</v>
      </c>
      <c r="J101" s="130" t="n">
        <f aca="false">J112/1144</f>
        <v>0.0872629660180939</v>
      </c>
      <c r="K101" s="130" t="n">
        <f aca="false">K112/1144</f>
        <v>0.109136447128337</v>
      </c>
      <c r="L101" s="130" t="n">
        <f aca="false">L112/1144</f>
        <v>0.134743243340098</v>
      </c>
      <c r="M101" s="130" t="n">
        <f aca="false">M112/1144</f>
        <v>0.16466446688337</v>
      </c>
      <c r="N101" s="130" t="n">
        <f aca="false">N112/1144</f>
        <v>0.199547934824423</v>
      </c>
      <c r="O101" s="130" t="n">
        <f aca="false">O112/1144</f>
        <v>0.24010479863981</v>
      </c>
      <c r="P101" s="130" t="n">
        <f aca="false">P112/1144</f>
        <v>0.287099400699141</v>
      </c>
      <c r="Q101" s="130" t="n">
        <f aca="false">Q112/1144</f>
        <v>0.341328678799783</v>
      </c>
      <c r="R101" s="130" t="n">
        <f aca="false">R112/1144</f>
        <v>0.400472942912193</v>
      </c>
      <c r="S101" s="130" t="n">
        <f aca="false">S112/1144</f>
        <v>0.467290553716805</v>
      </c>
      <c r="T101" s="130" t="n">
        <f aca="false">T112/1144</f>
        <v>0.54202197462751</v>
      </c>
      <c r="U101" s="130" t="n">
        <f aca="false">U112/1144</f>
        <v>0.624538826610102</v>
      </c>
      <c r="V101" s="130" t="n">
        <f aca="false">V112/1144</f>
        <v>0.7128965665706</v>
      </c>
      <c r="W101" s="130" t="n">
        <f aca="false">W112/1144</f>
        <v>0.792279026174366</v>
      </c>
      <c r="X101" s="130" t="n">
        <f aca="false">X112/1144</f>
        <v>0.861427434959505</v>
      </c>
      <c r="Y101" s="130" t="n">
        <f aca="false">Y112/1144</f>
        <v>0.916123975451137</v>
      </c>
      <c r="Z101" s="130" t="n">
        <f aca="false">Z112/1144</f>
        <v>0.958113854149049</v>
      </c>
      <c r="AA101" s="130" t="n">
        <f aca="false">AA112/1144</f>
        <v>0.986338895409358</v>
      </c>
      <c r="AB101" s="130" t="n">
        <f aca="false">AB112/1144</f>
        <v>1</v>
      </c>
      <c r="AC101" s="130" t="n">
        <f aca="false">AC112/1144</f>
        <v>1</v>
      </c>
    </row>
    <row r="102" customFormat="false" ht="12.8" hidden="false" customHeight="false" outlineLevel="0" collapsed="false">
      <c r="A102" s="130" t="s">
        <v>299</v>
      </c>
      <c r="B102" s="130" t="n">
        <f aca="false">B123/1144</f>
        <v>0</v>
      </c>
      <c r="C102" s="130" t="n">
        <f aca="false">C123/1144</f>
        <v>0</v>
      </c>
      <c r="D102" s="130" t="n">
        <f aca="false">D123/1144</f>
        <v>0.01</v>
      </c>
      <c r="E102" s="130" t="n">
        <f aca="false">E123/1144</f>
        <v>0.02182</v>
      </c>
      <c r="F102" s="130" t="n">
        <f aca="false">F123/1144</f>
        <v>0.03579124</v>
      </c>
      <c r="G102" s="130" t="n">
        <f aca="false">G123/1144</f>
        <v>0.05230524568</v>
      </c>
      <c r="H102" s="130" t="n">
        <f aca="false">H123/1144</f>
        <v>0.07182480039376</v>
      </c>
      <c r="I102" s="130" t="n">
        <f aca="false">I123/1144</f>
        <v>0.0948969140654243</v>
      </c>
      <c r="J102" s="130" t="n">
        <f aca="false">J123/1144</f>
        <v>0.122168152425332</v>
      </c>
      <c r="K102" s="130" t="n">
        <f aca="false">K123/1144</f>
        <v>0.152146333904843</v>
      </c>
      <c r="L102" s="130" t="n">
        <f aca="false">L123/1144</f>
        <v>0.187095133830957</v>
      </c>
      <c r="M102" s="130" t="n">
        <f aca="false">M123/1144</f>
        <v>0.227726436568724</v>
      </c>
      <c r="N102" s="130" t="n">
        <f aca="false">N123/1144</f>
        <v>0.274805136562059</v>
      </c>
      <c r="O102" s="130" t="n">
        <f aca="false">O123/1144</f>
        <v>0.329128385183944</v>
      </c>
      <c r="P102" s="130" t="n">
        <f aca="false">P123/1144</f>
        <v>0.391488987552919</v>
      </c>
      <c r="Q102" s="130" t="n">
        <f aca="false">Q123/1144</f>
        <v>0.46261527014741</v>
      </c>
      <c r="R102" s="130" t="n">
        <f aca="false">R123/1144</f>
        <v>0.53744415666389</v>
      </c>
      <c r="S102" s="130" t="n">
        <f aca="false">S123/1144</f>
        <v>0.620053827581326</v>
      </c>
      <c r="T102" s="130" t="n">
        <f aca="false">T123/1144</f>
        <v>0.708308427700703</v>
      </c>
      <c r="U102" s="130" t="n">
        <f aca="false">U123/1144</f>
        <v>0.78757286488451</v>
      </c>
      <c r="V102" s="130" t="n">
        <f aca="false">V123/1144</f>
        <v>0.856587204406008</v>
      </c>
      <c r="W102" s="130" t="n">
        <f aca="false">W123/1144</f>
        <v>0.914011631222512</v>
      </c>
      <c r="X102" s="130" t="n">
        <f aca="false">X123/1144</f>
        <v>0.958471253125256</v>
      </c>
      <c r="Y102" s="130" t="n">
        <f aca="false">Y123/1144</f>
        <v>0.986521327986407</v>
      </c>
      <c r="Z102" s="130" t="n">
        <f aca="false">Z123/1144</f>
        <v>1</v>
      </c>
      <c r="AA102" s="130" t="n">
        <f aca="false">AA123/1144</f>
        <v>1</v>
      </c>
      <c r="AB102" s="130" t="n">
        <f aca="false">AB123/1144</f>
        <v>1</v>
      </c>
      <c r="AC102" s="130" t="n">
        <f aca="false">AC123/1144</f>
        <v>1</v>
      </c>
    </row>
    <row r="103" customFormat="false" ht="12.8" hidden="false" customHeight="false" outlineLevel="0" collapsed="false">
      <c r="A103" s="130" t="s">
        <v>300</v>
      </c>
      <c r="B103" s="130" t="n">
        <f aca="false">B134/1144</f>
        <v>0</v>
      </c>
      <c r="C103" s="130" t="n">
        <f aca="false">C134/1144</f>
        <v>0</v>
      </c>
      <c r="D103" s="130" t="n">
        <f aca="false">D134/1144</f>
        <v>0.02</v>
      </c>
      <c r="E103" s="130" t="n">
        <f aca="false">E134/1144</f>
        <v>0.04364</v>
      </c>
      <c r="F103" s="130" t="n">
        <f aca="false">F134/1144</f>
        <v>0.07158248</v>
      </c>
      <c r="G103" s="130" t="n">
        <f aca="false">G134/1144</f>
        <v>0.10461049136</v>
      </c>
      <c r="H103" s="130" t="n">
        <f aca="false">H134/1144</f>
        <v>0.14364960078752</v>
      </c>
      <c r="I103" s="130" t="n">
        <f aca="false">I134/1144</f>
        <v>0.189793828130849</v>
      </c>
      <c r="J103" s="130" t="n">
        <f aca="false">J134/1144</f>
        <v>0.244336304850663</v>
      </c>
      <c r="K103" s="130" t="n">
        <f aca="false">K134/1144</f>
        <v>0.299779823285889</v>
      </c>
      <c r="L103" s="130" t="n">
        <f aca="false">L134/1144</f>
        <v>0.363372419745651</v>
      </c>
      <c r="M103" s="130" t="n">
        <f aca="false">M134/1144</f>
        <v>0.435826153661488</v>
      </c>
      <c r="N103" s="130" t="n">
        <f aca="false">N134/1144</f>
        <v>0.517676467779191</v>
      </c>
      <c r="O103" s="130" t="n">
        <f aca="false">O134/1144</f>
        <v>0.609128439985365</v>
      </c>
      <c r="P103" s="130" t="n">
        <f aca="false">P134/1144</f>
        <v>0.705841355499179</v>
      </c>
      <c r="Q103" s="130" t="n">
        <f aca="false">Q134/1144</f>
        <v>0.794156021636508</v>
      </c>
      <c r="R103" s="130" t="n">
        <f aca="false">R134/1144</f>
        <v>0.861569646058425</v>
      </c>
      <c r="S103" s="130" t="n">
        <f aca="false">S134/1144</f>
        <v>0.917194192455806</v>
      </c>
      <c r="T103" s="130" t="n">
        <f aca="false">T134/1144</f>
        <v>0.959655121397111</v>
      </c>
      <c r="U103" s="130" t="n">
        <f aca="false">U134/1144</f>
        <v>0.987633938776551</v>
      </c>
      <c r="V103" s="130" t="n">
        <f aca="false">V134/1144</f>
        <v>1</v>
      </c>
      <c r="W103" s="130" t="n">
        <f aca="false">W134/1144</f>
        <v>1</v>
      </c>
      <c r="X103" s="130" t="n">
        <f aca="false">X134/1144</f>
        <v>1</v>
      </c>
      <c r="Y103" s="130" t="n">
        <f aca="false">Y134/1144</f>
        <v>1</v>
      </c>
      <c r="Z103" s="130" t="n">
        <f aca="false">Z134/1144</f>
        <v>1</v>
      </c>
      <c r="AA103" s="130" t="n">
        <f aca="false">AA134/1144</f>
        <v>1</v>
      </c>
      <c r="AB103" s="130" t="n">
        <f aca="false">AB134/1144</f>
        <v>1</v>
      </c>
      <c r="AC103" s="130" t="n">
        <f aca="false">AC134/1144</f>
        <v>1</v>
      </c>
    </row>
    <row r="104" customFormat="false" ht="12.8" hidden="false" customHeight="false" outlineLevel="0" collapsed="false">
      <c r="A104" s="130" t="s">
        <v>301</v>
      </c>
      <c r="B104" s="130" t="n">
        <f aca="false">B145/1144</f>
        <v>0</v>
      </c>
      <c r="C104" s="130" t="n">
        <f aca="false">C145/1144</f>
        <v>0</v>
      </c>
      <c r="D104" s="130" t="n">
        <f aca="false">D145/1144</f>
        <v>0.0357142857142857</v>
      </c>
      <c r="E104" s="130" t="n">
        <f aca="false">E145/1144</f>
        <v>0.0779285714285714</v>
      </c>
      <c r="F104" s="130" t="n">
        <f aca="false">F145/1144</f>
        <v>0.127825857142857</v>
      </c>
      <c r="G104" s="130" t="n">
        <f aca="false">G145/1144</f>
        <v>0.186804448857143</v>
      </c>
      <c r="H104" s="130" t="n">
        <f aca="false">H145/1144</f>
        <v>0.256517144263429</v>
      </c>
      <c r="I104" s="130" t="n">
        <f aca="false">I145/1144</f>
        <v>0.338917550233658</v>
      </c>
      <c r="J104" s="130" t="n">
        <f aca="false">J145/1144</f>
        <v>0.43631483009047</v>
      </c>
      <c r="K104" s="130" t="n">
        <f aca="false">K145/1144</f>
        <v>0.522657518683533</v>
      </c>
      <c r="L104" s="130" t="n">
        <f aca="false">L145/1144</f>
        <v>0.618523115086903</v>
      </c>
      <c r="M104" s="130" t="n">
        <f aca="false">M145/1144</f>
        <v>0.71148297222976</v>
      </c>
      <c r="N104" s="130" t="n">
        <f aca="false">N145/1144</f>
        <v>0.795361523372617</v>
      </c>
      <c r="O104" s="130" t="n">
        <f aca="false">O145/1144</f>
        <v>0.868505970823474</v>
      </c>
      <c r="P104" s="130" t="n">
        <f aca="false">P145/1144</f>
        <v>0.928962707710387</v>
      </c>
      <c r="Q104" s="130" t="n">
        <f aca="false">Q145/1144</f>
        <v>0.974422570710719</v>
      </c>
      <c r="R104" s="130" t="n">
        <f aca="false">R145/1144</f>
        <v>0.995222739260512</v>
      </c>
      <c r="S104" s="130" t="n">
        <f aca="false">S145/1144</f>
        <v>1</v>
      </c>
      <c r="T104" s="130" t="n">
        <f aca="false">T145/1144</f>
        <v>1</v>
      </c>
      <c r="U104" s="130" t="n">
        <f aca="false">U145/1144</f>
        <v>1</v>
      </c>
      <c r="V104" s="130" t="n">
        <f aca="false">V145/1144</f>
        <v>1</v>
      </c>
      <c r="W104" s="130" t="n">
        <f aca="false">W145/1144</f>
        <v>1</v>
      </c>
      <c r="X104" s="130" t="n">
        <f aca="false">X145/1144</f>
        <v>1</v>
      </c>
      <c r="Y104" s="130" t="n">
        <f aca="false">Y145/1144</f>
        <v>1</v>
      </c>
      <c r="Z104" s="130" t="n">
        <f aca="false">Z145/1144</f>
        <v>1</v>
      </c>
      <c r="AA104" s="130" t="n">
        <f aca="false">AA145/1144</f>
        <v>1</v>
      </c>
      <c r="AB104" s="130" t="n">
        <f aca="false">AB145/1144</f>
        <v>1</v>
      </c>
      <c r="AC104" s="130" t="n">
        <f aca="false">AC145/1144</f>
        <v>1</v>
      </c>
    </row>
    <row r="105" customFormat="false" ht="12.8" hidden="false" customHeight="false" outlineLevel="0" collapsed="false">
      <c r="A105" s="130"/>
      <c r="B105" s="130"/>
      <c r="C105" s="130"/>
      <c r="D105" s="130"/>
      <c r="E105" s="130"/>
      <c r="F105" s="130"/>
      <c r="G105" s="130"/>
      <c r="H105" s="130"/>
      <c r="I105" s="130"/>
      <c r="J105" s="130"/>
      <c r="K105" s="130"/>
      <c r="L105" s="130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</row>
    <row r="106" customFormat="false" ht="12.8" hidden="false" customHeight="false" outlineLevel="0" collapsed="false">
      <c r="A106" s="130" t="s">
        <v>298</v>
      </c>
      <c r="B106" s="0"/>
      <c r="C106" s="130" t="n">
        <f aca="false">C112/1144</f>
        <v>0</v>
      </c>
      <c r="D106" s="130" t="n">
        <f aca="false">D112/1144</f>
        <v>0.00714285714285714</v>
      </c>
      <c r="E106" s="130" t="n">
        <f aca="false">E112/1144</f>
        <v>0.0155857142857143</v>
      </c>
      <c r="F106" s="130" t="n">
        <f aca="false">F112/1144</f>
        <v>0.0255651714285714</v>
      </c>
      <c r="G106" s="130" t="n">
        <f aca="false">G112/1144</f>
        <v>0.0373608897714286</v>
      </c>
      <c r="H106" s="130" t="n">
        <f aca="false">H112/1144</f>
        <v>0.0513034288526857</v>
      </c>
      <c r="I106" s="130" t="n">
        <f aca="false">I112/1144</f>
        <v>0.0677835100467316</v>
      </c>
      <c r="J106" s="130" t="n">
        <f aca="false">J112/1144</f>
        <v>0.0872629660180939</v>
      </c>
      <c r="K106" s="130" t="n">
        <f aca="false">K112/1144</f>
        <v>0.109136447128337</v>
      </c>
      <c r="L106" s="130" t="n">
        <f aca="false">L112/1144</f>
        <v>0.134743243340098</v>
      </c>
      <c r="M106" s="130" t="n">
        <f aca="false">M112/1144</f>
        <v>0.16466446688337</v>
      </c>
      <c r="N106" s="130" t="n">
        <f aca="false">N112/1144</f>
        <v>0.199547934824423</v>
      </c>
      <c r="O106" s="130" t="n">
        <f aca="false">O112/1144</f>
        <v>0.24010479863981</v>
      </c>
      <c r="P106" s="130" t="n">
        <f aca="false">P112/1144</f>
        <v>0.287099400699141</v>
      </c>
      <c r="Q106" s="130" t="n">
        <f aca="false">Q112/1144</f>
        <v>0.341328678799783</v>
      </c>
      <c r="R106" s="130" t="n">
        <f aca="false">R112/1144</f>
        <v>0.400472942912193</v>
      </c>
      <c r="S106" s="130" t="n">
        <f aca="false">S112/1144</f>
        <v>0.467290553716805</v>
      </c>
      <c r="T106" s="130" t="n">
        <f aca="false">T112/1144</f>
        <v>0.54202197462751</v>
      </c>
      <c r="U106" s="130" t="n">
        <f aca="false">U112/1144</f>
        <v>0.624538826610102</v>
      </c>
      <c r="V106" s="130" t="n">
        <f aca="false">V112/1144</f>
        <v>0.7128965665706</v>
      </c>
      <c r="W106" s="130" t="n">
        <f aca="false">W112/1144</f>
        <v>0.792279026174366</v>
      </c>
      <c r="X106" s="130" t="n">
        <f aca="false">X112/1144</f>
        <v>0.861427434959505</v>
      </c>
      <c r="Y106" s="130" t="n">
        <f aca="false">Y112/1144</f>
        <v>0.916123975451137</v>
      </c>
      <c r="Z106" s="130" t="n">
        <f aca="false">Z112/1144</f>
        <v>0.958113854149049</v>
      </c>
      <c r="AA106" s="130" t="n">
        <f aca="false">AA112/1144</f>
        <v>0.986338895409358</v>
      </c>
      <c r="AB106" s="130" t="n">
        <f aca="false">AB112/1144</f>
        <v>1</v>
      </c>
      <c r="AC106" s="130" t="n">
        <f aca="false">AC112/1144</f>
        <v>1</v>
      </c>
    </row>
    <row r="107" customFormat="false" ht="12.8" hidden="false" customHeight="false" outlineLevel="0" collapsed="false">
      <c r="A107" s="130" t="s">
        <v>299</v>
      </c>
      <c r="B107" s="0"/>
      <c r="C107" s="130" t="n">
        <f aca="false">C123/1144</f>
        <v>0</v>
      </c>
      <c r="D107" s="130" t="n">
        <f aca="false">D123/1144</f>
        <v>0.01</v>
      </c>
      <c r="E107" s="130" t="n">
        <f aca="false">E123/1144</f>
        <v>0.02182</v>
      </c>
      <c r="F107" s="130" t="n">
        <f aca="false">F123/1144</f>
        <v>0.03579124</v>
      </c>
      <c r="G107" s="130" t="n">
        <f aca="false">G123/1144</f>
        <v>0.05230524568</v>
      </c>
      <c r="H107" s="130" t="n">
        <f aca="false">H123/1144</f>
        <v>0.07182480039376</v>
      </c>
      <c r="I107" s="130" t="n">
        <f aca="false">I123/1144</f>
        <v>0.0948969140654243</v>
      </c>
      <c r="J107" s="130" t="n">
        <f aca="false">J123/1144</f>
        <v>0.122168152425332</v>
      </c>
      <c r="K107" s="130" t="n">
        <f aca="false">K123/1144</f>
        <v>0.152146333904843</v>
      </c>
      <c r="L107" s="130" t="n">
        <f aca="false">L123/1144</f>
        <v>0.187095133830957</v>
      </c>
      <c r="M107" s="130" t="n">
        <f aca="false">M123/1144</f>
        <v>0.227726436568724</v>
      </c>
      <c r="N107" s="130" t="n">
        <f aca="false">N123/1144</f>
        <v>0.274805136562059</v>
      </c>
      <c r="O107" s="130" t="n">
        <f aca="false">O123/1144</f>
        <v>0.329128385183944</v>
      </c>
      <c r="P107" s="130" t="n">
        <f aca="false">P123/1144</f>
        <v>0.391488987552919</v>
      </c>
      <c r="Q107" s="130" t="n">
        <f aca="false">Q123/1144</f>
        <v>0.46261527014741</v>
      </c>
      <c r="R107" s="130" t="n">
        <f aca="false">R123/1144</f>
        <v>0.53744415666389</v>
      </c>
      <c r="S107" s="130" t="n">
        <f aca="false">S123/1144</f>
        <v>0.620053827581326</v>
      </c>
      <c r="T107" s="130" t="n">
        <f aca="false">T123/1144</f>
        <v>0.708308427700703</v>
      </c>
      <c r="U107" s="130" t="n">
        <f aca="false">U123/1144</f>
        <v>0.78757286488451</v>
      </c>
      <c r="V107" s="130" t="n">
        <f aca="false">V123/1144</f>
        <v>0.856587204406008</v>
      </c>
      <c r="W107" s="130" t="n">
        <f aca="false">W123/1144</f>
        <v>0.914011631222512</v>
      </c>
      <c r="X107" s="130" t="n">
        <f aca="false">X123/1144</f>
        <v>0.958471253125256</v>
      </c>
      <c r="Y107" s="130" t="n">
        <f aca="false">Y123/1144</f>
        <v>0.986521327986407</v>
      </c>
      <c r="Z107" s="130" t="n">
        <f aca="false">Z123/1144</f>
        <v>1</v>
      </c>
      <c r="AA107" s="130" t="n">
        <f aca="false">AA123/1144</f>
        <v>1</v>
      </c>
      <c r="AB107" s="130" t="n">
        <f aca="false">AB123/1144</f>
        <v>1</v>
      </c>
      <c r="AC107" s="130" t="n">
        <f aca="false">AC123/1144</f>
        <v>1</v>
      </c>
    </row>
    <row r="108" customFormat="false" ht="12.8" hidden="false" customHeight="false" outlineLevel="0" collapsed="false">
      <c r="A108" s="130" t="s">
        <v>300</v>
      </c>
      <c r="B108" s="0"/>
      <c r="C108" s="130" t="n">
        <f aca="false">C134/1144</f>
        <v>0</v>
      </c>
      <c r="D108" s="130" t="n">
        <f aca="false">D134/1144</f>
        <v>0.02</v>
      </c>
      <c r="E108" s="130" t="n">
        <f aca="false">E134/1144</f>
        <v>0.04364</v>
      </c>
      <c r="F108" s="130" t="n">
        <f aca="false">F134/1144</f>
        <v>0.07158248</v>
      </c>
      <c r="G108" s="130" t="n">
        <f aca="false">G134/1144</f>
        <v>0.10461049136</v>
      </c>
      <c r="H108" s="130" t="n">
        <f aca="false">H134/1144</f>
        <v>0.14364960078752</v>
      </c>
      <c r="I108" s="130" t="n">
        <f aca="false">I134/1144</f>
        <v>0.189793828130849</v>
      </c>
      <c r="J108" s="130" t="n">
        <f aca="false">J134/1144</f>
        <v>0.244336304850663</v>
      </c>
      <c r="K108" s="130" t="n">
        <f aca="false">K134/1144</f>
        <v>0.299779823285889</v>
      </c>
      <c r="L108" s="130" t="n">
        <f aca="false">L134/1144</f>
        <v>0.363372419745651</v>
      </c>
      <c r="M108" s="130" t="n">
        <f aca="false">M134/1144</f>
        <v>0.435826153661488</v>
      </c>
      <c r="N108" s="130" t="n">
        <f aca="false">N134/1144</f>
        <v>0.517676467779191</v>
      </c>
      <c r="O108" s="130" t="n">
        <f aca="false">O134/1144</f>
        <v>0.609128439985365</v>
      </c>
      <c r="P108" s="130" t="n">
        <f aca="false">P134/1144</f>
        <v>0.705841355499179</v>
      </c>
      <c r="Q108" s="130" t="n">
        <f aca="false">Q134/1144</f>
        <v>0.794156021636508</v>
      </c>
      <c r="R108" s="130" t="n">
        <f aca="false">R134/1144</f>
        <v>0.861569646058425</v>
      </c>
      <c r="S108" s="130" t="n">
        <f aca="false">S134/1144</f>
        <v>0.917194192455806</v>
      </c>
      <c r="T108" s="130" t="n">
        <f aca="false">T134/1144</f>
        <v>0.959655121397111</v>
      </c>
      <c r="U108" s="130" t="n">
        <f aca="false">U134/1144</f>
        <v>0.987633938776551</v>
      </c>
      <c r="V108" s="130" t="n">
        <f aca="false">V134/1144</f>
        <v>1</v>
      </c>
      <c r="W108" s="130" t="n">
        <f aca="false">W134/1144</f>
        <v>1</v>
      </c>
      <c r="X108" s="130" t="n">
        <f aca="false">X134/1144</f>
        <v>1</v>
      </c>
      <c r="Y108" s="130" t="n">
        <f aca="false">Y134/1144</f>
        <v>1</v>
      </c>
      <c r="Z108" s="130" t="n">
        <f aca="false">Z134/1144</f>
        <v>1</v>
      </c>
      <c r="AA108" s="130" t="n">
        <f aca="false">AA134/1144</f>
        <v>1</v>
      </c>
      <c r="AB108" s="130" t="n">
        <f aca="false">AB134/1144</f>
        <v>1</v>
      </c>
      <c r="AC108" s="130" t="n">
        <f aca="false">AC134/1144</f>
        <v>1</v>
      </c>
    </row>
    <row r="109" customFormat="false" ht="12.8" hidden="false" customHeight="false" outlineLevel="0" collapsed="false">
      <c r="A109" s="130" t="s">
        <v>301</v>
      </c>
      <c r="B109" s="0"/>
      <c r="C109" s="130" t="n">
        <f aca="false">C145/1144</f>
        <v>0</v>
      </c>
      <c r="D109" s="130" t="n">
        <f aca="false">D145/1144</f>
        <v>0.0357142857142857</v>
      </c>
      <c r="E109" s="130" t="n">
        <f aca="false">E145/1144</f>
        <v>0.0779285714285714</v>
      </c>
      <c r="F109" s="130" t="n">
        <f aca="false">F145/1144</f>
        <v>0.127825857142857</v>
      </c>
      <c r="G109" s="130" t="n">
        <f aca="false">G145/1144</f>
        <v>0.186804448857143</v>
      </c>
      <c r="H109" s="130" t="n">
        <f aca="false">H145/1144</f>
        <v>0.256517144263429</v>
      </c>
      <c r="I109" s="130" t="n">
        <f aca="false">I145/1144</f>
        <v>0.338917550233658</v>
      </c>
      <c r="J109" s="130" t="n">
        <f aca="false">J145/1144</f>
        <v>0.43631483009047</v>
      </c>
      <c r="K109" s="130" t="n">
        <f aca="false">K145/1144</f>
        <v>0.522657518683533</v>
      </c>
      <c r="L109" s="130" t="n">
        <f aca="false">L145/1144</f>
        <v>0.618523115086903</v>
      </c>
      <c r="M109" s="130" t="n">
        <f aca="false">M145/1144</f>
        <v>0.71148297222976</v>
      </c>
      <c r="N109" s="130" t="n">
        <f aca="false">N145/1144</f>
        <v>0.795361523372617</v>
      </c>
      <c r="O109" s="130" t="n">
        <f aca="false">O145/1144</f>
        <v>0.868505970823474</v>
      </c>
      <c r="P109" s="130" t="n">
        <f aca="false">P145/1144</f>
        <v>0.928962707710387</v>
      </c>
      <c r="Q109" s="130" t="n">
        <f aca="false">Q145/1144</f>
        <v>0.974422570710719</v>
      </c>
      <c r="R109" s="130" t="n">
        <f aca="false">R145/1144</f>
        <v>0.995222739260512</v>
      </c>
      <c r="S109" s="130" t="n">
        <f aca="false">S145/1144</f>
        <v>1</v>
      </c>
      <c r="T109" s="130" t="n">
        <f aca="false">T145/1144</f>
        <v>1</v>
      </c>
      <c r="U109" s="130" t="n">
        <f aca="false">U145/1144</f>
        <v>1</v>
      </c>
      <c r="V109" s="130" t="n">
        <f aca="false">V145/1144</f>
        <v>1</v>
      </c>
      <c r="W109" s="130" t="n">
        <f aca="false">W145/1144</f>
        <v>1</v>
      </c>
      <c r="X109" s="130" t="n">
        <f aca="false">X145/1144</f>
        <v>1</v>
      </c>
      <c r="Y109" s="130" t="n">
        <f aca="false">Y145/1144</f>
        <v>1</v>
      </c>
      <c r="Z109" s="130" t="n">
        <f aca="false">Z145/1144</f>
        <v>1</v>
      </c>
      <c r="AA109" s="130" t="n">
        <f aca="false">AA145/1144</f>
        <v>1</v>
      </c>
      <c r="AB109" s="130" t="n">
        <f aca="false">AB145/1144</f>
        <v>1</v>
      </c>
      <c r="AC109" s="130" t="n">
        <f aca="false">AC145/1144</f>
        <v>1</v>
      </c>
    </row>
    <row r="110" customFormat="false" ht="12.8" hidden="false" customHeight="false" outlineLevel="0" collapsed="false">
      <c r="A110" s="130"/>
      <c r="B110" s="130"/>
      <c r="C110" s="130"/>
      <c r="D110" s="130"/>
      <c r="E110" s="130"/>
      <c r="F110" s="130"/>
      <c r="G110" s="130"/>
      <c r="H110" s="130"/>
      <c r="I110" s="130"/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</row>
    <row r="111" customFormat="false" ht="12.8" hidden="false" customHeight="false" outlineLevel="0" collapsed="false">
      <c r="A111" s="130" t="s">
        <v>311</v>
      </c>
      <c r="B111" s="124" t="n">
        <v>2023</v>
      </c>
      <c r="C111" s="124" t="n">
        <v>2024</v>
      </c>
      <c r="D111" s="124" t="n">
        <v>2025</v>
      </c>
      <c r="E111" s="124" t="n">
        <v>2026</v>
      </c>
      <c r="F111" s="124" t="n">
        <v>2027</v>
      </c>
      <c r="G111" s="124" t="n">
        <v>2028</v>
      </c>
      <c r="H111" s="124" t="n">
        <v>2029</v>
      </c>
      <c r="I111" s="124" t="n">
        <v>2030</v>
      </c>
      <c r="J111" s="124" t="n">
        <v>2031</v>
      </c>
      <c r="K111" s="124" t="n">
        <v>2032</v>
      </c>
      <c r="L111" s="124" t="n">
        <v>2033</v>
      </c>
      <c r="M111" s="124" t="n">
        <v>2034</v>
      </c>
      <c r="N111" s="124" t="n">
        <v>2035</v>
      </c>
      <c r="O111" s="124" t="n">
        <v>2036</v>
      </c>
      <c r="P111" s="124" t="n">
        <v>2037</v>
      </c>
      <c r="Q111" s="124" t="n">
        <v>2038</v>
      </c>
      <c r="R111" s="124" t="n">
        <v>2039</v>
      </c>
      <c r="S111" s="124" t="n">
        <v>2040</v>
      </c>
      <c r="T111" s="124" t="n">
        <v>2041</v>
      </c>
      <c r="U111" s="124" t="n">
        <v>2042</v>
      </c>
      <c r="V111" s="124" t="n">
        <v>2043</v>
      </c>
      <c r="W111" s="124" t="n">
        <v>2044</v>
      </c>
      <c r="X111" s="124" t="n">
        <v>2045</v>
      </c>
      <c r="Y111" s="124" t="n">
        <v>2046</v>
      </c>
      <c r="Z111" s="124" t="n">
        <v>2047</v>
      </c>
      <c r="AA111" s="124" t="n">
        <v>2048</v>
      </c>
      <c r="AB111" s="124" t="n">
        <v>2049</v>
      </c>
      <c r="AC111" s="124" t="n">
        <v>2050</v>
      </c>
    </row>
    <row r="112" customFormat="false" ht="12.8" hidden="false" customHeight="false" outlineLevel="0" collapsed="false">
      <c r="A112" s="130" t="s">
        <v>312</v>
      </c>
      <c r="B112" s="136" t="n">
        <v>0</v>
      </c>
      <c r="C112" s="136" t="n">
        <v>0</v>
      </c>
      <c r="D112" s="136" t="n">
        <f aca="false">C112+D114</f>
        <v>8.17142857142857</v>
      </c>
      <c r="E112" s="136" t="n">
        <f aca="false">D112+E114</f>
        <v>17.8300571428571</v>
      </c>
      <c r="F112" s="136" t="n">
        <f aca="false">E112+F114</f>
        <v>29.2465561142857</v>
      </c>
      <c r="G112" s="136" t="n">
        <f aca="false">F112+G114</f>
        <v>42.7408578985143</v>
      </c>
      <c r="H112" s="136" t="n">
        <f aca="false">G112+H114</f>
        <v>58.6911226074724</v>
      </c>
      <c r="I112" s="136" t="n">
        <f aca="false">H112+I114</f>
        <v>77.544335493461</v>
      </c>
      <c r="J112" s="136" t="n">
        <f aca="false">I112+J114</f>
        <v>99.8288331246995</v>
      </c>
      <c r="K112" s="136" t="n">
        <f aca="false">J112+K114</f>
        <v>124.852095514817</v>
      </c>
      <c r="L112" s="136" t="n">
        <f aca="false">K112+L114</f>
        <v>154.146270381072</v>
      </c>
      <c r="M112" s="136" t="n">
        <f aca="false">L112+M114</f>
        <v>188.376150114575</v>
      </c>
      <c r="N112" s="136" t="n">
        <f aca="false">M112+N114</f>
        <v>228.28283743914</v>
      </c>
      <c r="O112" s="136" t="n">
        <f aca="false">N112+O114</f>
        <v>274.679889643942</v>
      </c>
      <c r="P112" s="136" t="n">
        <f aca="false">O112+P114</f>
        <v>328.441714399817</v>
      </c>
      <c r="Q112" s="136" t="n">
        <f aca="false">P112+Q114</f>
        <v>390.480008546951</v>
      </c>
      <c r="R112" s="136" t="n">
        <f aca="false">Q112+R114</f>
        <v>458.141046691549</v>
      </c>
      <c r="S112" s="136" t="n">
        <f aca="false">R112+S114</f>
        <v>534.580393452025</v>
      </c>
      <c r="T112" s="136" t="n">
        <f aca="false">S112+T114</f>
        <v>620.073138973872</v>
      </c>
      <c r="U112" s="136" t="n">
        <f aca="false">T112+U114</f>
        <v>714.472417641956</v>
      </c>
      <c r="V112" s="136" t="n">
        <f aca="false">U112+V114</f>
        <v>815.553672156767</v>
      </c>
      <c r="W112" s="136" t="n">
        <f aca="false">V112+W114</f>
        <v>906.367205943475</v>
      </c>
      <c r="X112" s="136" t="n">
        <f aca="false">W112+X114</f>
        <v>985.472985593674</v>
      </c>
      <c r="Y112" s="136" t="n">
        <f aca="false">X112+Y114</f>
        <v>1048.0458279161</v>
      </c>
      <c r="Z112" s="136" t="n">
        <f aca="false">Y112+Z114</f>
        <v>1096.08224914651</v>
      </c>
      <c r="AA112" s="136" t="n">
        <f aca="false">Z112+AA114</f>
        <v>1128.37169634831</v>
      </c>
      <c r="AB112" s="136" t="n">
        <f aca="false">AA112+AB114</f>
        <v>1144</v>
      </c>
      <c r="AC112" s="136" t="n">
        <f aca="false">AB112+AC114</f>
        <v>1144</v>
      </c>
    </row>
    <row r="113" customFormat="false" ht="12.8" hidden="false" customHeight="false" outlineLevel="0" collapsed="false">
      <c r="A113" s="130" t="s">
        <v>313</v>
      </c>
      <c r="B113" s="136" t="n">
        <v>1144</v>
      </c>
      <c r="C113" s="136" t="n">
        <f aca="false">$B113-C112</f>
        <v>1144</v>
      </c>
      <c r="D113" s="136" t="n">
        <f aca="false">$B113-D112</f>
        <v>1135.82857142857</v>
      </c>
      <c r="E113" s="136" t="n">
        <f aca="false">$B113-E112</f>
        <v>1126.16994285714</v>
      </c>
      <c r="F113" s="136" t="n">
        <f aca="false">$B113-F112</f>
        <v>1114.75344388571</v>
      </c>
      <c r="G113" s="136" t="n">
        <f aca="false">$B113-G112</f>
        <v>1101.25914210149</v>
      </c>
      <c r="H113" s="136" t="n">
        <f aca="false">$B113-H112</f>
        <v>1085.30887739253</v>
      </c>
      <c r="I113" s="136" t="n">
        <f aca="false">$B113-I112</f>
        <v>1066.45566450654</v>
      </c>
      <c r="J113" s="136" t="n">
        <f aca="false">$B113-J112</f>
        <v>1044.1711668753</v>
      </c>
      <c r="K113" s="136" t="n">
        <f aca="false">$B113-K112</f>
        <v>1019.14790448518</v>
      </c>
      <c r="L113" s="136" t="n">
        <f aca="false">$B113-L112</f>
        <v>989.853729618928</v>
      </c>
      <c r="M113" s="136" t="n">
        <f aca="false">$B113-M112</f>
        <v>955.623849885425</v>
      </c>
      <c r="N113" s="136" t="n">
        <f aca="false">$B113-N112</f>
        <v>915.717162560861</v>
      </c>
      <c r="O113" s="136" t="n">
        <f aca="false">$B113-O112</f>
        <v>869.320110356058</v>
      </c>
      <c r="P113" s="136" t="n">
        <f aca="false">$B113-P112</f>
        <v>815.558285600183</v>
      </c>
      <c r="Q113" s="136" t="n">
        <f aca="false">$B113-Q112</f>
        <v>753.519991453049</v>
      </c>
      <c r="R113" s="136" t="n">
        <f aca="false">$B113-R112</f>
        <v>685.858953308451</v>
      </c>
      <c r="S113" s="136" t="n">
        <f aca="false">$B113-S112</f>
        <v>609.419606547975</v>
      </c>
      <c r="T113" s="136" t="n">
        <f aca="false">$B113-T112</f>
        <v>523.926861026128</v>
      </c>
      <c r="U113" s="136" t="n">
        <f aca="false">$B113-U112</f>
        <v>429.527582358044</v>
      </c>
      <c r="V113" s="136" t="n">
        <f aca="false">$B113-V112</f>
        <v>328.446327843233</v>
      </c>
      <c r="W113" s="136" t="n">
        <f aca="false">$B113-W112</f>
        <v>237.632794056525</v>
      </c>
      <c r="X113" s="136" t="n">
        <f aca="false">$B113-X112</f>
        <v>158.527014406327</v>
      </c>
      <c r="Y113" s="136" t="n">
        <f aca="false">$B113-Y112</f>
        <v>95.9541720838988</v>
      </c>
      <c r="Z113" s="136" t="n">
        <f aca="false">$B113-Z112</f>
        <v>47.9177508534881</v>
      </c>
      <c r="AA113" s="136" t="n">
        <f aca="false">$B113-AA112</f>
        <v>15.6283036516943</v>
      </c>
      <c r="AB113" s="136" t="n">
        <f aca="false">$B113-AB112</f>
        <v>0</v>
      </c>
      <c r="AC113" s="136" t="n">
        <f aca="false">$B113-AC112</f>
        <v>0</v>
      </c>
    </row>
    <row r="114" customFormat="false" ht="11.9" hidden="false" customHeight="true" outlineLevel="0" collapsed="false">
      <c r="A114" s="0" t="s">
        <v>314</v>
      </c>
      <c r="B114" s="136"/>
      <c r="C114" s="136"/>
      <c r="D114" s="136" t="n">
        <f aca="false">B87*C121</f>
        <v>8.17142857142857</v>
      </c>
      <c r="E114" s="136" t="n">
        <f aca="false">C87*D121</f>
        <v>9.65862857142857</v>
      </c>
      <c r="F114" s="136" t="n">
        <f aca="false">D87*E121</f>
        <v>11.4164989714286</v>
      </c>
      <c r="G114" s="136" t="n">
        <f aca="false">E87*F121</f>
        <v>13.4943017842286</v>
      </c>
      <c r="H114" s="136" t="n">
        <f aca="false">F87*G121</f>
        <v>15.9502647089582</v>
      </c>
      <c r="I114" s="136" t="n">
        <f aca="false">G87*H121</f>
        <v>18.8532128859886</v>
      </c>
      <c r="J114" s="136" t="n">
        <f aca="false">H87*I121</f>
        <v>22.2844976312385</v>
      </c>
      <c r="K114" s="136" t="n">
        <f aca="false">I87*J121</f>
        <v>25.0232623901177</v>
      </c>
      <c r="L114" s="136" t="n">
        <f aca="false">J87*K121</f>
        <v>29.2941748662553</v>
      </c>
      <c r="M114" s="136" t="n">
        <f aca="false">K87*L121</f>
        <v>34.2298797335025</v>
      </c>
      <c r="N114" s="136" t="n">
        <f aca="false">L87*M121</f>
        <v>39.9066873245646</v>
      </c>
      <c r="O114" s="136" t="n">
        <f aca="false">M87*N121</f>
        <v>46.3970522048026</v>
      </c>
      <c r="P114" s="136" t="n">
        <f aca="false">N87*O121</f>
        <v>53.7618247558749</v>
      </c>
      <c r="Q114" s="136" t="n">
        <f aca="false">O87*P121</f>
        <v>62.0382941471344</v>
      </c>
      <c r="R114" s="136" t="n">
        <f aca="false">P87*Q121</f>
        <v>67.6610381445974</v>
      </c>
      <c r="S114" s="136" t="n">
        <f aca="false">Q87*R121</f>
        <v>76.4393467604768</v>
      </c>
      <c r="T114" s="136" t="n">
        <f aca="false">R87*S121</f>
        <v>85.4927455218466</v>
      </c>
      <c r="U114" s="136" t="n">
        <f aca="false">S87*T121</f>
        <v>94.3992786680842</v>
      </c>
      <c r="V114" s="136" t="n">
        <f aca="false">T87*U121</f>
        <v>101.081254514811</v>
      </c>
      <c r="W114" s="136" t="n">
        <f aca="false">U87*V121</f>
        <v>90.813533786708</v>
      </c>
      <c r="X114" s="136" t="n">
        <f aca="false">V87*W121</f>
        <v>79.1057796501985</v>
      </c>
      <c r="Y114" s="136" t="n">
        <f aca="false">W87*X121</f>
        <v>62.5728423224278</v>
      </c>
      <c r="Z114" s="136" t="n">
        <f aca="false">X87*Y121</f>
        <v>48.0364212304108</v>
      </c>
      <c r="AA114" s="136" t="n">
        <f aca="false">Y87*Z121</f>
        <v>32.2894472017937</v>
      </c>
      <c r="AB114" s="136" t="n">
        <f aca="false">Z87*AA121</f>
        <v>15.6283036516941</v>
      </c>
      <c r="AC114" s="136" t="n">
        <f aca="false">AA87*AB121</f>
        <v>0</v>
      </c>
    </row>
    <row r="115" customFormat="false" ht="12.8" hidden="false" customHeight="false" outlineLevel="0" collapsed="false">
      <c r="A115" s="139" t="n">
        <v>1</v>
      </c>
      <c r="B115" s="139" t="n">
        <f aca="false">1/7*B$113</f>
        <v>163.428571428571</v>
      </c>
      <c r="C115" s="139" t="n">
        <f aca="false">1/7*C$113</f>
        <v>163.428571428571</v>
      </c>
      <c r="D115" s="139" t="n">
        <f aca="false">C121-D114</f>
        <v>155.257142857143</v>
      </c>
      <c r="E115" s="139" t="n">
        <f aca="false">D121-E114</f>
        <v>153.769942857143</v>
      </c>
      <c r="F115" s="139" t="n">
        <f aca="false">E121-F114</f>
        <v>152.012072457143</v>
      </c>
      <c r="G115" s="139" t="n">
        <f aca="false">F121-G114</f>
        <v>149.934269644343</v>
      </c>
      <c r="H115" s="139" t="n">
        <f aca="false">G121-H114</f>
        <v>147.478306719613</v>
      </c>
      <c r="I115" s="139" t="n">
        <f aca="false">H121-I114</f>
        <v>144.575358542583</v>
      </c>
      <c r="J115" s="139" t="n">
        <f aca="false">I121-J114</f>
        <v>141.144073797333</v>
      </c>
      <c r="K115" s="139" t="n">
        <f aca="false">J121-K114</f>
        <v>130.233880467025</v>
      </c>
      <c r="L115" s="139" t="n">
        <f aca="false">K121-L114</f>
        <v>124.475767990888</v>
      </c>
      <c r="M115" s="139" t="n">
        <f aca="false">L121-M114</f>
        <v>117.78219272364</v>
      </c>
      <c r="N115" s="139" t="n">
        <f aca="false">M121-N114</f>
        <v>110.027582319778</v>
      </c>
      <c r="O115" s="139" t="n">
        <f aca="false">N121-O114</f>
        <v>101.081254514811</v>
      </c>
      <c r="P115" s="139" t="n">
        <f aca="false">O121-P114</f>
        <v>90.813533786708</v>
      </c>
      <c r="Q115" s="139" t="n">
        <f aca="false">P121-Q114</f>
        <v>79.1057796501985</v>
      </c>
      <c r="R115" s="139" t="n">
        <f aca="false">Q121-R114</f>
        <v>62.5728423224278</v>
      </c>
      <c r="S115" s="139" t="n">
        <f aca="false">R121-S114</f>
        <v>48.0364212304108</v>
      </c>
      <c r="T115" s="139" t="n">
        <f aca="false">S121-T114</f>
        <v>32.2894472017937</v>
      </c>
      <c r="U115" s="139" t="n">
        <f aca="false">T121-U114</f>
        <v>15.6283036516941</v>
      </c>
      <c r="V115" s="139" t="n">
        <f aca="false">U121-V114</f>
        <v>0</v>
      </c>
      <c r="W115" s="139" t="n">
        <f aca="false">V121-W114</f>
        <v>0</v>
      </c>
      <c r="X115" s="139" t="n">
        <f aca="false">W121-X114</f>
        <v>0</v>
      </c>
      <c r="Y115" s="139" t="n">
        <f aca="false">X121-Y114</f>
        <v>0</v>
      </c>
      <c r="Z115" s="139" t="n">
        <f aca="false">Y121-Z114</f>
        <v>0</v>
      </c>
      <c r="AA115" s="139" t="n">
        <f aca="false">Z121-AA114</f>
        <v>0</v>
      </c>
      <c r="AB115" s="139" t="n">
        <f aca="false">AA121-AB114</f>
        <v>0</v>
      </c>
      <c r="AC115" s="139" t="n">
        <f aca="false">AB121-AC114</f>
        <v>0</v>
      </c>
      <c r="AD115" s="12"/>
    </row>
    <row r="116" customFormat="false" ht="12.8" hidden="false" customHeight="false" outlineLevel="0" collapsed="false">
      <c r="A116" s="139" t="n">
        <v>2</v>
      </c>
      <c r="B116" s="139" t="n">
        <f aca="false">1/7*B$113</f>
        <v>163.428571428571</v>
      </c>
      <c r="C116" s="139" t="n">
        <f aca="false">1/7*C$113</f>
        <v>163.428571428571</v>
      </c>
      <c r="D116" s="139" t="n">
        <f aca="false">C115</f>
        <v>163.428571428571</v>
      </c>
      <c r="E116" s="139" t="n">
        <f aca="false">D115</f>
        <v>155.257142857143</v>
      </c>
      <c r="F116" s="139" t="n">
        <f aca="false">E115</f>
        <v>153.769942857143</v>
      </c>
      <c r="G116" s="139" t="n">
        <f aca="false">F115</f>
        <v>152.012072457143</v>
      </c>
      <c r="H116" s="139" t="n">
        <f aca="false">G115</f>
        <v>149.934269644343</v>
      </c>
      <c r="I116" s="139" t="n">
        <f aca="false">H115</f>
        <v>147.478306719613</v>
      </c>
      <c r="J116" s="139" t="n">
        <f aca="false">I115</f>
        <v>144.575358542583</v>
      </c>
      <c r="K116" s="139" t="n">
        <f aca="false">J115</f>
        <v>141.144073797333</v>
      </c>
      <c r="L116" s="139" t="n">
        <f aca="false">K115</f>
        <v>130.233880467025</v>
      </c>
      <c r="M116" s="139" t="n">
        <f aca="false">L115</f>
        <v>124.475767990888</v>
      </c>
      <c r="N116" s="139" t="n">
        <f aca="false">M115</f>
        <v>117.78219272364</v>
      </c>
      <c r="O116" s="139" t="n">
        <f aca="false">N115</f>
        <v>110.027582319778</v>
      </c>
      <c r="P116" s="139" t="n">
        <f aca="false">O115</f>
        <v>101.081254514811</v>
      </c>
      <c r="Q116" s="139" t="n">
        <f aca="false">P115</f>
        <v>90.813533786708</v>
      </c>
      <c r="R116" s="139" t="n">
        <f aca="false">Q115</f>
        <v>79.1057796501985</v>
      </c>
      <c r="S116" s="139" t="n">
        <f aca="false">R115</f>
        <v>62.5728423224278</v>
      </c>
      <c r="T116" s="139" t="n">
        <f aca="false">S115</f>
        <v>48.0364212304108</v>
      </c>
      <c r="U116" s="139" t="n">
        <f aca="false">T115</f>
        <v>32.2894472017937</v>
      </c>
      <c r="V116" s="139" t="n">
        <f aca="false">U115</f>
        <v>15.6283036516941</v>
      </c>
      <c r="W116" s="139" t="n">
        <f aca="false">V115</f>
        <v>0</v>
      </c>
      <c r="X116" s="139" t="n">
        <f aca="false">W115</f>
        <v>0</v>
      </c>
      <c r="Y116" s="139" t="n">
        <f aca="false">X115</f>
        <v>0</v>
      </c>
      <c r="Z116" s="139" t="n">
        <f aca="false">Y115</f>
        <v>0</v>
      </c>
      <c r="AA116" s="139" t="n">
        <f aca="false">Z115</f>
        <v>0</v>
      </c>
      <c r="AB116" s="139" t="n">
        <f aca="false">AA115</f>
        <v>0</v>
      </c>
      <c r="AC116" s="139" t="n">
        <f aca="false">AB115</f>
        <v>0</v>
      </c>
      <c r="AD116" s="12"/>
    </row>
    <row r="117" customFormat="false" ht="12.8" hidden="false" customHeight="false" outlineLevel="0" collapsed="false">
      <c r="A117" s="139" t="n">
        <v>3</v>
      </c>
      <c r="B117" s="139" t="n">
        <f aca="false">1/7*B$113</f>
        <v>163.428571428571</v>
      </c>
      <c r="C117" s="139" t="n">
        <f aca="false">1/7*C$113</f>
        <v>163.428571428571</v>
      </c>
      <c r="D117" s="139" t="n">
        <f aca="false">C116</f>
        <v>163.428571428571</v>
      </c>
      <c r="E117" s="139" t="n">
        <f aca="false">D116</f>
        <v>163.428571428571</v>
      </c>
      <c r="F117" s="139" t="n">
        <f aca="false">E116</f>
        <v>155.257142857143</v>
      </c>
      <c r="G117" s="139" t="n">
        <f aca="false">F116</f>
        <v>153.769942857143</v>
      </c>
      <c r="H117" s="139" t="n">
        <f aca="false">G116</f>
        <v>152.012072457143</v>
      </c>
      <c r="I117" s="139" t="n">
        <f aca="false">H116</f>
        <v>149.934269644343</v>
      </c>
      <c r="J117" s="139" t="n">
        <f aca="false">I116</f>
        <v>147.478306719613</v>
      </c>
      <c r="K117" s="139" t="n">
        <f aca="false">J116</f>
        <v>144.575358542583</v>
      </c>
      <c r="L117" s="139" t="n">
        <f aca="false">K116</f>
        <v>141.144073797333</v>
      </c>
      <c r="M117" s="139" t="n">
        <f aca="false">L116</f>
        <v>130.233880467025</v>
      </c>
      <c r="N117" s="139" t="n">
        <f aca="false">M116</f>
        <v>124.475767990888</v>
      </c>
      <c r="O117" s="139" t="n">
        <f aca="false">N116</f>
        <v>117.78219272364</v>
      </c>
      <c r="P117" s="139" t="n">
        <f aca="false">O116</f>
        <v>110.027582319778</v>
      </c>
      <c r="Q117" s="139" t="n">
        <f aca="false">P116</f>
        <v>101.081254514811</v>
      </c>
      <c r="R117" s="139" t="n">
        <f aca="false">Q116</f>
        <v>90.813533786708</v>
      </c>
      <c r="S117" s="139" t="n">
        <f aca="false">R116</f>
        <v>79.1057796501985</v>
      </c>
      <c r="T117" s="139" t="n">
        <f aca="false">S116</f>
        <v>62.5728423224278</v>
      </c>
      <c r="U117" s="139" t="n">
        <f aca="false">T116</f>
        <v>48.0364212304108</v>
      </c>
      <c r="V117" s="139" t="n">
        <f aca="false">U116</f>
        <v>32.2894472017937</v>
      </c>
      <c r="W117" s="139" t="n">
        <f aca="false">V116</f>
        <v>15.6283036516941</v>
      </c>
      <c r="X117" s="139" t="n">
        <f aca="false">W116</f>
        <v>0</v>
      </c>
      <c r="Y117" s="139" t="n">
        <f aca="false">X116</f>
        <v>0</v>
      </c>
      <c r="Z117" s="139" t="n">
        <f aca="false">Y116</f>
        <v>0</v>
      </c>
      <c r="AA117" s="139" t="n">
        <f aca="false">Z116</f>
        <v>0</v>
      </c>
      <c r="AB117" s="139" t="n">
        <f aca="false">AA116</f>
        <v>0</v>
      </c>
      <c r="AC117" s="139" t="n">
        <f aca="false">AB116</f>
        <v>0</v>
      </c>
      <c r="AD117" s="12"/>
    </row>
    <row r="118" customFormat="false" ht="12.8" hidden="false" customHeight="false" outlineLevel="0" collapsed="false">
      <c r="A118" s="139" t="n">
        <v>4</v>
      </c>
      <c r="B118" s="139" t="n">
        <f aca="false">1/7*B$113</f>
        <v>163.428571428571</v>
      </c>
      <c r="C118" s="139" t="n">
        <f aca="false">1/7*C$113</f>
        <v>163.428571428571</v>
      </c>
      <c r="D118" s="139" t="n">
        <f aca="false">C117</f>
        <v>163.428571428571</v>
      </c>
      <c r="E118" s="139" t="n">
        <f aca="false">D117</f>
        <v>163.428571428571</v>
      </c>
      <c r="F118" s="139" t="n">
        <f aca="false">E117</f>
        <v>163.428571428571</v>
      </c>
      <c r="G118" s="139" t="n">
        <f aca="false">F117</f>
        <v>155.257142857143</v>
      </c>
      <c r="H118" s="139" t="n">
        <f aca="false">G117</f>
        <v>153.769942857143</v>
      </c>
      <c r="I118" s="139" t="n">
        <f aca="false">H117</f>
        <v>152.012072457143</v>
      </c>
      <c r="J118" s="139" t="n">
        <f aca="false">I117</f>
        <v>149.934269644343</v>
      </c>
      <c r="K118" s="139" t="n">
        <f aca="false">J117</f>
        <v>147.478306719613</v>
      </c>
      <c r="L118" s="139" t="n">
        <f aca="false">K117</f>
        <v>144.575358542583</v>
      </c>
      <c r="M118" s="139" t="n">
        <f aca="false">L117</f>
        <v>141.144073797333</v>
      </c>
      <c r="N118" s="139" t="n">
        <f aca="false">M117</f>
        <v>130.233880467025</v>
      </c>
      <c r="O118" s="139" t="n">
        <f aca="false">N117</f>
        <v>124.475767990888</v>
      </c>
      <c r="P118" s="139" t="n">
        <f aca="false">O117</f>
        <v>117.78219272364</v>
      </c>
      <c r="Q118" s="139" t="n">
        <f aca="false">P117</f>
        <v>110.027582319778</v>
      </c>
      <c r="R118" s="139" t="n">
        <f aca="false">Q117</f>
        <v>101.081254514811</v>
      </c>
      <c r="S118" s="139" t="n">
        <f aca="false">R117</f>
        <v>90.813533786708</v>
      </c>
      <c r="T118" s="139" t="n">
        <f aca="false">S117</f>
        <v>79.1057796501985</v>
      </c>
      <c r="U118" s="139" t="n">
        <f aca="false">T117</f>
        <v>62.5728423224278</v>
      </c>
      <c r="V118" s="139" t="n">
        <f aca="false">U117</f>
        <v>48.0364212304108</v>
      </c>
      <c r="W118" s="139" t="n">
        <f aca="false">V117</f>
        <v>32.2894472017937</v>
      </c>
      <c r="X118" s="139" t="n">
        <f aca="false">W117</f>
        <v>15.6283036516941</v>
      </c>
      <c r="Y118" s="139" t="n">
        <f aca="false">X117</f>
        <v>0</v>
      </c>
      <c r="Z118" s="139" t="n">
        <f aca="false">Y117</f>
        <v>0</v>
      </c>
      <c r="AA118" s="139" t="n">
        <f aca="false">Z117</f>
        <v>0</v>
      </c>
      <c r="AB118" s="139" t="n">
        <f aca="false">AA117</f>
        <v>0</v>
      </c>
      <c r="AC118" s="139" t="n">
        <f aca="false">AB117</f>
        <v>0</v>
      </c>
      <c r="AD118" s="12"/>
    </row>
    <row r="119" customFormat="false" ht="12.8" hidden="false" customHeight="false" outlineLevel="0" collapsed="false">
      <c r="A119" s="139" t="n">
        <v>5</v>
      </c>
      <c r="B119" s="139" t="n">
        <f aca="false">1/7*B$113</f>
        <v>163.428571428571</v>
      </c>
      <c r="C119" s="139" t="n">
        <f aca="false">1/7*C$113</f>
        <v>163.428571428571</v>
      </c>
      <c r="D119" s="139" t="n">
        <f aca="false">C118</f>
        <v>163.428571428571</v>
      </c>
      <c r="E119" s="139" t="n">
        <f aca="false">D118</f>
        <v>163.428571428571</v>
      </c>
      <c r="F119" s="139" t="n">
        <f aca="false">E118</f>
        <v>163.428571428571</v>
      </c>
      <c r="G119" s="139" t="n">
        <f aca="false">F118</f>
        <v>163.428571428571</v>
      </c>
      <c r="H119" s="139" t="n">
        <f aca="false">G118</f>
        <v>155.257142857143</v>
      </c>
      <c r="I119" s="139" t="n">
        <f aca="false">H118</f>
        <v>153.769942857143</v>
      </c>
      <c r="J119" s="139" t="n">
        <f aca="false">I118</f>
        <v>152.012072457143</v>
      </c>
      <c r="K119" s="139" t="n">
        <f aca="false">J118</f>
        <v>149.934269644343</v>
      </c>
      <c r="L119" s="139" t="n">
        <f aca="false">K118</f>
        <v>147.478306719613</v>
      </c>
      <c r="M119" s="139" t="n">
        <f aca="false">L118</f>
        <v>144.575358542583</v>
      </c>
      <c r="N119" s="139" t="n">
        <f aca="false">M118</f>
        <v>141.144073797333</v>
      </c>
      <c r="O119" s="139" t="n">
        <f aca="false">N118</f>
        <v>130.233880467025</v>
      </c>
      <c r="P119" s="139" t="n">
        <f aca="false">O118</f>
        <v>124.475767990888</v>
      </c>
      <c r="Q119" s="139" t="n">
        <f aca="false">P118</f>
        <v>117.78219272364</v>
      </c>
      <c r="R119" s="139" t="n">
        <f aca="false">Q118</f>
        <v>110.027582319778</v>
      </c>
      <c r="S119" s="139" t="n">
        <f aca="false">R118</f>
        <v>101.081254514811</v>
      </c>
      <c r="T119" s="139" t="n">
        <f aca="false">S118</f>
        <v>90.813533786708</v>
      </c>
      <c r="U119" s="139" t="n">
        <f aca="false">T118</f>
        <v>79.1057796501985</v>
      </c>
      <c r="V119" s="139" t="n">
        <f aca="false">U118</f>
        <v>62.5728423224278</v>
      </c>
      <c r="W119" s="139" t="n">
        <f aca="false">V118</f>
        <v>48.0364212304108</v>
      </c>
      <c r="X119" s="139" t="n">
        <f aca="false">W118</f>
        <v>32.2894472017937</v>
      </c>
      <c r="Y119" s="139" t="n">
        <f aca="false">X118</f>
        <v>15.6283036516941</v>
      </c>
      <c r="Z119" s="139" t="n">
        <f aca="false">Y118</f>
        <v>0</v>
      </c>
      <c r="AA119" s="139" t="n">
        <f aca="false">Z118</f>
        <v>0</v>
      </c>
      <c r="AB119" s="139" t="n">
        <f aca="false">AA118</f>
        <v>0</v>
      </c>
      <c r="AC119" s="139" t="n">
        <f aca="false">AB118</f>
        <v>0</v>
      </c>
      <c r="AD119" s="12"/>
    </row>
    <row r="120" customFormat="false" ht="12.8" hidden="false" customHeight="false" outlineLevel="0" collapsed="false">
      <c r="A120" s="139" t="n">
        <v>6</v>
      </c>
      <c r="B120" s="139" t="n">
        <f aca="false">1/7*B$113</f>
        <v>163.428571428571</v>
      </c>
      <c r="C120" s="139" t="n">
        <f aca="false">1/7*C$113</f>
        <v>163.428571428571</v>
      </c>
      <c r="D120" s="139" t="n">
        <f aca="false">C119</f>
        <v>163.428571428571</v>
      </c>
      <c r="E120" s="139" t="n">
        <f aca="false">D119</f>
        <v>163.428571428571</v>
      </c>
      <c r="F120" s="139" t="n">
        <f aca="false">E119</f>
        <v>163.428571428571</v>
      </c>
      <c r="G120" s="139" t="n">
        <f aca="false">F119</f>
        <v>163.428571428571</v>
      </c>
      <c r="H120" s="139" t="n">
        <f aca="false">G119</f>
        <v>163.428571428571</v>
      </c>
      <c r="I120" s="139" t="n">
        <f aca="false">H119</f>
        <v>155.257142857143</v>
      </c>
      <c r="J120" s="139" t="n">
        <f aca="false">I119</f>
        <v>153.769942857143</v>
      </c>
      <c r="K120" s="139" t="n">
        <f aca="false">J119</f>
        <v>152.012072457143</v>
      </c>
      <c r="L120" s="139" t="n">
        <f aca="false">K119</f>
        <v>149.934269644343</v>
      </c>
      <c r="M120" s="139" t="n">
        <f aca="false">L119</f>
        <v>147.478306719613</v>
      </c>
      <c r="N120" s="139" t="n">
        <f aca="false">M119</f>
        <v>144.575358542583</v>
      </c>
      <c r="O120" s="139" t="n">
        <f aca="false">N119</f>
        <v>141.144073797333</v>
      </c>
      <c r="P120" s="139" t="n">
        <f aca="false">O119</f>
        <v>130.233880467025</v>
      </c>
      <c r="Q120" s="139" t="n">
        <f aca="false">P119</f>
        <v>124.475767990888</v>
      </c>
      <c r="R120" s="139" t="n">
        <f aca="false">Q119</f>
        <v>117.78219272364</v>
      </c>
      <c r="S120" s="139" t="n">
        <f aca="false">R119</f>
        <v>110.027582319778</v>
      </c>
      <c r="T120" s="139" t="n">
        <f aca="false">S119</f>
        <v>101.081254514811</v>
      </c>
      <c r="U120" s="139" t="n">
        <f aca="false">T119</f>
        <v>90.813533786708</v>
      </c>
      <c r="V120" s="139" t="n">
        <f aca="false">U119</f>
        <v>79.1057796501985</v>
      </c>
      <c r="W120" s="139" t="n">
        <f aca="false">V119</f>
        <v>62.5728423224278</v>
      </c>
      <c r="X120" s="139" t="n">
        <f aca="false">W119</f>
        <v>48.0364212304108</v>
      </c>
      <c r="Y120" s="139" t="n">
        <f aca="false">X119</f>
        <v>32.2894472017937</v>
      </c>
      <c r="Z120" s="139" t="n">
        <f aca="false">Y119</f>
        <v>15.6283036516941</v>
      </c>
      <c r="AA120" s="139" t="n">
        <f aca="false">Z119</f>
        <v>0</v>
      </c>
      <c r="AB120" s="139" t="n">
        <f aca="false">AA119</f>
        <v>0</v>
      </c>
      <c r="AC120" s="139" t="n">
        <f aca="false">AB119</f>
        <v>0</v>
      </c>
      <c r="AD120" s="12"/>
    </row>
    <row r="121" customFormat="false" ht="12.8" hidden="false" customHeight="false" outlineLevel="0" collapsed="false">
      <c r="A121" s="139" t="n">
        <v>7</v>
      </c>
      <c r="B121" s="139" t="n">
        <f aca="false">1/7*B$113</f>
        <v>163.428571428571</v>
      </c>
      <c r="C121" s="139" t="n">
        <f aca="false">1/7*C$113</f>
        <v>163.428571428571</v>
      </c>
      <c r="D121" s="139" t="n">
        <f aca="false">C120</f>
        <v>163.428571428571</v>
      </c>
      <c r="E121" s="139" t="n">
        <f aca="false">D120</f>
        <v>163.428571428571</v>
      </c>
      <c r="F121" s="139" t="n">
        <f aca="false">E120</f>
        <v>163.428571428571</v>
      </c>
      <c r="G121" s="139" t="n">
        <f aca="false">F120</f>
        <v>163.428571428571</v>
      </c>
      <c r="H121" s="139" t="n">
        <f aca="false">G120</f>
        <v>163.428571428571</v>
      </c>
      <c r="I121" s="139" t="n">
        <f aca="false">H120</f>
        <v>163.428571428571</v>
      </c>
      <c r="J121" s="139" t="n">
        <f aca="false">I120</f>
        <v>155.257142857143</v>
      </c>
      <c r="K121" s="139" t="n">
        <f aca="false">J120</f>
        <v>153.769942857143</v>
      </c>
      <c r="L121" s="139" t="n">
        <f aca="false">K120</f>
        <v>152.012072457143</v>
      </c>
      <c r="M121" s="139" t="n">
        <f aca="false">L120</f>
        <v>149.934269644343</v>
      </c>
      <c r="N121" s="139" t="n">
        <f aca="false">M120</f>
        <v>147.478306719613</v>
      </c>
      <c r="O121" s="139" t="n">
        <f aca="false">N120</f>
        <v>144.575358542583</v>
      </c>
      <c r="P121" s="139" t="n">
        <f aca="false">O120</f>
        <v>141.144073797333</v>
      </c>
      <c r="Q121" s="139" t="n">
        <f aca="false">P120</f>
        <v>130.233880467025</v>
      </c>
      <c r="R121" s="139" t="n">
        <f aca="false">Q120</f>
        <v>124.475767990888</v>
      </c>
      <c r="S121" s="139" t="n">
        <f aca="false">R120</f>
        <v>117.78219272364</v>
      </c>
      <c r="T121" s="139" t="n">
        <f aca="false">S120</f>
        <v>110.027582319778</v>
      </c>
      <c r="U121" s="139" t="n">
        <f aca="false">T120</f>
        <v>101.081254514811</v>
      </c>
      <c r="V121" s="139" t="n">
        <f aca="false">U120</f>
        <v>90.813533786708</v>
      </c>
      <c r="W121" s="139" t="n">
        <f aca="false">V120</f>
        <v>79.1057796501985</v>
      </c>
      <c r="X121" s="139" t="n">
        <f aca="false">W120</f>
        <v>62.5728423224278</v>
      </c>
      <c r="Y121" s="139" t="n">
        <f aca="false">X120</f>
        <v>48.0364212304108</v>
      </c>
      <c r="Z121" s="139" t="n">
        <f aca="false">Y120</f>
        <v>32.2894472017937</v>
      </c>
      <c r="AA121" s="139" t="n">
        <f aca="false">Z120</f>
        <v>15.6283036516941</v>
      </c>
      <c r="AB121" s="139" t="n">
        <f aca="false">AA120</f>
        <v>0</v>
      </c>
      <c r="AC121" s="139" t="n">
        <f aca="false">AB120</f>
        <v>0</v>
      </c>
      <c r="AD121" s="12"/>
    </row>
    <row r="122" customFormat="false" ht="12.8" hidden="false" customHeight="false" outlineLevel="0" collapsed="false">
      <c r="A122" s="130" t="s">
        <v>315</v>
      </c>
      <c r="B122" s="124" t="n">
        <v>2023</v>
      </c>
      <c r="C122" s="124" t="n">
        <v>2024</v>
      </c>
      <c r="D122" s="124" t="n">
        <v>2025</v>
      </c>
      <c r="E122" s="124" t="n">
        <v>2026</v>
      </c>
      <c r="F122" s="124" t="n">
        <v>2027</v>
      </c>
      <c r="G122" s="124" t="n">
        <v>2028</v>
      </c>
      <c r="H122" s="124" t="n">
        <v>2029</v>
      </c>
      <c r="I122" s="124" t="n">
        <v>2030</v>
      </c>
      <c r="J122" s="124" t="n">
        <v>2031</v>
      </c>
      <c r="K122" s="124" t="n">
        <v>2032</v>
      </c>
      <c r="L122" s="124" t="n">
        <v>2033</v>
      </c>
      <c r="M122" s="124" t="n">
        <v>2034</v>
      </c>
      <c r="N122" s="124" t="n">
        <v>2035</v>
      </c>
      <c r="O122" s="124" t="n">
        <v>2036</v>
      </c>
      <c r="P122" s="124" t="n">
        <v>2037</v>
      </c>
      <c r="Q122" s="124" t="n">
        <v>2038</v>
      </c>
      <c r="R122" s="124" t="n">
        <v>2039</v>
      </c>
      <c r="S122" s="124" t="n">
        <v>2040</v>
      </c>
      <c r="T122" s="124" t="n">
        <v>2041</v>
      </c>
      <c r="U122" s="124" t="n">
        <v>2042</v>
      </c>
      <c r="V122" s="124" t="n">
        <v>2043</v>
      </c>
      <c r="W122" s="124" t="n">
        <v>2044</v>
      </c>
      <c r="X122" s="124" t="n">
        <v>2045</v>
      </c>
      <c r="Y122" s="124" t="n">
        <v>2046</v>
      </c>
      <c r="Z122" s="124" t="n">
        <v>2047</v>
      </c>
      <c r="AA122" s="124" t="n">
        <v>2048</v>
      </c>
      <c r="AB122" s="124" t="n">
        <v>2049</v>
      </c>
      <c r="AC122" s="124" t="n">
        <v>2050</v>
      </c>
    </row>
    <row r="123" customFormat="false" ht="12.8" hidden="false" customHeight="false" outlineLevel="0" collapsed="false">
      <c r="A123" s="130" t="s">
        <v>312</v>
      </c>
      <c r="B123" s="136" t="n">
        <v>0</v>
      </c>
      <c r="C123" s="136" t="n">
        <v>0</v>
      </c>
      <c r="D123" s="136" t="n">
        <f aca="false">C123+D125</f>
        <v>11.44</v>
      </c>
      <c r="E123" s="136" t="n">
        <f aca="false">D123+E125</f>
        <v>24.96208</v>
      </c>
      <c r="F123" s="136" t="n">
        <f aca="false">E123+F125</f>
        <v>40.94517856</v>
      </c>
      <c r="G123" s="136" t="n">
        <f aca="false">F123+G125</f>
        <v>59.83720105792</v>
      </c>
      <c r="H123" s="136" t="n">
        <f aca="false">G123+H125</f>
        <v>82.1675716504614</v>
      </c>
      <c r="I123" s="136" t="n">
        <f aca="false">H123+I125</f>
        <v>108.562069690845</v>
      </c>
      <c r="J123" s="136" t="n">
        <f aca="false">I123+J125</f>
        <v>139.760366374579</v>
      </c>
      <c r="K123" s="136" t="n">
        <f aca="false">J123+K125</f>
        <v>174.055405987141</v>
      </c>
      <c r="L123" s="136" t="n">
        <f aca="false">K123+L125</f>
        <v>214.036833102615</v>
      </c>
      <c r="M123" s="136" t="n">
        <f aca="false">L123+M125</f>
        <v>260.51904343462</v>
      </c>
      <c r="N123" s="136" t="n">
        <f aca="false">M123+N125</f>
        <v>314.377076226996</v>
      </c>
      <c r="O123" s="136" t="n">
        <f aca="false">N123+O125</f>
        <v>376.522872650432</v>
      </c>
      <c r="P123" s="136" t="n">
        <f aca="false">O123+P125</f>
        <v>447.863401760539</v>
      </c>
      <c r="Q123" s="136" t="n">
        <f aca="false">P123+Q125</f>
        <v>529.231869048638</v>
      </c>
      <c r="R123" s="136" t="n">
        <f aca="false">Q123+R125</f>
        <v>614.836115223491</v>
      </c>
      <c r="S123" s="136" t="n">
        <f aca="false">R123+S125</f>
        <v>709.341578753037</v>
      </c>
      <c r="T123" s="136" t="n">
        <f aca="false">S123+T125</f>
        <v>810.304841289604</v>
      </c>
      <c r="U123" s="136" t="n">
        <f aca="false">T123+U125</f>
        <v>900.983357427879</v>
      </c>
      <c r="V123" s="136" t="n">
        <f aca="false">U123+V125</f>
        <v>979.935761840473</v>
      </c>
      <c r="W123" s="136" t="n">
        <f aca="false">V123+W125</f>
        <v>1045.62930611855</v>
      </c>
      <c r="X123" s="136" t="n">
        <f aca="false">W123+X125</f>
        <v>1096.49111357529</v>
      </c>
      <c r="Y123" s="136" t="n">
        <f aca="false">X123+Y125</f>
        <v>1128.58039921645</v>
      </c>
      <c r="Z123" s="136" t="n">
        <f aca="false">Y123+Z125</f>
        <v>1144</v>
      </c>
      <c r="AA123" s="136" t="n">
        <f aca="false">Z123+AA125</f>
        <v>1144</v>
      </c>
      <c r="AB123" s="136" t="n">
        <f aca="false">AA123+AB125</f>
        <v>1144</v>
      </c>
      <c r="AC123" s="136" t="n">
        <f aca="false">AB123+AC125</f>
        <v>1144</v>
      </c>
    </row>
    <row r="124" customFormat="false" ht="12.8" hidden="false" customHeight="false" outlineLevel="0" collapsed="false">
      <c r="A124" s="130" t="s">
        <v>313</v>
      </c>
      <c r="B124" s="136" t="n">
        <v>1144</v>
      </c>
      <c r="C124" s="136" t="n">
        <f aca="false">$B124-C123</f>
        <v>1144</v>
      </c>
      <c r="D124" s="136" t="n">
        <f aca="false">$B124-D123</f>
        <v>1132.56</v>
      </c>
      <c r="E124" s="136" t="n">
        <f aca="false">$B124-E123</f>
        <v>1119.03792</v>
      </c>
      <c r="F124" s="136" t="n">
        <f aca="false">$B124-F123</f>
        <v>1103.05482144</v>
      </c>
      <c r="G124" s="136" t="n">
        <f aca="false">$B124-G123</f>
        <v>1084.16279894208</v>
      </c>
      <c r="H124" s="136" t="n">
        <f aca="false">$B124-H123</f>
        <v>1061.83242834954</v>
      </c>
      <c r="I124" s="136" t="n">
        <f aca="false">$B124-I123</f>
        <v>1035.43793030915</v>
      </c>
      <c r="J124" s="136" t="n">
        <f aca="false">$B124-J123</f>
        <v>1004.23963362542</v>
      </c>
      <c r="K124" s="136" t="n">
        <f aca="false">$B124-K123</f>
        <v>969.944594012859</v>
      </c>
      <c r="L124" s="136" t="n">
        <f aca="false">$B124-L123</f>
        <v>929.963166897385</v>
      </c>
      <c r="M124" s="136" t="n">
        <f aca="false">$B124-M123</f>
        <v>883.48095656538</v>
      </c>
      <c r="N124" s="136" t="n">
        <f aca="false">$B124-N123</f>
        <v>829.622923773004</v>
      </c>
      <c r="O124" s="136" t="n">
        <f aca="false">$B124-O123</f>
        <v>767.477127349568</v>
      </c>
      <c r="P124" s="136" t="n">
        <f aca="false">$B124-P123</f>
        <v>696.136598239461</v>
      </c>
      <c r="Q124" s="136" t="n">
        <f aca="false">$B124-Q123</f>
        <v>614.768130951363</v>
      </c>
      <c r="R124" s="136" t="n">
        <f aca="false">$B124-R123</f>
        <v>529.163884776509</v>
      </c>
      <c r="S124" s="136" t="n">
        <f aca="false">$B124-S123</f>
        <v>434.658421246963</v>
      </c>
      <c r="T124" s="136" t="n">
        <f aca="false">$B124-T123</f>
        <v>333.695158710396</v>
      </c>
      <c r="U124" s="136" t="n">
        <f aca="false">$B124-U123</f>
        <v>243.016642572121</v>
      </c>
      <c r="V124" s="136" t="n">
        <f aca="false">$B124-V123</f>
        <v>164.064238159527</v>
      </c>
      <c r="W124" s="136" t="n">
        <f aca="false">$B124-W123</f>
        <v>98.3706938814462</v>
      </c>
      <c r="X124" s="136" t="n">
        <f aca="false">$B124-X123</f>
        <v>47.5088864247075</v>
      </c>
      <c r="Y124" s="136" t="n">
        <f aca="false">$B124-Y123</f>
        <v>15.4196007835506</v>
      </c>
      <c r="Z124" s="136" t="n">
        <f aca="false">$B124-Z123</f>
        <v>0</v>
      </c>
      <c r="AA124" s="136" t="n">
        <f aca="false">$B124-AA123</f>
        <v>0</v>
      </c>
      <c r="AB124" s="136" t="n">
        <f aca="false">$B124-AB123</f>
        <v>0</v>
      </c>
      <c r="AC124" s="136" t="n">
        <f aca="false">$B124-AC123</f>
        <v>0</v>
      </c>
    </row>
    <row r="125" customFormat="false" ht="11.9" hidden="false" customHeight="true" outlineLevel="0" collapsed="false">
      <c r="A125" s="0" t="s">
        <v>314</v>
      </c>
      <c r="B125" s="136"/>
      <c r="C125" s="136"/>
      <c r="D125" s="136" t="n">
        <f aca="false">B88*C132</f>
        <v>11.44</v>
      </c>
      <c r="E125" s="136" t="n">
        <f aca="false">C88*D132</f>
        <v>13.52208</v>
      </c>
      <c r="F125" s="136" t="n">
        <f aca="false">D88*E132</f>
        <v>15.98309856</v>
      </c>
      <c r="G125" s="136" t="n">
        <f aca="false">E88*F132</f>
        <v>18.89202249792</v>
      </c>
      <c r="H125" s="136" t="n">
        <f aca="false">F88*G132</f>
        <v>22.3303705925414</v>
      </c>
      <c r="I125" s="136" t="n">
        <f aca="false">G88*H132</f>
        <v>26.394498040384</v>
      </c>
      <c r="J125" s="136" t="n">
        <f aca="false">H88*I132</f>
        <v>31.1982966837339</v>
      </c>
      <c r="K125" s="136" t="n">
        <f aca="false">I88*J132</f>
        <v>34.2950396125613</v>
      </c>
      <c r="L125" s="136" t="n">
        <f aca="false">J88*K132</f>
        <v>39.9814271154744</v>
      </c>
      <c r="M125" s="136" t="n">
        <f aca="false">K88*L132</f>
        <v>46.4822103320047</v>
      </c>
      <c r="N125" s="136" t="n">
        <f aca="false">L88*M132</f>
        <v>53.8580327923762</v>
      </c>
      <c r="O125" s="136" t="n">
        <f aca="false">M88*N132</f>
        <v>62.1457964234364</v>
      </c>
      <c r="P125" s="136" t="n">
        <f aca="false">N88*O132</f>
        <v>71.3405291101064</v>
      </c>
      <c r="Q125" s="136" t="n">
        <f aca="false">O88*P132</f>
        <v>81.3684672880988</v>
      </c>
      <c r="R125" s="136" t="n">
        <f aca="false">P88*Q132</f>
        <v>85.6042461748532</v>
      </c>
      <c r="S125" s="136" t="n">
        <f aca="false">Q88*R132</f>
        <v>94.5054635295467</v>
      </c>
      <c r="T125" s="136" t="n">
        <f aca="false">R88*S132</f>
        <v>100.963262536567</v>
      </c>
      <c r="U125" s="136" t="n">
        <f aca="false">S88*T132</f>
        <v>90.6785161382752</v>
      </c>
      <c r="V125" s="136" t="n">
        <f aca="false">T88*U132</f>
        <v>78.9524044125935</v>
      </c>
      <c r="W125" s="136" t="n">
        <f aca="false">U88*V132</f>
        <v>65.693544278081</v>
      </c>
      <c r="X125" s="136" t="n">
        <f aca="false">V88*W132</f>
        <v>50.8618074567388</v>
      </c>
      <c r="Y125" s="136" t="n">
        <f aca="false">W88*X132</f>
        <v>32.089285641157</v>
      </c>
      <c r="Z125" s="136" t="n">
        <f aca="false">X88*Y132</f>
        <v>15.4196007835502</v>
      </c>
      <c r="AA125" s="136" t="n">
        <f aca="false">Y88*Z132</f>
        <v>0</v>
      </c>
      <c r="AB125" s="136" t="n">
        <f aca="false">Z88*AA132</f>
        <v>0</v>
      </c>
      <c r="AC125" s="136" t="n">
        <f aca="false">AA88*AB132</f>
        <v>0</v>
      </c>
    </row>
    <row r="126" s="12" customFormat="true" ht="12.8" hidden="false" customHeight="false" outlineLevel="0" collapsed="false">
      <c r="A126" s="139" t="n">
        <v>1</v>
      </c>
      <c r="B126" s="139" t="n">
        <f aca="false">1/7*B$124</f>
        <v>163.428571428571</v>
      </c>
      <c r="C126" s="139" t="n">
        <f aca="false">1/7*C$124</f>
        <v>163.428571428571</v>
      </c>
      <c r="D126" s="139" t="n">
        <f aca="false">C132-D125</f>
        <v>151.988571428571</v>
      </c>
      <c r="E126" s="139" t="n">
        <f aca="false">D132-E125</f>
        <v>149.906491428571</v>
      </c>
      <c r="F126" s="139" t="n">
        <f aca="false">E132-F125</f>
        <v>147.445472868571</v>
      </c>
      <c r="G126" s="139" t="n">
        <f aca="false">F132-G125</f>
        <v>144.536548930651</v>
      </c>
      <c r="H126" s="139" t="n">
        <f aca="false">G132-H125</f>
        <v>141.09820083603</v>
      </c>
      <c r="I126" s="139" t="n">
        <f aca="false">H132-I125</f>
        <v>137.034073388187</v>
      </c>
      <c r="J126" s="139" t="n">
        <f aca="false">I132-J125</f>
        <v>132.230274744838</v>
      </c>
      <c r="K126" s="139" t="n">
        <f aca="false">J132-K125</f>
        <v>117.69353181601</v>
      </c>
      <c r="L126" s="139" t="n">
        <f aca="false">K132-L125</f>
        <v>109.925064313097</v>
      </c>
      <c r="M126" s="139" t="n">
        <f aca="false">L132-M125</f>
        <v>100.963262536567</v>
      </c>
      <c r="N126" s="139" t="n">
        <f aca="false">M132-N125</f>
        <v>90.6785161382752</v>
      </c>
      <c r="O126" s="139" t="n">
        <f aca="false">N132-O125</f>
        <v>78.9524044125935</v>
      </c>
      <c r="P126" s="139" t="n">
        <f aca="false">O132-P125</f>
        <v>65.693544278081</v>
      </c>
      <c r="Q126" s="139" t="n">
        <f aca="false">P132-Q125</f>
        <v>50.8618074567388</v>
      </c>
      <c r="R126" s="139" t="n">
        <f aca="false">Q132-R125</f>
        <v>32.089285641157</v>
      </c>
      <c r="S126" s="139" t="n">
        <f aca="false">R132-S125</f>
        <v>15.4196007835502</v>
      </c>
      <c r="T126" s="139" t="n">
        <f aca="false">S132-T125</f>
        <v>0</v>
      </c>
      <c r="U126" s="139" t="n">
        <f aca="false">T132-U125</f>
        <v>0</v>
      </c>
      <c r="V126" s="139" t="n">
        <f aca="false">U132-V125</f>
        <v>0</v>
      </c>
      <c r="W126" s="139" t="n">
        <f aca="false">V132-W125</f>
        <v>0</v>
      </c>
      <c r="X126" s="139" t="n">
        <f aca="false">W132-X125</f>
        <v>0</v>
      </c>
      <c r="Y126" s="139" t="n">
        <f aca="false">X132-Y125</f>
        <v>0</v>
      </c>
      <c r="Z126" s="139" t="n">
        <f aca="false">Y132-Z125</f>
        <v>0</v>
      </c>
      <c r="AA126" s="139" t="n">
        <f aca="false">Z132-AA125</f>
        <v>0</v>
      </c>
      <c r="AB126" s="139" t="n">
        <f aca="false">AA132-AB125</f>
        <v>0</v>
      </c>
      <c r="AC126" s="139" t="n">
        <f aca="false">AB132-AC125</f>
        <v>0</v>
      </c>
    </row>
    <row r="127" s="12" customFormat="true" ht="12.8" hidden="false" customHeight="false" outlineLevel="0" collapsed="false">
      <c r="A127" s="139" t="n">
        <v>2</v>
      </c>
      <c r="B127" s="139" t="n">
        <f aca="false">1/7*B$124</f>
        <v>163.428571428571</v>
      </c>
      <c r="C127" s="139" t="n">
        <f aca="false">1/7*C$124</f>
        <v>163.428571428571</v>
      </c>
      <c r="D127" s="139" t="n">
        <f aca="false">C126</f>
        <v>163.428571428571</v>
      </c>
      <c r="E127" s="139" t="n">
        <f aca="false">D126</f>
        <v>151.988571428571</v>
      </c>
      <c r="F127" s="139" t="n">
        <f aca="false">E126</f>
        <v>149.906491428571</v>
      </c>
      <c r="G127" s="139" t="n">
        <f aca="false">F126</f>
        <v>147.445472868571</v>
      </c>
      <c r="H127" s="139" t="n">
        <f aca="false">G126</f>
        <v>144.536548930651</v>
      </c>
      <c r="I127" s="139" t="n">
        <f aca="false">H126</f>
        <v>141.09820083603</v>
      </c>
      <c r="J127" s="139" t="n">
        <f aca="false">I126</f>
        <v>137.034073388187</v>
      </c>
      <c r="K127" s="139" t="n">
        <f aca="false">J126</f>
        <v>132.230274744838</v>
      </c>
      <c r="L127" s="139" t="n">
        <f aca="false">K126</f>
        <v>117.69353181601</v>
      </c>
      <c r="M127" s="139" t="n">
        <f aca="false">L126</f>
        <v>109.925064313097</v>
      </c>
      <c r="N127" s="139" t="n">
        <f aca="false">M126</f>
        <v>100.963262536567</v>
      </c>
      <c r="O127" s="139" t="n">
        <f aca="false">N126</f>
        <v>90.6785161382752</v>
      </c>
      <c r="P127" s="139" t="n">
        <f aca="false">O126</f>
        <v>78.9524044125935</v>
      </c>
      <c r="Q127" s="139" t="n">
        <f aca="false">P126</f>
        <v>65.693544278081</v>
      </c>
      <c r="R127" s="139" t="n">
        <f aca="false">Q126</f>
        <v>50.8618074567388</v>
      </c>
      <c r="S127" s="139" t="n">
        <f aca="false">R126</f>
        <v>32.089285641157</v>
      </c>
      <c r="T127" s="139" t="n">
        <f aca="false">S126</f>
        <v>15.4196007835502</v>
      </c>
      <c r="U127" s="139" t="n">
        <f aca="false">T126</f>
        <v>0</v>
      </c>
      <c r="V127" s="139" t="n">
        <f aca="false">U126</f>
        <v>0</v>
      </c>
      <c r="W127" s="139" t="n">
        <f aca="false">V126</f>
        <v>0</v>
      </c>
      <c r="X127" s="139" t="n">
        <f aca="false">W126</f>
        <v>0</v>
      </c>
      <c r="Y127" s="139" t="n">
        <f aca="false">X126</f>
        <v>0</v>
      </c>
      <c r="Z127" s="139" t="n">
        <f aca="false">Y126</f>
        <v>0</v>
      </c>
      <c r="AA127" s="139" t="n">
        <f aca="false">Z126</f>
        <v>0</v>
      </c>
      <c r="AB127" s="139" t="n">
        <f aca="false">AA126</f>
        <v>0</v>
      </c>
      <c r="AC127" s="139" t="n">
        <f aca="false">AB126</f>
        <v>0</v>
      </c>
    </row>
    <row r="128" s="12" customFormat="true" ht="12.8" hidden="false" customHeight="false" outlineLevel="0" collapsed="false">
      <c r="A128" s="139" t="n">
        <v>3</v>
      </c>
      <c r="B128" s="139" t="n">
        <f aca="false">1/7*B$124</f>
        <v>163.428571428571</v>
      </c>
      <c r="C128" s="139" t="n">
        <f aca="false">1/7*C$124</f>
        <v>163.428571428571</v>
      </c>
      <c r="D128" s="139" t="n">
        <f aca="false">C127</f>
        <v>163.428571428571</v>
      </c>
      <c r="E128" s="139" t="n">
        <f aca="false">D127</f>
        <v>163.428571428571</v>
      </c>
      <c r="F128" s="139" t="n">
        <f aca="false">E127</f>
        <v>151.988571428571</v>
      </c>
      <c r="G128" s="139" t="n">
        <f aca="false">F127</f>
        <v>149.906491428571</v>
      </c>
      <c r="H128" s="139" t="n">
        <f aca="false">G127</f>
        <v>147.445472868571</v>
      </c>
      <c r="I128" s="139" t="n">
        <f aca="false">H127</f>
        <v>144.536548930651</v>
      </c>
      <c r="J128" s="139" t="n">
        <f aca="false">I127</f>
        <v>141.09820083603</v>
      </c>
      <c r="K128" s="139" t="n">
        <f aca="false">J127</f>
        <v>137.034073388187</v>
      </c>
      <c r="L128" s="139" t="n">
        <f aca="false">K127</f>
        <v>132.230274744838</v>
      </c>
      <c r="M128" s="139" t="n">
        <f aca="false">L127</f>
        <v>117.69353181601</v>
      </c>
      <c r="N128" s="139" t="n">
        <f aca="false">M127</f>
        <v>109.925064313097</v>
      </c>
      <c r="O128" s="139" t="n">
        <f aca="false">N127</f>
        <v>100.963262536567</v>
      </c>
      <c r="P128" s="139" t="n">
        <f aca="false">O127</f>
        <v>90.6785161382752</v>
      </c>
      <c r="Q128" s="139" t="n">
        <f aca="false">P127</f>
        <v>78.9524044125935</v>
      </c>
      <c r="R128" s="139" t="n">
        <f aca="false">Q127</f>
        <v>65.693544278081</v>
      </c>
      <c r="S128" s="139" t="n">
        <f aca="false">R127</f>
        <v>50.8618074567388</v>
      </c>
      <c r="T128" s="139" t="n">
        <f aca="false">S127</f>
        <v>32.089285641157</v>
      </c>
      <c r="U128" s="139" t="n">
        <f aca="false">T127</f>
        <v>15.4196007835502</v>
      </c>
      <c r="V128" s="139" t="n">
        <f aca="false">U127</f>
        <v>0</v>
      </c>
      <c r="W128" s="139" t="n">
        <f aca="false">V127</f>
        <v>0</v>
      </c>
      <c r="X128" s="139" t="n">
        <f aca="false">W127</f>
        <v>0</v>
      </c>
      <c r="Y128" s="139" t="n">
        <f aca="false">X127</f>
        <v>0</v>
      </c>
      <c r="Z128" s="139" t="n">
        <f aca="false">Y127</f>
        <v>0</v>
      </c>
      <c r="AA128" s="139" t="n">
        <f aca="false">Z127</f>
        <v>0</v>
      </c>
      <c r="AB128" s="139" t="n">
        <f aca="false">AA127</f>
        <v>0</v>
      </c>
      <c r="AC128" s="139" t="n">
        <f aca="false">AB127</f>
        <v>0</v>
      </c>
    </row>
    <row r="129" s="12" customFormat="true" ht="12.8" hidden="false" customHeight="false" outlineLevel="0" collapsed="false">
      <c r="A129" s="139" t="n">
        <v>4</v>
      </c>
      <c r="B129" s="139" t="n">
        <f aca="false">1/7*B$124</f>
        <v>163.428571428571</v>
      </c>
      <c r="C129" s="139" t="n">
        <f aca="false">1/7*C$124</f>
        <v>163.428571428571</v>
      </c>
      <c r="D129" s="139" t="n">
        <f aca="false">C128</f>
        <v>163.428571428571</v>
      </c>
      <c r="E129" s="139" t="n">
        <f aca="false">D128</f>
        <v>163.428571428571</v>
      </c>
      <c r="F129" s="139" t="n">
        <f aca="false">E128</f>
        <v>163.428571428571</v>
      </c>
      <c r="G129" s="139" t="n">
        <f aca="false">F128</f>
        <v>151.988571428571</v>
      </c>
      <c r="H129" s="139" t="n">
        <f aca="false">G128</f>
        <v>149.906491428571</v>
      </c>
      <c r="I129" s="139" t="n">
        <f aca="false">H128</f>
        <v>147.445472868571</v>
      </c>
      <c r="J129" s="139" t="n">
        <f aca="false">I128</f>
        <v>144.536548930651</v>
      </c>
      <c r="K129" s="139" t="n">
        <f aca="false">J128</f>
        <v>141.09820083603</v>
      </c>
      <c r="L129" s="139" t="n">
        <f aca="false">K128</f>
        <v>137.034073388187</v>
      </c>
      <c r="M129" s="139" t="n">
        <f aca="false">L128</f>
        <v>132.230274744838</v>
      </c>
      <c r="N129" s="139" t="n">
        <f aca="false">M128</f>
        <v>117.69353181601</v>
      </c>
      <c r="O129" s="139" t="n">
        <f aca="false">N128</f>
        <v>109.925064313097</v>
      </c>
      <c r="P129" s="139" t="n">
        <f aca="false">O128</f>
        <v>100.963262536567</v>
      </c>
      <c r="Q129" s="139" t="n">
        <f aca="false">P128</f>
        <v>90.6785161382752</v>
      </c>
      <c r="R129" s="139" t="n">
        <f aca="false">Q128</f>
        <v>78.9524044125935</v>
      </c>
      <c r="S129" s="139" t="n">
        <f aca="false">R128</f>
        <v>65.693544278081</v>
      </c>
      <c r="T129" s="139" t="n">
        <f aca="false">S128</f>
        <v>50.8618074567388</v>
      </c>
      <c r="U129" s="139" t="n">
        <f aca="false">T128</f>
        <v>32.089285641157</v>
      </c>
      <c r="V129" s="139" t="n">
        <f aca="false">U128</f>
        <v>15.4196007835502</v>
      </c>
      <c r="W129" s="139" t="n">
        <f aca="false">V128</f>
        <v>0</v>
      </c>
      <c r="X129" s="139" t="n">
        <f aca="false">W128</f>
        <v>0</v>
      </c>
      <c r="Y129" s="139" t="n">
        <f aca="false">X128</f>
        <v>0</v>
      </c>
      <c r="Z129" s="139" t="n">
        <f aca="false">Y128</f>
        <v>0</v>
      </c>
      <c r="AA129" s="139" t="n">
        <f aca="false">Z128</f>
        <v>0</v>
      </c>
      <c r="AB129" s="139" t="n">
        <f aca="false">AA128</f>
        <v>0</v>
      </c>
      <c r="AC129" s="139" t="n">
        <f aca="false">AB128</f>
        <v>0</v>
      </c>
    </row>
    <row r="130" s="12" customFormat="true" ht="12.8" hidden="false" customHeight="false" outlineLevel="0" collapsed="false">
      <c r="A130" s="139" t="n">
        <v>5</v>
      </c>
      <c r="B130" s="139" t="n">
        <f aca="false">1/7*B$124</f>
        <v>163.428571428571</v>
      </c>
      <c r="C130" s="139" t="n">
        <f aca="false">1/7*C$124</f>
        <v>163.428571428571</v>
      </c>
      <c r="D130" s="139" t="n">
        <f aca="false">C129</f>
        <v>163.428571428571</v>
      </c>
      <c r="E130" s="139" t="n">
        <f aca="false">D129</f>
        <v>163.428571428571</v>
      </c>
      <c r="F130" s="139" t="n">
        <f aca="false">E129</f>
        <v>163.428571428571</v>
      </c>
      <c r="G130" s="139" t="n">
        <f aca="false">F129</f>
        <v>163.428571428571</v>
      </c>
      <c r="H130" s="139" t="n">
        <f aca="false">G129</f>
        <v>151.988571428571</v>
      </c>
      <c r="I130" s="139" t="n">
        <f aca="false">H129</f>
        <v>149.906491428571</v>
      </c>
      <c r="J130" s="139" t="n">
        <f aca="false">I129</f>
        <v>147.445472868571</v>
      </c>
      <c r="K130" s="139" t="n">
        <f aca="false">J129</f>
        <v>144.536548930651</v>
      </c>
      <c r="L130" s="139" t="n">
        <f aca="false">K129</f>
        <v>141.09820083603</v>
      </c>
      <c r="M130" s="139" t="n">
        <f aca="false">L129</f>
        <v>137.034073388187</v>
      </c>
      <c r="N130" s="139" t="n">
        <f aca="false">M129</f>
        <v>132.230274744838</v>
      </c>
      <c r="O130" s="139" t="n">
        <f aca="false">N129</f>
        <v>117.69353181601</v>
      </c>
      <c r="P130" s="139" t="n">
        <f aca="false">O129</f>
        <v>109.925064313097</v>
      </c>
      <c r="Q130" s="139" t="n">
        <f aca="false">P129</f>
        <v>100.963262536567</v>
      </c>
      <c r="R130" s="139" t="n">
        <f aca="false">Q129</f>
        <v>90.6785161382752</v>
      </c>
      <c r="S130" s="139" t="n">
        <f aca="false">R129</f>
        <v>78.9524044125935</v>
      </c>
      <c r="T130" s="139" t="n">
        <f aca="false">S129</f>
        <v>65.693544278081</v>
      </c>
      <c r="U130" s="139" t="n">
        <f aca="false">T129</f>
        <v>50.8618074567388</v>
      </c>
      <c r="V130" s="139" t="n">
        <f aca="false">U129</f>
        <v>32.089285641157</v>
      </c>
      <c r="W130" s="139" t="n">
        <f aca="false">V129</f>
        <v>15.4196007835502</v>
      </c>
      <c r="X130" s="139" t="n">
        <f aca="false">W129</f>
        <v>0</v>
      </c>
      <c r="Y130" s="139" t="n">
        <f aca="false">X129</f>
        <v>0</v>
      </c>
      <c r="Z130" s="139" t="n">
        <f aca="false">Y129</f>
        <v>0</v>
      </c>
      <c r="AA130" s="139" t="n">
        <f aca="false">Z129</f>
        <v>0</v>
      </c>
      <c r="AB130" s="139" t="n">
        <f aca="false">AA129</f>
        <v>0</v>
      </c>
      <c r="AC130" s="139" t="n">
        <f aca="false">AB129</f>
        <v>0</v>
      </c>
    </row>
    <row r="131" s="12" customFormat="true" ht="12.8" hidden="false" customHeight="false" outlineLevel="0" collapsed="false">
      <c r="A131" s="139" t="n">
        <v>6</v>
      </c>
      <c r="B131" s="139" t="n">
        <f aca="false">1/7*B$124</f>
        <v>163.428571428571</v>
      </c>
      <c r="C131" s="139" t="n">
        <f aca="false">1/7*C$124</f>
        <v>163.428571428571</v>
      </c>
      <c r="D131" s="139" t="n">
        <f aca="false">C130</f>
        <v>163.428571428571</v>
      </c>
      <c r="E131" s="139" t="n">
        <f aca="false">D130</f>
        <v>163.428571428571</v>
      </c>
      <c r="F131" s="139" t="n">
        <f aca="false">E130</f>
        <v>163.428571428571</v>
      </c>
      <c r="G131" s="139" t="n">
        <f aca="false">F130</f>
        <v>163.428571428571</v>
      </c>
      <c r="H131" s="139" t="n">
        <f aca="false">G130</f>
        <v>163.428571428571</v>
      </c>
      <c r="I131" s="139" t="n">
        <f aca="false">H130</f>
        <v>151.988571428571</v>
      </c>
      <c r="J131" s="139" t="n">
        <f aca="false">I130</f>
        <v>149.906491428571</v>
      </c>
      <c r="K131" s="139" t="n">
        <f aca="false">J130</f>
        <v>147.445472868571</v>
      </c>
      <c r="L131" s="139" t="n">
        <f aca="false">K130</f>
        <v>144.536548930651</v>
      </c>
      <c r="M131" s="139" t="n">
        <f aca="false">L130</f>
        <v>141.09820083603</v>
      </c>
      <c r="N131" s="139" t="n">
        <f aca="false">M130</f>
        <v>137.034073388187</v>
      </c>
      <c r="O131" s="139" t="n">
        <f aca="false">N130</f>
        <v>132.230274744838</v>
      </c>
      <c r="P131" s="139" t="n">
        <f aca="false">O130</f>
        <v>117.69353181601</v>
      </c>
      <c r="Q131" s="139" t="n">
        <f aca="false">P130</f>
        <v>109.925064313097</v>
      </c>
      <c r="R131" s="139" t="n">
        <f aca="false">Q130</f>
        <v>100.963262536567</v>
      </c>
      <c r="S131" s="139" t="n">
        <f aca="false">R130</f>
        <v>90.6785161382752</v>
      </c>
      <c r="T131" s="139" t="n">
        <f aca="false">S130</f>
        <v>78.9524044125935</v>
      </c>
      <c r="U131" s="139" t="n">
        <f aca="false">T130</f>
        <v>65.693544278081</v>
      </c>
      <c r="V131" s="139" t="n">
        <f aca="false">U130</f>
        <v>50.8618074567388</v>
      </c>
      <c r="W131" s="139" t="n">
        <f aca="false">V130</f>
        <v>32.089285641157</v>
      </c>
      <c r="X131" s="139" t="n">
        <f aca="false">W130</f>
        <v>15.4196007835502</v>
      </c>
      <c r="Y131" s="139" t="n">
        <f aca="false">X130</f>
        <v>0</v>
      </c>
      <c r="Z131" s="139" t="n">
        <f aca="false">Y130</f>
        <v>0</v>
      </c>
      <c r="AA131" s="139" t="n">
        <f aca="false">Z130</f>
        <v>0</v>
      </c>
      <c r="AB131" s="139" t="n">
        <f aca="false">AA130</f>
        <v>0</v>
      </c>
      <c r="AC131" s="139" t="n">
        <f aca="false">AB130</f>
        <v>0</v>
      </c>
    </row>
    <row r="132" s="12" customFormat="true" ht="12.8" hidden="false" customHeight="false" outlineLevel="0" collapsed="false">
      <c r="A132" s="139" t="n">
        <v>7</v>
      </c>
      <c r="B132" s="139" t="n">
        <f aca="false">1/7*B$124</f>
        <v>163.428571428571</v>
      </c>
      <c r="C132" s="139" t="n">
        <f aca="false">1/7*C$124</f>
        <v>163.428571428571</v>
      </c>
      <c r="D132" s="139" t="n">
        <f aca="false">C131</f>
        <v>163.428571428571</v>
      </c>
      <c r="E132" s="139" t="n">
        <f aca="false">D131</f>
        <v>163.428571428571</v>
      </c>
      <c r="F132" s="139" t="n">
        <f aca="false">E131</f>
        <v>163.428571428571</v>
      </c>
      <c r="G132" s="139" t="n">
        <f aca="false">F131</f>
        <v>163.428571428571</v>
      </c>
      <c r="H132" s="139" t="n">
        <f aca="false">G131</f>
        <v>163.428571428571</v>
      </c>
      <c r="I132" s="139" t="n">
        <f aca="false">H131</f>
        <v>163.428571428571</v>
      </c>
      <c r="J132" s="139" t="n">
        <f aca="false">I131</f>
        <v>151.988571428571</v>
      </c>
      <c r="K132" s="139" t="n">
        <f aca="false">J131</f>
        <v>149.906491428571</v>
      </c>
      <c r="L132" s="139" t="n">
        <f aca="false">K131</f>
        <v>147.445472868571</v>
      </c>
      <c r="M132" s="139" t="n">
        <f aca="false">L131</f>
        <v>144.536548930651</v>
      </c>
      <c r="N132" s="139" t="n">
        <f aca="false">M131</f>
        <v>141.09820083603</v>
      </c>
      <c r="O132" s="139" t="n">
        <f aca="false">N131</f>
        <v>137.034073388187</v>
      </c>
      <c r="P132" s="139" t="n">
        <f aca="false">O131</f>
        <v>132.230274744838</v>
      </c>
      <c r="Q132" s="139" t="n">
        <f aca="false">P131</f>
        <v>117.69353181601</v>
      </c>
      <c r="R132" s="139" t="n">
        <f aca="false">Q131</f>
        <v>109.925064313097</v>
      </c>
      <c r="S132" s="139" t="n">
        <f aca="false">R131</f>
        <v>100.963262536567</v>
      </c>
      <c r="T132" s="139" t="n">
        <f aca="false">S131</f>
        <v>90.6785161382752</v>
      </c>
      <c r="U132" s="139" t="n">
        <f aca="false">T131</f>
        <v>78.9524044125935</v>
      </c>
      <c r="V132" s="139" t="n">
        <f aca="false">U131</f>
        <v>65.693544278081</v>
      </c>
      <c r="W132" s="139" t="n">
        <f aca="false">V131</f>
        <v>50.8618074567388</v>
      </c>
      <c r="X132" s="139" t="n">
        <f aca="false">W131</f>
        <v>32.089285641157</v>
      </c>
      <c r="Y132" s="139" t="n">
        <f aca="false">X131</f>
        <v>15.4196007835502</v>
      </c>
      <c r="Z132" s="139" t="n">
        <f aca="false">Y131</f>
        <v>0</v>
      </c>
      <c r="AA132" s="139" t="n">
        <f aca="false">Z131</f>
        <v>0</v>
      </c>
      <c r="AB132" s="139" t="n">
        <f aca="false">AA131</f>
        <v>0</v>
      </c>
      <c r="AC132" s="139" t="n">
        <f aca="false">AB131</f>
        <v>0</v>
      </c>
    </row>
    <row r="133" customFormat="false" ht="12.8" hidden="false" customHeight="false" outlineLevel="0" collapsed="false">
      <c r="A133" s="130" t="s">
        <v>316</v>
      </c>
      <c r="B133" s="124" t="n">
        <v>2023</v>
      </c>
      <c r="C133" s="124" t="n">
        <v>2024</v>
      </c>
      <c r="D133" s="124" t="n">
        <v>2025</v>
      </c>
      <c r="E133" s="124" t="n">
        <v>2026</v>
      </c>
      <c r="F133" s="124" t="n">
        <v>2027</v>
      </c>
      <c r="G133" s="124" t="n">
        <v>2028</v>
      </c>
      <c r="H133" s="124" t="n">
        <v>2029</v>
      </c>
      <c r="I133" s="124" t="n">
        <v>2030</v>
      </c>
      <c r="J133" s="124" t="n">
        <v>2031</v>
      </c>
      <c r="K133" s="124" t="n">
        <v>2032</v>
      </c>
      <c r="L133" s="124" t="n">
        <v>2033</v>
      </c>
      <c r="M133" s="124" t="n">
        <v>2034</v>
      </c>
      <c r="N133" s="124" t="n">
        <v>2035</v>
      </c>
      <c r="O133" s="124" t="n">
        <v>2036</v>
      </c>
      <c r="P133" s="124" t="n">
        <v>2037</v>
      </c>
      <c r="Q133" s="124" t="n">
        <v>2038</v>
      </c>
      <c r="R133" s="124" t="n">
        <v>2039</v>
      </c>
      <c r="S133" s="124" t="n">
        <v>2040</v>
      </c>
      <c r="T133" s="124" t="n">
        <v>2041</v>
      </c>
      <c r="U133" s="124" t="n">
        <v>2042</v>
      </c>
      <c r="V133" s="124" t="n">
        <v>2043</v>
      </c>
      <c r="W133" s="124" t="n">
        <v>2044</v>
      </c>
      <c r="X133" s="124" t="n">
        <v>2045</v>
      </c>
      <c r="Y133" s="124" t="n">
        <v>2046</v>
      </c>
      <c r="Z133" s="124" t="n">
        <v>2047</v>
      </c>
      <c r="AA133" s="124" t="n">
        <v>2048</v>
      </c>
      <c r="AB133" s="124" t="n">
        <v>2049</v>
      </c>
      <c r="AC133" s="124" t="n">
        <v>2050</v>
      </c>
    </row>
    <row r="134" customFormat="false" ht="12.8" hidden="false" customHeight="false" outlineLevel="0" collapsed="false">
      <c r="A134" s="130" t="s">
        <v>312</v>
      </c>
      <c r="B134" s="136" t="n">
        <v>0</v>
      </c>
      <c r="C134" s="136" t="n">
        <v>0</v>
      </c>
      <c r="D134" s="136" t="n">
        <f aca="false">C134+D136</f>
        <v>22.88</v>
      </c>
      <c r="E134" s="136" t="n">
        <f aca="false">D134+E136</f>
        <v>49.92416</v>
      </c>
      <c r="F134" s="136" t="n">
        <f aca="false">E134+F136</f>
        <v>81.89035712</v>
      </c>
      <c r="G134" s="136" t="n">
        <f aca="false">F134+G136</f>
        <v>119.67440211584</v>
      </c>
      <c r="H134" s="136" t="n">
        <f aca="false">G134+H136</f>
        <v>164.335143300923</v>
      </c>
      <c r="I134" s="136" t="n">
        <f aca="false">H134+I136</f>
        <v>217.124139381691</v>
      </c>
      <c r="J134" s="136" t="n">
        <f aca="false">I134+J136</f>
        <v>279.520732749159</v>
      </c>
      <c r="K134" s="136" t="n">
        <f aca="false">J134+K136</f>
        <v>342.948117839057</v>
      </c>
      <c r="L134" s="136" t="n">
        <f aca="false">K134+L136</f>
        <v>415.698048189025</v>
      </c>
      <c r="M134" s="136" t="n">
        <f aca="false">L134+M136</f>
        <v>498.585119788742</v>
      </c>
      <c r="N134" s="136" t="n">
        <f aca="false">M134+N136</f>
        <v>592.221879139395</v>
      </c>
      <c r="O134" s="136" t="n">
        <f aca="false">N134+O136</f>
        <v>696.842935343258</v>
      </c>
      <c r="P134" s="136" t="n">
        <f aca="false">O134+P136</f>
        <v>807.482510691061</v>
      </c>
      <c r="Q134" s="136" t="n">
        <f aca="false">P134+Q136</f>
        <v>908.514488752165</v>
      </c>
      <c r="R134" s="136" t="n">
        <f aca="false">Q134+R136</f>
        <v>985.635675090838</v>
      </c>
      <c r="S134" s="136" t="n">
        <f aca="false">R134+S136</f>
        <v>1049.27015616944</v>
      </c>
      <c r="T134" s="136" t="n">
        <f aca="false">S134+T136</f>
        <v>1097.8454588783</v>
      </c>
      <c r="U134" s="136" t="n">
        <f aca="false">T134+U136</f>
        <v>1129.85322596037</v>
      </c>
      <c r="V134" s="136" t="n">
        <f aca="false">U134+V136</f>
        <v>1144</v>
      </c>
      <c r="W134" s="136" t="n">
        <f aca="false">V134+W136</f>
        <v>1144</v>
      </c>
      <c r="X134" s="136" t="n">
        <f aca="false">W134+X136</f>
        <v>1144</v>
      </c>
      <c r="Y134" s="136" t="n">
        <f aca="false">X134+Y136</f>
        <v>1144</v>
      </c>
      <c r="Z134" s="136" t="n">
        <f aca="false">Y134+Z136</f>
        <v>1144</v>
      </c>
      <c r="AA134" s="136" t="n">
        <f aca="false">Z134+AA136</f>
        <v>1144</v>
      </c>
      <c r="AB134" s="136" t="n">
        <f aca="false">AA134+AB136</f>
        <v>1144</v>
      </c>
      <c r="AC134" s="136" t="n">
        <f aca="false">AB134+AC136</f>
        <v>1144</v>
      </c>
    </row>
    <row r="135" customFormat="false" ht="12.8" hidden="false" customHeight="false" outlineLevel="0" collapsed="false">
      <c r="A135" s="130" t="s">
        <v>313</v>
      </c>
      <c r="B135" s="136" t="n">
        <v>1144</v>
      </c>
      <c r="C135" s="136" t="n">
        <f aca="false">$B135-C134</f>
        <v>1144</v>
      </c>
      <c r="D135" s="136" t="n">
        <f aca="false">$B135-D134</f>
        <v>1121.12</v>
      </c>
      <c r="E135" s="136" t="n">
        <f aca="false">$B135-E134</f>
        <v>1094.07584</v>
      </c>
      <c r="F135" s="136" t="n">
        <f aca="false">$B135-F134</f>
        <v>1062.10964288</v>
      </c>
      <c r="G135" s="136" t="n">
        <f aca="false">$B135-G134</f>
        <v>1024.32559788416</v>
      </c>
      <c r="H135" s="136" t="n">
        <f aca="false">$B135-H134</f>
        <v>979.664856699077</v>
      </c>
      <c r="I135" s="136" t="n">
        <f aca="false">$B135-I134</f>
        <v>926.875860618309</v>
      </c>
      <c r="J135" s="136" t="n">
        <f aca="false">$B135-J134</f>
        <v>864.479267250841</v>
      </c>
      <c r="K135" s="136" t="n">
        <f aca="false">$B135-K134</f>
        <v>801.051882160943</v>
      </c>
      <c r="L135" s="136" t="n">
        <f aca="false">$B135-L134</f>
        <v>728.301951810975</v>
      </c>
      <c r="M135" s="136" t="n">
        <f aca="false">$B135-M134</f>
        <v>645.414880211258</v>
      </c>
      <c r="N135" s="136" t="n">
        <f aca="false">$B135-N134</f>
        <v>551.778120860605</v>
      </c>
      <c r="O135" s="136" t="n">
        <f aca="false">$B135-O134</f>
        <v>447.157064656743</v>
      </c>
      <c r="P135" s="136" t="n">
        <f aca="false">$B135-P134</f>
        <v>336.517489308939</v>
      </c>
      <c r="Q135" s="136" t="n">
        <f aca="false">$B135-Q134</f>
        <v>235.485511247835</v>
      </c>
      <c r="R135" s="136" t="n">
        <f aca="false">$B135-R134</f>
        <v>158.364324909162</v>
      </c>
      <c r="S135" s="136" t="n">
        <f aca="false">$B135-S134</f>
        <v>94.7298438305586</v>
      </c>
      <c r="T135" s="136" t="n">
        <f aca="false">$B135-T134</f>
        <v>46.1545411217048</v>
      </c>
      <c r="U135" s="136" t="n">
        <f aca="false">$B135-U134</f>
        <v>14.1467740396261</v>
      </c>
      <c r="V135" s="136" t="n">
        <f aca="false">$B135-V134</f>
        <v>0</v>
      </c>
      <c r="W135" s="136" t="n">
        <f aca="false">$B135-W134</f>
        <v>0</v>
      </c>
      <c r="X135" s="136" t="n">
        <f aca="false">$B135-X134</f>
        <v>0</v>
      </c>
      <c r="Y135" s="136" t="n">
        <f aca="false">$B135-Y134</f>
        <v>0</v>
      </c>
      <c r="Z135" s="136" t="n">
        <f aca="false">$B135-Z134</f>
        <v>0</v>
      </c>
      <c r="AA135" s="136" t="n">
        <f aca="false">$B135-AA134</f>
        <v>0</v>
      </c>
      <c r="AB135" s="136" t="n">
        <f aca="false">$B135-AB134</f>
        <v>0</v>
      </c>
      <c r="AC135" s="136" t="n">
        <f aca="false">$B135-AC134</f>
        <v>0</v>
      </c>
    </row>
    <row r="136" customFormat="false" ht="11.9" hidden="false" customHeight="true" outlineLevel="0" collapsed="false">
      <c r="A136" s="0" t="s">
        <v>314</v>
      </c>
      <c r="B136" s="136"/>
      <c r="C136" s="136"/>
      <c r="D136" s="136" t="n">
        <f aca="false">B89*C143</f>
        <v>22.88</v>
      </c>
      <c r="E136" s="136" t="n">
        <f aca="false">C89*D143</f>
        <v>27.04416</v>
      </c>
      <c r="F136" s="136" t="n">
        <f aca="false">D89*E143</f>
        <v>31.96619712</v>
      </c>
      <c r="G136" s="136" t="n">
        <f aca="false">E89*F143</f>
        <v>37.78404499584</v>
      </c>
      <c r="H136" s="136" t="n">
        <f aca="false">F89*G143</f>
        <v>44.6607411850829</v>
      </c>
      <c r="I136" s="136" t="n">
        <f aca="false">G89*H143</f>
        <v>52.788996080768</v>
      </c>
      <c r="J136" s="136" t="n">
        <f aca="false">H89*I143</f>
        <v>62.3965933674677</v>
      </c>
      <c r="K136" s="136" t="n">
        <f aca="false">I89*J143</f>
        <v>63.4273850898983</v>
      </c>
      <c r="L136" s="136" t="n">
        <f aca="false">J89*K143</f>
        <v>72.7499303499678</v>
      </c>
      <c r="M136" s="136" t="n">
        <f aca="false">K89*L143</f>
        <v>82.8870715997176</v>
      </c>
      <c r="N136" s="136" t="n">
        <f aca="false">L89*M143</f>
        <v>93.6367593506528</v>
      </c>
      <c r="O136" s="136" t="n">
        <f aca="false">M89*N143</f>
        <v>104.621056203863</v>
      </c>
      <c r="P136" s="136" t="n">
        <f aca="false">N89*O143</f>
        <v>110.639575347803</v>
      </c>
      <c r="Q136" s="136" t="n">
        <f aca="false">O89*P143</f>
        <v>101.031978061104</v>
      </c>
      <c r="R136" s="136" t="n">
        <f aca="false">P89*Q143</f>
        <v>77.1211863386731</v>
      </c>
      <c r="S136" s="136" t="n">
        <f aca="false">Q89*R143</f>
        <v>63.6344810786036</v>
      </c>
      <c r="T136" s="136" t="n">
        <f aca="false">R89*S143</f>
        <v>48.5753027088538</v>
      </c>
      <c r="U136" s="136" t="n">
        <f aca="false">S89*T143</f>
        <v>32.0077670820787</v>
      </c>
      <c r="V136" s="136" t="n">
        <f aca="false">T89*U143</f>
        <v>14.1467740396259</v>
      </c>
      <c r="W136" s="136" t="n">
        <f aca="false">U89*V143</f>
        <v>0</v>
      </c>
      <c r="X136" s="136" t="n">
        <f aca="false">V89*W143</f>
        <v>0</v>
      </c>
      <c r="Y136" s="136" t="n">
        <f aca="false">W89*X143</f>
        <v>0</v>
      </c>
      <c r="Z136" s="136" t="n">
        <f aca="false">X89*Y143</f>
        <v>0</v>
      </c>
      <c r="AA136" s="136" t="n">
        <f aca="false">Y89*Z143</f>
        <v>0</v>
      </c>
      <c r="AB136" s="136" t="n">
        <f aca="false">Z89*AA143</f>
        <v>0</v>
      </c>
      <c r="AC136" s="136" t="n">
        <f aca="false">AA89*AB143</f>
        <v>0</v>
      </c>
    </row>
    <row r="137" customFormat="false" ht="12.8" hidden="false" customHeight="false" outlineLevel="0" collapsed="false">
      <c r="A137" s="139" t="n">
        <v>1</v>
      </c>
      <c r="B137" s="139" t="n">
        <f aca="false">1/7*B$135</f>
        <v>163.428571428571</v>
      </c>
      <c r="C137" s="139" t="n">
        <f aca="false">1/7*C$135</f>
        <v>163.428571428571</v>
      </c>
      <c r="D137" s="139" t="n">
        <f aca="false">C143-D136</f>
        <v>140.548571428571</v>
      </c>
      <c r="E137" s="139" t="n">
        <f aca="false">D143-E136</f>
        <v>136.384411428571</v>
      </c>
      <c r="F137" s="139" t="n">
        <f aca="false">E143-F136</f>
        <v>131.462374308571</v>
      </c>
      <c r="G137" s="139" t="n">
        <f aca="false">F143-G136</f>
        <v>125.644526432731</v>
      </c>
      <c r="H137" s="139" t="n">
        <f aca="false">G143-H136</f>
        <v>118.767830243489</v>
      </c>
      <c r="I137" s="139" t="n">
        <f aca="false">H143-I136</f>
        <v>110.639575347803</v>
      </c>
      <c r="J137" s="139" t="n">
        <f aca="false">I143-J136</f>
        <v>101.031978061104</v>
      </c>
      <c r="K137" s="139" t="n">
        <f aca="false">J143-K136</f>
        <v>77.1211863386731</v>
      </c>
      <c r="L137" s="139" t="n">
        <f aca="false">K143-L136</f>
        <v>63.6344810786036</v>
      </c>
      <c r="M137" s="139" t="n">
        <f aca="false">L143-M136</f>
        <v>48.5753027088538</v>
      </c>
      <c r="N137" s="139" t="n">
        <f aca="false">M143-N136</f>
        <v>32.0077670820787</v>
      </c>
      <c r="O137" s="139" t="n">
        <f aca="false">N143-O136</f>
        <v>14.1467740396259</v>
      </c>
      <c r="P137" s="139" t="n">
        <f aca="false">O143-P136</f>
        <v>0</v>
      </c>
      <c r="Q137" s="139" t="n">
        <f aca="false">P143-Q136</f>
        <v>0</v>
      </c>
      <c r="R137" s="139" t="n">
        <f aca="false">Q143-R136</f>
        <v>0</v>
      </c>
      <c r="S137" s="139" t="n">
        <f aca="false">R143-S136</f>
        <v>0</v>
      </c>
      <c r="T137" s="139" t="n">
        <f aca="false">S143-T136</f>
        <v>0</v>
      </c>
      <c r="U137" s="139" t="n">
        <f aca="false">T143-U136</f>
        <v>0</v>
      </c>
      <c r="V137" s="139" t="n">
        <f aca="false">U143-V136</f>
        <v>0</v>
      </c>
      <c r="W137" s="139" t="n">
        <f aca="false">V143-W136</f>
        <v>0</v>
      </c>
      <c r="X137" s="139" t="n">
        <f aca="false">W143-X136</f>
        <v>0</v>
      </c>
      <c r="Y137" s="139" t="n">
        <f aca="false">X143-Y136</f>
        <v>0</v>
      </c>
      <c r="Z137" s="139" t="n">
        <f aca="false">Y143-Z136</f>
        <v>0</v>
      </c>
      <c r="AA137" s="139" t="n">
        <f aca="false">Z143-AA136</f>
        <v>0</v>
      </c>
      <c r="AB137" s="139" t="n">
        <f aca="false">AA143-AB136</f>
        <v>0</v>
      </c>
      <c r="AC137" s="139" t="n">
        <f aca="false">AB143-AC136</f>
        <v>0</v>
      </c>
      <c r="AD137" s="12"/>
    </row>
    <row r="138" customFormat="false" ht="12.8" hidden="false" customHeight="false" outlineLevel="0" collapsed="false">
      <c r="A138" s="139" t="n">
        <v>2</v>
      </c>
      <c r="B138" s="139" t="n">
        <f aca="false">1/7*B$135</f>
        <v>163.428571428571</v>
      </c>
      <c r="C138" s="139" t="n">
        <f aca="false">1/7*C$135</f>
        <v>163.428571428571</v>
      </c>
      <c r="D138" s="139" t="n">
        <f aca="false">C137</f>
        <v>163.428571428571</v>
      </c>
      <c r="E138" s="139" t="n">
        <f aca="false">D137</f>
        <v>140.548571428571</v>
      </c>
      <c r="F138" s="139" t="n">
        <f aca="false">E137</f>
        <v>136.384411428571</v>
      </c>
      <c r="G138" s="139" t="n">
        <f aca="false">F137</f>
        <v>131.462374308571</v>
      </c>
      <c r="H138" s="139" t="n">
        <f aca="false">G137</f>
        <v>125.644526432731</v>
      </c>
      <c r="I138" s="139" t="n">
        <f aca="false">H137</f>
        <v>118.767830243489</v>
      </c>
      <c r="J138" s="139" t="n">
        <f aca="false">I137</f>
        <v>110.639575347803</v>
      </c>
      <c r="K138" s="139" t="n">
        <f aca="false">J137</f>
        <v>101.031978061104</v>
      </c>
      <c r="L138" s="139" t="n">
        <f aca="false">K137</f>
        <v>77.1211863386731</v>
      </c>
      <c r="M138" s="139" t="n">
        <f aca="false">L137</f>
        <v>63.6344810786036</v>
      </c>
      <c r="N138" s="139" t="n">
        <f aca="false">M137</f>
        <v>48.5753027088538</v>
      </c>
      <c r="O138" s="139" t="n">
        <f aca="false">N137</f>
        <v>32.0077670820787</v>
      </c>
      <c r="P138" s="139" t="n">
        <f aca="false">O137</f>
        <v>14.1467740396259</v>
      </c>
      <c r="Q138" s="139" t="n">
        <f aca="false">P137</f>
        <v>0</v>
      </c>
      <c r="R138" s="139" t="n">
        <f aca="false">Q137</f>
        <v>0</v>
      </c>
      <c r="S138" s="139" t="n">
        <f aca="false">R137</f>
        <v>0</v>
      </c>
      <c r="T138" s="139" t="n">
        <f aca="false">S137</f>
        <v>0</v>
      </c>
      <c r="U138" s="139" t="n">
        <f aca="false">T137</f>
        <v>0</v>
      </c>
      <c r="V138" s="139" t="n">
        <f aca="false">U137</f>
        <v>0</v>
      </c>
      <c r="W138" s="139" t="n">
        <f aca="false">V137</f>
        <v>0</v>
      </c>
      <c r="X138" s="139" t="n">
        <f aca="false">W137</f>
        <v>0</v>
      </c>
      <c r="Y138" s="139" t="n">
        <f aca="false">X137</f>
        <v>0</v>
      </c>
      <c r="Z138" s="139" t="n">
        <f aca="false">Y137</f>
        <v>0</v>
      </c>
      <c r="AA138" s="139" t="n">
        <f aca="false">Z137</f>
        <v>0</v>
      </c>
      <c r="AB138" s="139" t="n">
        <f aca="false">AA137</f>
        <v>0</v>
      </c>
      <c r="AC138" s="139" t="n">
        <f aca="false">AB137</f>
        <v>0</v>
      </c>
      <c r="AD138" s="12"/>
    </row>
    <row r="139" customFormat="false" ht="12.8" hidden="false" customHeight="false" outlineLevel="0" collapsed="false">
      <c r="A139" s="139" t="n">
        <v>3</v>
      </c>
      <c r="B139" s="139" t="n">
        <f aca="false">1/7*B$135</f>
        <v>163.428571428571</v>
      </c>
      <c r="C139" s="139" t="n">
        <f aca="false">1/7*C$135</f>
        <v>163.428571428571</v>
      </c>
      <c r="D139" s="139" t="n">
        <f aca="false">C138</f>
        <v>163.428571428571</v>
      </c>
      <c r="E139" s="139" t="n">
        <f aca="false">D138</f>
        <v>163.428571428571</v>
      </c>
      <c r="F139" s="139" t="n">
        <f aca="false">E138</f>
        <v>140.548571428571</v>
      </c>
      <c r="G139" s="139" t="n">
        <f aca="false">F138</f>
        <v>136.384411428571</v>
      </c>
      <c r="H139" s="139" t="n">
        <f aca="false">G138</f>
        <v>131.462374308571</v>
      </c>
      <c r="I139" s="139" t="n">
        <f aca="false">H138</f>
        <v>125.644526432731</v>
      </c>
      <c r="J139" s="139" t="n">
        <f aca="false">I138</f>
        <v>118.767830243489</v>
      </c>
      <c r="K139" s="139" t="n">
        <f aca="false">J138</f>
        <v>110.639575347803</v>
      </c>
      <c r="L139" s="139" t="n">
        <f aca="false">K138</f>
        <v>101.031978061104</v>
      </c>
      <c r="M139" s="139" t="n">
        <f aca="false">L138</f>
        <v>77.1211863386731</v>
      </c>
      <c r="N139" s="139" t="n">
        <f aca="false">M138</f>
        <v>63.6344810786036</v>
      </c>
      <c r="O139" s="139" t="n">
        <f aca="false">N138</f>
        <v>48.5753027088538</v>
      </c>
      <c r="P139" s="139" t="n">
        <f aca="false">O138</f>
        <v>32.0077670820787</v>
      </c>
      <c r="Q139" s="139" t="n">
        <f aca="false">P138</f>
        <v>14.1467740396259</v>
      </c>
      <c r="R139" s="139" t="n">
        <f aca="false">Q138</f>
        <v>0</v>
      </c>
      <c r="S139" s="139" t="n">
        <f aca="false">R138</f>
        <v>0</v>
      </c>
      <c r="T139" s="139" t="n">
        <f aca="false">S138</f>
        <v>0</v>
      </c>
      <c r="U139" s="139" t="n">
        <f aca="false">T138</f>
        <v>0</v>
      </c>
      <c r="V139" s="139" t="n">
        <f aca="false">U138</f>
        <v>0</v>
      </c>
      <c r="W139" s="139" t="n">
        <f aca="false">V138</f>
        <v>0</v>
      </c>
      <c r="X139" s="139" t="n">
        <f aca="false">W138</f>
        <v>0</v>
      </c>
      <c r="Y139" s="139" t="n">
        <f aca="false">X138</f>
        <v>0</v>
      </c>
      <c r="Z139" s="139" t="n">
        <f aca="false">Y138</f>
        <v>0</v>
      </c>
      <c r="AA139" s="139" t="n">
        <f aca="false">Z138</f>
        <v>0</v>
      </c>
      <c r="AB139" s="139" t="n">
        <f aca="false">AA138</f>
        <v>0</v>
      </c>
      <c r="AC139" s="139" t="n">
        <f aca="false">AB138</f>
        <v>0</v>
      </c>
      <c r="AD139" s="12"/>
    </row>
    <row r="140" customFormat="false" ht="12.8" hidden="false" customHeight="false" outlineLevel="0" collapsed="false">
      <c r="A140" s="139" t="n">
        <v>4</v>
      </c>
      <c r="B140" s="139" t="n">
        <f aca="false">1/7*B$135</f>
        <v>163.428571428571</v>
      </c>
      <c r="C140" s="139" t="n">
        <f aca="false">1/7*C$135</f>
        <v>163.428571428571</v>
      </c>
      <c r="D140" s="139" t="n">
        <f aca="false">C139</f>
        <v>163.428571428571</v>
      </c>
      <c r="E140" s="139" t="n">
        <f aca="false">D139</f>
        <v>163.428571428571</v>
      </c>
      <c r="F140" s="139" t="n">
        <f aca="false">E139</f>
        <v>163.428571428571</v>
      </c>
      <c r="G140" s="139" t="n">
        <f aca="false">F139</f>
        <v>140.548571428571</v>
      </c>
      <c r="H140" s="139" t="n">
        <f aca="false">G139</f>
        <v>136.384411428571</v>
      </c>
      <c r="I140" s="139" t="n">
        <f aca="false">H139</f>
        <v>131.462374308571</v>
      </c>
      <c r="J140" s="139" t="n">
        <f aca="false">I139</f>
        <v>125.644526432731</v>
      </c>
      <c r="K140" s="139" t="n">
        <f aca="false">J139</f>
        <v>118.767830243489</v>
      </c>
      <c r="L140" s="139" t="n">
        <f aca="false">K139</f>
        <v>110.639575347803</v>
      </c>
      <c r="M140" s="139" t="n">
        <f aca="false">L139</f>
        <v>101.031978061104</v>
      </c>
      <c r="N140" s="139" t="n">
        <f aca="false">M139</f>
        <v>77.1211863386731</v>
      </c>
      <c r="O140" s="139" t="n">
        <f aca="false">N139</f>
        <v>63.6344810786036</v>
      </c>
      <c r="P140" s="139" t="n">
        <f aca="false">O139</f>
        <v>48.5753027088538</v>
      </c>
      <c r="Q140" s="139" t="n">
        <f aca="false">P139</f>
        <v>32.0077670820787</v>
      </c>
      <c r="R140" s="139" t="n">
        <f aca="false">Q139</f>
        <v>14.1467740396259</v>
      </c>
      <c r="S140" s="139" t="n">
        <f aca="false">R139</f>
        <v>0</v>
      </c>
      <c r="T140" s="139" t="n">
        <f aca="false">S139</f>
        <v>0</v>
      </c>
      <c r="U140" s="139" t="n">
        <f aca="false">T139</f>
        <v>0</v>
      </c>
      <c r="V140" s="139" t="n">
        <f aca="false">U139</f>
        <v>0</v>
      </c>
      <c r="W140" s="139" t="n">
        <f aca="false">V139</f>
        <v>0</v>
      </c>
      <c r="X140" s="139" t="n">
        <f aca="false">W139</f>
        <v>0</v>
      </c>
      <c r="Y140" s="139" t="n">
        <f aca="false">X139</f>
        <v>0</v>
      </c>
      <c r="Z140" s="139" t="n">
        <f aca="false">Y139</f>
        <v>0</v>
      </c>
      <c r="AA140" s="139" t="n">
        <f aca="false">Z139</f>
        <v>0</v>
      </c>
      <c r="AB140" s="139" t="n">
        <f aca="false">AA139</f>
        <v>0</v>
      </c>
      <c r="AC140" s="139" t="n">
        <f aca="false">AB139</f>
        <v>0</v>
      </c>
      <c r="AD140" s="12"/>
    </row>
    <row r="141" customFormat="false" ht="12.8" hidden="false" customHeight="false" outlineLevel="0" collapsed="false">
      <c r="A141" s="139" t="n">
        <v>5</v>
      </c>
      <c r="B141" s="139" t="n">
        <f aca="false">1/7*B$135</f>
        <v>163.428571428571</v>
      </c>
      <c r="C141" s="139" t="n">
        <f aca="false">1/7*C$135</f>
        <v>163.428571428571</v>
      </c>
      <c r="D141" s="139" t="n">
        <f aca="false">C140</f>
        <v>163.428571428571</v>
      </c>
      <c r="E141" s="139" t="n">
        <f aca="false">D140</f>
        <v>163.428571428571</v>
      </c>
      <c r="F141" s="139" t="n">
        <f aca="false">E140</f>
        <v>163.428571428571</v>
      </c>
      <c r="G141" s="139" t="n">
        <f aca="false">F140</f>
        <v>163.428571428571</v>
      </c>
      <c r="H141" s="139" t="n">
        <f aca="false">G140</f>
        <v>140.548571428571</v>
      </c>
      <c r="I141" s="139" t="n">
        <f aca="false">H140</f>
        <v>136.384411428571</v>
      </c>
      <c r="J141" s="139" t="n">
        <f aca="false">I140</f>
        <v>131.462374308571</v>
      </c>
      <c r="K141" s="139" t="n">
        <f aca="false">J140</f>
        <v>125.644526432731</v>
      </c>
      <c r="L141" s="139" t="n">
        <f aca="false">K140</f>
        <v>118.767830243489</v>
      </c>
      <c r="M141" s="139" t="n">
        <f aca="false">L140</f>
        <v>110.639575347803</v>
      </c>
      <c r="N141" s="139" t="n">
        <f aca="false">M140</f>
        <v>101.031978061104</v>
      </c>
      <c r="O141" s="139" t="n">
        <f aca="false">N140</f>
        <v>77.1211863386731</v>
      </c>
      <c r="P141" s="139" t="n">
        <f aca="false">O140</f>
        <v>63.6344810786036</v>
      </c>
      <c r="Q141" s="139" t="n">
        <f aca="false">P140</f>
        <v>48.5753027088538</v>
      </c>
      <c r="R141" s="139" t="n">
        <f aca="false">Q140</f>
        <v>32.0077670820787</v>
      </c>
      <c r="S141" s="139" t="n">
        <f aca="false">R140</f>
        <v>14.1467740396259</v>
      </c>
      <c r="T141" s="139" t="n">
        <f aca="false">S140</f>
        <v>0</v>
      </c>
      <c r="U141" s="139" t="n">
        <f aca="false">T140</f>
        <v>0</v>
      </c>
      <c r="V141" s="139" t="n">
        <f aca="false">U140</f>
        <v>0</v>
      </c>
      <c r="W141" s="139" t="n">
        <f aca="false">V140</f>
        <v>0</v>
      </c>
      <c r="X141" s="139" t="n">
        <f aca="false">W140</f>
        <v>0</v>
      </c>
      <c r="Y141" s="139" t="n">
        <f aca="false">X140</f>
        <v>0</v>
      </c>
      <c r="Z141" s="139" t="n">
        <f aca="false">Y140</f>
        <v>0</v>
      </c>
      <c r="AA141" s="139" t="n">
        <f aca="false">Z140</f>
        <v>0</v>
      </c>
      <c r="AB141" s="139" t="n">
        <f aca="false">AA140</f>
        <v>0</v>
      </c>
      <c r="AC141" s="139" t="n">
        <f aca="false">AB140</f>
        <v>0</v>
      </c>
      <c r="AD141" s="12"/>
    </row>
    <row r="142" customFormat="false" ht="12.8" hidden="false" customHeight="false" outlineLevel="0" collapsed="false">
      <c r="A142" s="139" t="n">
        <v>6</v>
      </c>
      <c r="B142" s="139" t="n">
        <f aca="false">1/7*B$135</f>
        <v>163.428571428571</v>
      </c>
      <c r="C142" s="139" t="n">
        <f aca="false">1/7*C$135</f>
        <v>163.428571428571</v>
      </c>
      <c r="D142" s="139" t="n">
        <f aca="false">C141</f>
        <v>163.428571428571</v>
      </c>
      <c r="E142" s="139" t="n">
        <f aca="false">D141</f>
        <v>163.428571428571</v>
      </c>
      <c r="F142" s="139" t="n">
        <f aca="false">E141</f>
        <v>163.428571428571</v>
      </c>
      <c r="G142" s="139" t="n">
        <f aca="false">F141</f>
        <v>163.428571428571</v>
      </c>
      <c r="H142" s="139" t="n">
        <f aca="false">G141</f>
        <v>163.428571428571</v>
      </c>
      <c r="I142" s="139" t="n">
        <f aca="false">H141</f>
        <v>140.548571428571</v>
      </c>
      <c r="J142" s="139" t="n">
        <f aca="false">I141</f>
        <v>136.384411428571</v>
      </c>
      <c r="K142" s="139" t="n">
        <f aca="false">J141</f>
        <v>131.462374308571</v>
      </c>
      <c r="L142" s="139" t="n">
        <f aca="false">K141</f>
        <v>125.644526432731</v>
      </c>
      <c r="M142" s="139" t="n">
        <f aca="false">L141</f>
        <v>118.767830243489</v>
      </c>
      <c r="N142" s="139" t="n">
        <f aca="false">M141</f>
        <v>110.639575347803</v>
      </c>
      <c r="O142" s="139" t="n">
        <f aca="false">N141</f>
        <v>101.031978061104</v>
      </c>
      <c r="P142" s="139" t="n">
        <f aca="false">O141</f>
        <v>77.1211863386731</v>
      </c>
      <c r="Q142" s="139" t="n">
        <f aca="false">P141</f>
        <v>63.6344810786036</v>
      </c>
      <c r="R142" s="139" t="n">
        <f aca="false">Q141</f>
        <v>48.5753027088538</v>
      </c>
      <c r="S142" s="139" t="n">
        <f aca="false">R141</f>
        <v>32.0077670820787</v>
      </c>
      <c r="T142" s="139" t="n">
        <f aca="false">S141</f>
        <v>14.1467740396259</v>
      </c>
      <c r="U142" s="139" t="n">
        <f aca="false">T141</f>
        <v>0</v>
      </c>
      <c r="V142" s="139" t="n">
        <f aca="false">U141</f>
        <v>0</v>
      </c>
      <c r="W142" s="139" t="n">
        <f aca="false">V141</f>
        <v>0</v>
      </c>
      <c r="X142" s="139" t="n">
        <f aca="false">W141</f>
        <v>0</v>
      </c>
      <c r="Y142" s="139" t="n">
        <f aca="false">X141</f>
        <v>0</v>
      </c>
      <c r="Z142" s="139" t="n">
        <f aca="false">Y141</f>
        <v>0</v>
      </c>
      <c r="AA142" s="139" t="n">
        <f aca="false">Z141</f>
        <v>0</v>
      </c>
      <c r="AB142" s="139" t="n">
        <f aca="false">AA141</f>
        <v>0</v>
      </c>
      <c r="AC142" s="139" t="n">
        <f aca="false">AB141</f>
        <v>0</v>
      </c>
      <c r="AD142" s="12"/>
    </row>
    <row r="143" customFormat="false" ht="12.8" hidden="false" customHeight="false" outlineLevel="0" collapsed="false">
      <c r="A143" s="139" t="n">
        <v>7</v>
      </c>
      <c r="B143" s="139" t="n">
        <f aca="false">1/7*B$135</f>
        <v>163.428571428571</v>
      </c>
      <c r="C143" s="139" t="n">
        <f aca="false">1/7*C$135</f>
        <v>163.428571428571</v>
      </c>
      <c r="D143" s="139" t="n">
        <f aca="false">C142</f>
        <v>163.428571428571</v>
      </c>
      <c r="E143" s="139" t="n">
        <f aca="false">D142</f>
        <v>163.428571428571</v>
      </c>
      <c r="F143" s="139" t="n">
        <f aca="false">E142</f>
        <v>163.428571428571</v>
      </c>
      <c r="G143" s="139" t="n">
        <f aca="false">F142</f>
        <v>163.428571428571</v>
      </c>
      <c r="H143" s="139" t="n">
        <f aca="false">G142</f>
        <v>163.428571428571</v>
      </c>
      <c r="I143" s="139" t="n">
        <f aca="false">H142</f>
        <v>163.428571428571</v>
      </c>
      <c r="J143" s="139" t="n">
        <f aca="false">I142</f>
        <v>140.548571428571</v>
      </c>
      <c r="K143" s="139" t="n">
        <f aca="false">J142</f>
        <v>136.384411428571</v>
      </c>
      <c r="L143" s="139" t="n">
        <f aca="false">K142</f>
        <v>131.462374308571</v>
      </c>
      <c r="M143" s="139" t="n">
        <f aca="false">L142</f>
        <v>125.644526432731</v>
      </c>
      <c r="N143" s="139" t="n">
        <f aca="false">M142</f>
        <v>118.767830243489</v>
      </c>
      <c r="O143" s="139" t="n">
        <f aca="false">N142</f>
        <v>110.639575347803</v>
      </c>
      <c r="P143" s="139" t="n">
        <f aca="false">O142</f>
        <v>101.031978061104</v>
      </c>
      <c r="Q143" s="139" t="n">
        <f aca="false">P142</f>
        <v>77.1211863386731</v>
      </c>
      <c r="R143" s="139" t="n">
        <f aca="false">Q142</f>
        <v>63.6344810786036</v>
      </c>
      <c r="S143" s="139" t="n">
        <f aca="false">R142</f>
        <v>48.5753027088538</v>
      </c>
      <c r="T143" s="139" t="n">
        <f aca="false">S142</f>
        <v>32.0077670820787</v>
      </c>
      <c r="U143" s="139" t="n">
        <f aca="false">T142</f>
        <v>14.1467740396259</v>
      </c>
      <c r="V143" s="139" t="n">
        <f aca="false">U142</f>
        <v>0</v>
      </c>
      <c r="W143" s="139" t="n">
        <f aca="false">V142</f>
        <v>0</v>
      </c>
      <c r="X143" s="139" t="n">
        <f aca="false">W142</f>
        <v>0</v>
      </c>
      <c r="Y143" s="139" t="n">
        <f aca="false">X142</f>
        <v>0</v>
      </c>
      <c r="Z143" s="139" t="n">
        <f aca="false">Y142</f>
        <v>0</v>
      </c>
      <c r="AA143" s="139" t="n">
        <f aca="false">Z142</f>
        <v>0</v>
      </c>
      <c r="AB143" s="139" t="n">
        <f aca="false">AA142</f>
        <v>0</v>
      </c>
      <c r="AC143" s="139" t="n">
        <f aca="false">AB142</f>
        <v>0</v>
      </c>
      <c r="AD143" s="12"/>
    </row>
    <row r="144" customFormat="false" ht="12.8" hidden="false" customHeight="false" outlineLevel="0" collapsed="false">
      <c r="A144" s="130" t="s">
        <v>317</v>
      </c>
      <c r="B144" s="124" t="n">
        <v>2023</v>
      </c>
      <c r="C144" s="124" t="n">
        <v>2024</v>
      </c>
      <c r="D144" s="124" t="n">
        <v>2025</v>
      </c>
      <c r="E144" s="124" t="n">
        <v>2026</v>
      </c>
      <c r="F144" s="124" t="n">
        <v>2027</v>
      </c>
      <c r="G144" s="124" t="n">
        <v>2028</v>
      </c>
      <c r="H144" s="124" t="n">
        <v>2029</v>
      </c>
      <c r="I144" s="124" t="n">
        <v>2030</v>
      </c>
      <c r="J144" s="124" t="n">
        <v>2031</v>
      </c>
      <c r="K144" s="124" t="n">
        <v>2032</v>
      </c>
      <c r="L144" s="124" t="n">
        <v>2033</v>
      </c>
      <c r="M144" s="124" t="n">
        <v>2034</v>
      </c>
      <c r="N144" s="124" t="n">
        <v>2035</v>
      </c>
      <c r="O144" s="124" t="n">
        <v>2036</v>
      </c>
      <c r="P144" s="124" t="n">
        <v>2037</v>
      </c>
      <c r="Q144" s="124" t="n">
        <v>2038</v>
      </c>
      <c r="R144" s="124" t="n">
        <v>2039</v>
      </c>
      <c r="S144" s="124" t="n">
        <v>2040</v>
      </c>
      <c r="T144" s="124" t="n">
        <v>2041</v>
      </c>
      <c r="U144" s="124" t="n">
        <v>2042</v>
      </c>
      <c r="V144" s="124" t="n">
        <v>2043</v>
      </c>
      <c r="W144" s="124" t="n">
        <v>2044</v>
      </c>
      <c r="X144" s="124" t="n">
        <v>2045</v>
      </c>
      <c r="Y144" s="124" t="n">
        <v>2046</v>
      </c>
      <c r="Z144" s="124" t="n">
        <v>2047</v>
      </c>
      <c r="AA144" s="124" t="n">
        <v>2048</v>
      </c>
      <c r="AB144" s="124" t="n">
        <v>2049</v>
      </c>
      <c r="AC144" s="124" t="n">
        <v>2050</v>
      </c>
    </row>
    <row r="145" customFormat="false" ht="12.8" hidden="false" customHeight="false" outlineLevel="0" collapsed="false">
      <c r="A145" s="130" t="s">
        <v>312</v>
      </c>
      <c r="B145" s="136" t="n">
        <v>0</v>
      </c>
      <c r="C145" s="136" t="n">
        <v>0</v>
      </c>
      <c r="D145" s="136" t="n">
        <f aca="false">C145+D147</f>
        <v>40.8571428571429</v>
      </c>
      <c r="E145" s="136" t="n">
        <f aca="false">D145+E147</f>
        <v>89.1502857142857</v>
      </c>
      <c r="F145" s="136" t="n">
        <f aca="false">E145+F147</f>
        <v>146.232780571429</v>
      </c>
      <c r="G145" s="136" t="n">
        <f aca="false">F145+G147</f>
        <v>213.704289492571</v>
      </c>
      <c r="H145" s="136" t="n">
        <f aca="false">G145+H147</f>
        <v>293.455613037362</v>
      </c>
      <c r="I145" s="136" t="n">
        <f aca="false">H145+I147</f>
        <v>387.721677467305</v>
      </c>
      <c r="J145" s="136" t="n">
        <f aca="false">I145+J147</f>
        <v>499.144165623497</v>
      </c>
      <c r="K145" s="136" t="n">
        <f aca="false">J145+K147</f>
        <v>597.920201373962</v>
      </c>
      <c r="L145" s="136" t="n">
        <f aca="false">K145+L147</f>
        <v>707.590443659417</v>
      </c>
      <c r="M145" s="136" t="n">
        <f aca="false">L145+M147</f>
        <v>813.936520230845</v>
      </c>
      <c r="N145" s="136" t="n">
        <f aca="false">M145+N147</f>
        <v>909.893582738274</v>
      </c>
      <c r="O145" s="136" t="n">
        <f aca="false">N145+O147</f>
        <v>993.570830622054</v>
      </c>
      <c r="P145" s="136" t="n">
        <f aca="false">O145+P147</f>
        <v>1062.73333762068</v>
      </c>
      <c r="Q145" s="136" t="n">
        <f aca="false">P145+Q147</f>
        <v>1114.73942089306</v>
      </c>
      <c r="R145" s="136" t="n">
        <f aca="false">Q145+R147</f>
        <v>1138.53481371403</v>
      </c>
      <c r="S145" s="136" t="n">
        <f aca="false">R145+S147</f>
        <v>1144</v>
      </c>
      <c r="T145" s="136" t="n">
        <f aca="false">S145+T147</f>
        <v>1144</v>
      </c>
      <c r="U145" s="136" t="n">
        <f aca="false">T145+U147</f>
        <v>1144</v>
      </c>
      <c r="V145" s="136" t="n">
        <f aca="false">U145+V147</f>
        <v>1144</v>
      </c>
      <c r="W145" s="136" t="n">
        <f aca="false">V145+W147</f>
        <v>1144</v>
      </c>
      <c r="X145" s="136" t="n">
        <f aca="false">W145+X147</f>
        <v>1144</v>
      </c>
      <c r="Y145" s="136" t="n">
        <f aca="false">X145+Y147</f>
        <v>1144</v>
      </c>
      <c r="Z145" s="136" t="n">
        <f aca="false">Y145+Z147</f>
        <v>1144</v>
      </c>
      <c r="AA145" s="136" t="n">
        <f aca="false">Z145+AA147</f>
        <v>1144</v>
      </c>
      <c r="AB145" s="136" t="n">
        <f aca="false">AA145+AB147</f>
        <v>1144</v>
      </c>
      <c r="AC145" s="136" t="n">
        <f aca="false">AB145+AC147</f>
        <v>1144</v>
      </c>
    </row>
    <row r="146" customFormat="false" ht="12.8" hidden="false" customHeight="false" outlineLevel="0" collapsed="false">
      <c r="A146" s="130" t="s">
        <v>313</v>
      </c>
      <c r="B146" s="136" t="n">
        <v>1144</v>
      </c>
      <c r="C146" s="136" t="n">
        <f aca="false">$B146-C145</f>
        <v>1144</v>
      </c>
      <c r="D146" s="136" t="n">
        <f aca="false">$B146-D145</f>
        <v>1103.14285714286</v>
      </c>
      <c r="E146" s="136" t="n">
        <f aca="false">$B146-E145</f>
        <v>1054.84971428571</v>
      </c>
      <c r="F146" s="136" t="n">
        <f aca="false">$B146-F145</f>
        <v>997.767219428572</v>
      </c>
      <c r="G146" s="136" t="n">
        <f aca="false">$B146-G145</f>
        <v>930.295710507429</v>
      </c>
      <c r="H146" s="136" t="n">
        <f aca="false">$B146-H145</f>
        <v>850.544386962638</v>
      </c>
      <c r="I146" s="136" t="n">
        <f aca="false">$B146-I145</f>
        <v>756.278322532695</v>
      </c>
      <c r="J146" s="136" t="n">
        <f aca="false">$B146-J145</f>
        <v>644.855834376503</v>
      </c>
      <c r="K146" s="136" t="n">
        <f aca="false">$B146-K145</f>
        <v>546.079798626038</v>
      </c>
      <c r="L146" s="136" t="n">
        <f aca="false">$B146-L145</f>
        <v>436.409556340583</v>
      </c>
      <c r="M146" s="136" t="n">
        <f aca="false">$B146-M145</f>
        <v>330.063479769155</v>
      </c>
      <c r="N146" s="136" t="n">
        <f aca="false">$B146-N145</f>
        <v>234.106417261726</v>
      </c>
      <c r="O146" s="136" t="n">
        <f aca="false">$B146-O145</f>
        <v>150.429169377946</v>
      </c>
      <c r="P146" s="136" t="n">
        <f aca="false">$B146-P145</f>
        <v>81.266662379317</v>
      </c>
      <c r="Q146" s="136" t="n">
        <f aca="false">$B146-Q145</f>
        <v>29.2605791069379</v>
      </c>
      <c r="R146" s="136" t="n">
        <f aca="false">$B146-R145</f>
        <v>5.46518628597391</v>
      </c>
      <c r="S146" s="136" t="n">
        <f aca="false">$B146-S145</f>
        <v>0</v>
      </c>
      <c r="T146" s="136" t="n">
        <f aca="false">$B146-T145</f>
        <v>0</v>
      </c>
      <c r="U146" s="136" t="n">
        <f aca="false">$B146-U145</f>
        <v>0</v>
      </c>
      <c r="V146" s="136" t="n">
        <f aca="false">$B146-V145</f>
        <v>0</v>
      </c>
      <c r="W146" s="136" t="n">
        <f aca="false">$B146-W145</f>
        <v>0</v>
      </c>
      <c r="X146" s="136" t="n">
        <f aca="false">$B146-X145</f>
        <v>0</v>
      </c>
      <c r="Y146" s="136" t="n">
        <f aca="false">$B146-Y145</f>
        <v>0</v>
      </c>
      <c r="Z146" s="136" t="n">
        <f aca="false">$B146-Z145</f>
        <v>0</v>
      </c>
      <c r="AA146" s="136" t="n">
        <f aca="false">$B146-AA145</f>
        <v>0</v>
      </c>
      <c r="AB146" s="136" t="n">
        <f aca="false">$B146-AB145</f>
        <v>0</v>
      </c>
      <c r="AC146" s="136" t="n">
        <f aca="false">$B146-AC145</f>
        <v>0</v>
      </c>
    </row>
    <row r="147" customFormat="false" ht="11.9" hidden="false" customHeight="true" outlineLevel="0" collapsed="false">
      <c r="A147" s="0" t="s">
        <v>314</v>
      </c>
      <c r="B147" s="136"/>
      <c r="C147" s="136"/>
      <c r="D147" s="136" t="n">
        <f aca="false">B90*C154</f>
        <v>40.8571428571429</v>
      </c>
      <c r="E147" s="136" t="n">
        <f aca="false">C90*D154</f>
        <v>48.2931428571429</v>
      </c>
      <c r="F147" s="136" t="n">
        <f aca="false">D90*E154</f>
        <v>57.0824948571429</v>
      </c>
      <c r="G147" s="136" t="n">
        <f aca="false">E90*F154</f>
        <v>67.4715089211428</v>
      </c>
      <c r="H147" s="136" t="n">
        <f aca="false">F90*G154</f>
        <v>79.7513235447908</v>
      </c>
      <c r="I147" s="136" t="n">
        <f aca="false">G90*H154</f>
        <v>94.2660644299428</v>
      </c>
      <c r="J147" s="136" t="n">
        <f aca="false">H90*I154</f>
        <v>111.422488156192</v>
      </c>
      <c r="K147" s="136" t="n">
        <f aca="false">I90*J154</f>
        <v>98.7760357504645</v>
      </c>
      <c r="L147" s="136" t="n">
        <f aca="false">J90*K154</f>
        <v>109.670242285455</v>
      </c>
      <c r="M147" s="136" t="n">
        <f aca="false">K90*L154</f>
        <v>106.346076571429</v>
      </c>
      <c r="N147" s="136" t="n">
        <f aca="false">L90*M154</f>
        <v>95.9570625074286</v>
      </c>
      <c r="O147" s="136" t="n">
        <f aca="false">M90*N154</f>
        <v>83.6772478837806</v>
      </c>
      <c r="P147" s="136" t="n">
        <f aca="false">N90*O154</f>
        <v>69.1625069986287</v>
      </c>
      <c r="Q147" s="136" t="n">
        <f aca="false">O90*P154</f>
        <v>52.0060832723791</v>
      </c>
      <c r="R147" s="136" t="n">
        <f aca="false">P90*Q154</f>
        <v>23.7953928209641</v>
      </c>
      <c r="S147" s="136" t="n">
        <f aca="false">Q90*R154</f>
        <v>5.46518628597384</v>
      </c>
      <c r="T147" s="136" t="n">
        <f aca="false">R90*S154</f>
        <v>0</v>
      </c>
      <c r="U147" s="136" t="n">
        <f aca="false">S90*T154</f>
        <v>0</v>
      </c>
      <c r="V147" s="136" t="n">
        <f aca="false">T90*U154</f>
        <v>0</v>
      </c>
      <c r="W147" s="136" t="n">
        <f aca="false">U90*V154</f>
        <v>0</v>
      </c>
      <c r="X147" s="136" t="n">
        <f aca="false">V90*W154</f>
        <v>0</v>
      </c>
      <c r="Y147" s="136" t="n">
        <f aca="false">W90*X154</f>
        <v>0</v>
      </c>
      <c r="Z147" s="136" t="n">
        <f aca="false">X90*Y154</f>
        <v>0</v>
      </c>
      <c r="AA147" s="136" t="n">
        <f aca="false">Y90*Z154</f>
        <v>0</v>
      </c>
      <c r="AB147" s="136" t="n">
        <f aca="false">Z90*AA154</f>
        <v>0</v>
      </c>
      <c r="AC147" s="136" t="n">
        <f aca="false">AA90*AB154</f>
        <v>0</v>
      </c>
    </row>
    <row r="148" s="12" customFormat="true" ht="12.8" hidden="false" customHeight="false" outlineLevel="0" collapsed="false">
      <c r="A148" s="139" t="n">
        <v>1</v>
      </c>
      <c r="B148" s="139" t="n">
        <f aca="false">1/7*B$146</f>
        <v>163.428571428571</v>
      </c>
      <c r="C148" s="139" t="n">
        <f aca="false">1/7*C$146</f>
        <v>163.428571428571</v>
      </c>
      <c r="D148" s="139" t="n">
        <f aca="false">C154-D147</f>
        <v>122.571428571429</v>
      </c>
      <c r="E148" s="139" t="n">
        <f aca="false">D154-E147</f>
        <v>115.135428571429</v>
      </c>
      <c r="F148" s="139" t="n">
        <f aca="false">E154-F147</f>
        <v>106.346076571429</v>
      </c>
      <c r="G148" s="139" t="n">
        <f aca="false">F154-G147</f>
        <v>95.9570625074286</v>
      </c>
      <c r="H148" s="139" t="n">
        <f aca="false">G154-H147</f>
        <v>83.6772478837806</v>
      </c>
      <c r="I148" s="139" t="n">
        <f aca="false">H154-I147</f>
        <v>69.1625069986287</v>
      </c>
      <c r="J148" s="139" t="n">
        <f aca="false">I154-J147</f>
        <v>52.0060832723791</v>
      </c>
      <c r="K148" s="139" t="n">
        <f aca="false">J154-K147</f>
        <v>23.7953928209641</v>
      </c>
      <c r="L148" s="139" t="n">
        <f aca="false">K154-L147</f>
        <v>5.46518628597384</v>
      </c>
      <c r="M148" s="139" t="n">
        <f aca="false">L154-M147</f>
        <v>0</v>
      </c>
      <c r="N148" s="139" t="n">
        <f aca="false">M154-N147</f>
        <v>0</v>
      </c>
      <c r="O148" s="139" t="n">
        <f aca="false">N154-O147</f>
        <v>0</v>
      </c>
      <c r="P148" s="139" t="n">
        <f aca="false">O154-P147</f>
        <v>0</v>
      </c>
      <c r="Q148" s="139" t="n">
        <f aca="false">P154-Q147</f>
        <v>0</v>
      </c>
      <c r="R148" s="139" t="n">
        <f aca="false">Q154-R147</f>
        <v>0</v>
      </c>
      <c r="S148" s="139" t="n">
        <f aca="false">R154-S147</f>
        <v>0</v>
      </c>
      <c r="T148" s="139" t="n">
        <f aca="false">S154-T147</f>
        <v>0</v>
      </c>
      <c r="U148" s="139" t="n">
        <f aca="false">T154-U147</f>
        <v>0</v>
      </c>
      <c r="V148" s="139" t="n">
        <f aca="false">U154-V147</f>
        <v>0</v>
      </c>
      <c r="W148" s="139" t="n">
        <f aca="false">V154-W147</f>
        <v>0</v>
      </c>
      <c r="X148" s="139" t="n">
        <f aca="false">W154-X147</f>
        <v>0</v>
      </c>
      <c r="Y148" s="139" t="n">
        <f aca="false">X154-Y147</f>
        <v>0</v>
      </c>
      <c r="Z148" s="139" t="n">
        <f aca="false">Y154-Z147</f>
        <v>0</v>
      </c>
      <c r="AA148" s="139" t="n">
        <f aca="false">Z154-AA147</f>
        <v>0</v>
      </c>
      <c r="AB148" s="139" t="n">
        <f aca="false">AA154-AB147</f>
        <v>0</v>
      </c>
      <c r="AC148" s="139" t="n">
        <f aca="false">AB154-AC147</f>
        <v>0</v>
      </c>
    </row>
    <row r="149" s="12" customFormat="true" ht="12.8" hidden="false" customHeight="false" outlineLevel="0" collapsed="false">
      <c r="A149" s="139" t="n">
        <v>2</v>
      </c>
      <c r="B149" s="139" t="n">
        <f aca="false">1/7*B$146</f>
        <v>163.428571428571</v>
      </c>
      <c r="C149" s="139" t="n">
        <f aca="false">1/7*C$146</f>
        <v>163.428571428571</v>
      </c>
      <c r="D149" s="139" t="n">
        <f aca="false">C148</f>
        <v>163.428571428571</v>
      </c>
      <c r="E149" s="139" t="n">
        <f aca="false">D148</f>
        <v>122.571428571429</v>
      </c>
      <c r="F149" s="139" t="n">
        <f aca="false">E148</f>
        <v>115.135428571429</v>
      </c>
      <c r="G149" s="139" t="n">
        <f aca="false">F148</f>
        <v>106.346076571429</v>
      </c>
      <c r="H149" s="139" t="n">
        <f aca="false">G148</f>
        <v>95.9570625074286</v>
      </c>
      <c r="I149" s="139" t="n">
        <f aca="false">H148</f>
        <v>83.6772478837806</v>
      </c>
      <c r="J149" s="139" t="n">
        <f aca="false">I148</f>
        <v>69.1625069986287</v>
      </c>
      <c r="K149" s="139" t="n">
        <f aca="false">J148</f>
        <v>52.0060832723791</v>
      </c>
      <c r="L149" s="139" t="n">
        <f aca="false">K148</f>
        <v>23.7953928209641</v>
      </c>
      <c r="M149" s="139" t="n">
        <f aca="false">L148</f>
        <v>5.46518628597384</v>
      </c>
      <c r="N149" s="139" t="n">
        <f aca="false">M148</f>
        <v>0</v>
      </c>
      <c r="O149" s="139" t="n">
        <f aca="false">N148</f>
        <v>0</v>
      </c>
      <c r="P149" s="139" t="n">
        <f aca="false">O148</f>
        <v>0</v>
      </c>
      <c r="Q149" s="139" t="n">
        <f aca="false">P148</f>
        <v>0</v>
      </c>
      <c r="R149" s="139" t="n">
        <f aca="false">Q148</f>
        <v>0</v>
      </c>
      <c r="S149" s="139" t="n">
        <f aca="false">R148</f>
        <v>0</v>
      </c>
      <c r="T149" s="139" t="n">
        <f aca="false">S148</f>
        <v>0</v>
      </c>
      <c r="U149" s="139" t="n">
        <f aca="false">T148</f>
        <v>0</v>
      </c>
      <c r="V149" s="139" t="n">
        <f aca="false">U148</f>
        <v>0</v>
      </c>
      <c r="W149" s="139" t="n">
        <f aca="false">V148</f>
        <v>0</v>
      </c>
      <c r="X149" s="139" t="n">
        <f aca="false">W148</f>
        <v>0</v>
      </c>
      <c r="Y149" s="139" t="n">
        <f aca="false">X148</f>
        <v>0</v>
      </c>
      <c r="Z149" s="139" t="n">
        <f aca="false">Y148</f>
        <v>0</v>
      </c>
      <c r="AA149" s="139" t="n">
        <f aca="false">Z148</f>
        <v>0</v>
      </c>
      <c r="AB149" s="139" t="n">
        <f aca="false">AA148</f>
        <v>0</v>
      </c>
      <c r="AC149" s="139" t="n">
        <f aca="false">AB148</f>
        <v>0</v>
      </c>
    </row>
    <row r="150" s="12" customFormat="true" ht="12.8" hidden="false" customHeight="false" outlineLevel="0" collapsed="false">
      <c r="A150" s="139" t="n">
        <v>3</v>
      </c>
      <c r="B150" s="139" t="n">
        <f aca="false">1/7*B$146</f>
        <v>163.428571428571</v>
      </c>
      <c r="C150" s="139" t="n">
        <f aca="false">1/7*C$146</f>
        <v>163.428571428571</v>
      </c>
      <c r="D150" s="139" t="n">
        <f aca="false">C149</f>
        <v>163.428571428571</v>
      </c>
      <c r="E150" s="139" t="n">
        <f aca="false">D149</f>
        <v>163.428571428571</v>
      </c>
      <c r="F150" s="139" t="n">
        <f aca="false">E149</f>
        <v>122.571428571429</v>
      </c>
      <c r="G150" s="139" t="n">
        <f aca="false">F149</f>
        <v>115.135428571429</v>
      </c>
      <c r="H150" s="139" t="n">
        <f aca="false">G149</f>
        <v>106.346076571429</v>
      </c>
      <c r="I150" s="139" t="n">
        <f aca="false">H149</f>
        <v>95.9570625074286</v>
      </c>
      <c r="J150" s="139" t="n">
        <f aca="false">I149</f>
        <v>83.6772478837806</v>
      </c>
      <c r="K150" s="139" t="n">
        <f aca="false">J149</f>
        <v>69.1625069986287</v>
      </c>
      <c r="L150" s="139" t="n">
        <f aca="false">K149</f>
        <v>52.0060832723791</v>
      </c>
      <c r="M150" s="139" t="n">
        <f aca="false">L149</f>
        <v>23.7953928209641</v>
      </c>
      <c r="N150" s="139" t="n">
        <f aca="false">M149</f>
        <v>5.46518628597384</v>
      </c>
      <c r="O150" s="139" t="n">
        <f aca="false">N149</f>
        <v>0</v>
      </c>
      <c r="P150" s="139" t="n">
        <f aca="false">O149</f>
        <v>0</v>
      </c>
      <c r="Q150" s="139" t="n">
        <f aca="false">P149</f>
        <v>0</v>
      </c>
      <c r="R150" s="139" t="n">
        <f aca="false">Q149</f>
        <v>0</v>
      </c>
      <c r="S150" s="139" t="n">
        <f aca="false">R149</f>
        <v>0</v>
      </c>
      <c r="T150" s="139" t="n">
        <f aca="false">S149</f>
        <v>0</v>
      </c>
      <c r="U150" s="139" t="n">
        <f aca="false">T149</f>
        <v>0</v>
      </c>
      <c r="V150" s="139" t="n">
        <f aca="false">U149</f>
        <v>0</v>
      </c>
      <c r="W150" s="139" t="n">
        <f aca="false">V149</f>
        <v>0</v>
      </c>
      <c r="X150" s="139" t="n">
        <f aca="false">W149</f>
        <v>0</v>
      </c>
      <c r="Y150" s="139" t="n">
        <f aca="false">X149</f>
        <v>0</v>
      </c>
      <c r="Z150" s="139" t="n">
        <f aca="false">Y149</f>
        <v>0</v>
      </c>
      <c r="AA150" s="139" t="n">
        <f aca="false">Z149</f>
        <v>0</v>
      </c>
      <c r="AB150" s="139" t="n">
        <f aca="false">AA149</f>
        <v>0</v>
      </c>
      <c r="AC150" s="139" t="n">
        <f aca="false">AB149</f>
        <v>0</v>
      </c>
    </row>
    <row r="151" s="12" customFormat="true" ht="12.8" hidden="false" customHeight="false" outlineLevel="0" collapsed="false">
      <c r="A151" s="139" t="n">
        <v>4</v>
      </c>
      <c r="B151" s="139" t="n">
        <f aca="false">1/7*B$146</f>
        <v>163.428571428571</v>
      </c>
      <c r="C151" s="139" t="n">
        <f aca="false">1/7*C$146</f>
        <v>163.428571428571</v>
      </c>
      <c r="D151" s="139" t="n">
        <f aca="false">C150</f>
        <v>163.428571428571</v>
      </c>
      <c r="E151" s="139" t="n">
        <f aca="false">D150</f>
        <v>163.428571428571</v>
      </c>
      <c r="F151" s="139" t="n">
        <f aca="false">E150</f>
        <v>163.428571428571</v>
      </c>
      <c r="G151" s="139" t="n">
        <f aca="false">F150</f>
        <v>122.571428571429</v>
      </c>
      <c r="H151" s="139" t="n">
        <f aca="false">G150</f>
        <v>115.135428571429</v>
      </c>
      <c r="I151" s="139" t="n">
        <f aca="false">H150</f>
        <v>106.346076571429</v>
      </c>
      <c r="J151" s="139" t="n">
        <f aca="false">I150</f>
        <v>95.9570625074286</v>
      </c>
      <c r="K151" s="139" t="n">
        <f aca="false">J150</f>
        <v>83.6772478837806</v>
      </c>
      <c r="L151" s="139" t="n">
        <f aca="false">K150</f>
        <v>69.1625069986287</v>
      </c>
      <c r="M151" s="139" t="n">
        <f aca="false">L150</f>
        <v>52.0060832723791</v>
      </c>
      <c r="N151" s="139" t="n">
        <f aca="false">M150</f>
        <v>23.7953928209641</v>
      </c>
      <c r="O151" s="139" t="n">
        <f aca="false">N150</f>
        <v>5.46518628597384</v>
      </c>
      <c r="P151" s="139" t="n">
        <f aca="false">O150</f>
        <v>0</v>
      </c>
      <c r="Q151" s="139" t="n">
        <f aca="false">P150</f>
        <v>0</v>
      </c>
      <c r="R151" s="139" t="n">
        <f aca="false">Q150</f>
        <v>0</v>
      </c>
      <c r="S151" s="139" t="n">
        <f aca="false">R150</f>
        <v>0</v>
      </c>
      <c r="T151" s="139" t="n">
        <f aca="false">S150</f>
        <v>0</v>
      </c>
      <c r="U151" s="139" t="n">
        <f aca="false">T150</f>
        <v>0</v>
      </c>
      <c r="V151" s="139" t="n">
        <f aca="false">U150</f>
        <v>0</v>
      </c>
      <c r="W151" s="139" t="n">
        <f aca="false">V150</f>
        <v>0</v>
      </c>
      <c r="X151" s="139" t="n">
        <f aca="false">W150</f>
        <v>0</v>
      </c>
      <c r="Y151" s="139" t="n">
        <f aca="false">X150</f>
        <v>0</v>
      </c>
      <c r="Z151" s="139" t="n">
        <f aca="false">Y150</f>
        <v>0</v>
      </c>
      <c r="AA151" s="139" t="n">
        <f aca="false">Z150</f>
        <v>0</v>
      </c>
      <c r="AB151" s="139" t="n">
        <f aca="false">AA150</f>
        <v>0</v>
      </c>
      <c r="AC151" s="139" t="n">
        <f aca="false">AB150</f>
        <v>0</v>
      </c>
    </row>
    <row r="152" s="12" customFormat="true" ht="12.8" hidden="false" customHeight="false" outlineLevel="0" collapsed="false">
      <c r="A152" s="139" t="n">
        <v>5</v>
      </c>
      <c r="B152" s="139" t="n">
        <f aca="false">1/7*B$146</f>
        <v>163.428571428571</v>
      </c>
      <c r="C152" s="139" t="n">
        <f aca="false">1/7*C$146</f>
        <v>163.428571428571</v>
      </c>
      <c r="D152" s="139" t="n">
        <f aca="false">C151</f>
        <v>163.428571428571</v>
      </c>
      <c r="E152" s="139" t="n">
        <f aca="false">D151</f>
        <v>163.428571428571</v>
      </c>
      <c r="F152" s="139" t="n">
        <f aca="false">E151</f>
        <v>163.428571428571</v>
      </c>
      <c r="G152" s="139" t="n">
        <f aca="false">F151</f>
        <v>163.428571428571</v>
      </c>
      <c r="H152" s="139" t="n">
        <f aca="false">G151</f>
        <v>122.571428571429</v>
      </c>
      <c r="I152" s="139" t="n">
        <f aca="false">H151</f>
        <v>115.135428571429</v>
      </c>
      <c r="J152" s="139" t="n">
        <f aca="false">I151</f>
        <v>106.346076571429</v>
      </c>
      <c r="K152" s="139" t="n">
        <f aca="false">J151</f>
        <v>95.9570625074286</v>
      </c>
      <c r="L152" s="139" t="n">
        <f aca="false">K151</f>
        <v>83.6772478837806</v>
      </c>
      <c r="M152" s="139" t="n">
        <f aca="false">L151</f>
        <v>69.1625069986287</v>
      </c>
      <c r="N152" s="139" t="n">
        <f aca="false">M151</f>
        <v>52.0060832723791</v>
      </c>
      <c r="O152" s="139" t="n">
        <f aca="false">N151</f>
        <v>23.7953928209641</v>
      </c>
      <c r="P152" s="139" t="n">
        <f aca="false">O151</f>
        <v>5.46518628597384</v>
      </c>
      <c r="Q152" s="139" t="n">
        <f aca="false">P151</f>
        <v>0</v>
      </c>
      <c r="R152" s="139" t="n">
        <f aca="false">Q151</f>
        <v>0</v>
      </c>
      <c r="S152" s="139" t="n">
        <f aca="false">R151</f>
        <v>0</v>
      </c>
      <c r="T152" s="139" t="n">
        <f aca="false">S151</f>
        <v>0</v>
      </c>
      <c r="U152" s="139" t="n">
        <f aca="false">T151</f>
        <v>0</v>
      </c>
      <c r="V152" s="139" t="n">
        <f aca="false">U151</f>
        <v>0</v>
      </c>
      <c r="W152" s="139" t="n">
        <f aca="false">V151</f>
        <v>0</v>
      </c>
      <c r="X152" s="139" t="n">
        <f aca="false">W151</f>
        <v>0</v>
      </c>
      <c r="Y152" s="139" t="n">
        <f aca="false">X151</f>
        <v>0</v>
      </c>
      <c r="Z152" s="139" t="n">
        <f aca="false">Y151</f>
        <v>0</v>
      </c>
      <c r="AA152" s="139" t="n">
        <f aca="false">Z151</f>
        <v>0</v>
      </c>
      <c r="AB152" s="139" t="n">
        <f aca="false">AA151</f>
        <v>0</v>
      </c>
      <c r="AC152" s="139" t="n">
        <f aca="false">AB151</f>
        <v>0</v>
      </c>
    </row>
    <row r="153" s="12" customFormat="true" ht="12.8" hidden="false" customHeight="false" outlineLevel="0" collapsed="false">
      <c r="A153" s="139" t="n">
        <v>6</v>
      </c>
      <c r="B153" s="139" t="n">
        <f aca="false">1/7*B$146</f>
        <v>163.428571428571</v>
      </c>
      <c r="C153" s="139" t="n">
        <f aca="false">1/7*C$146</f>
        <v>163.428571428571</v>
      </c>
      <c r="D153" s="139" t="n">
        <f aca="false">C152</f>
        <v>163.428571428571</v>
      </c>
      <c r="E153" s="139" t="n">
        <f aca="false">D152</f>
        <v>163.428571428571</v>
      </c>
      <c r="F153" s="139" t="n">
        <f aca="false">E152</f>
        <v>163.428571428571</v>
      </c>
      <c r="G153" s="139" t="n">
        <f aca="false">F152</f>
        <v>163.428571428571</v>
      </c>
      <c r="H153" s="139" t="n">
        <f aca="false">G152</f>
        <v>163.428571428571</v>
      </c>
      <c r="I153" s="139" t="n">
        <f aca="false">H152</f>
        <v>122.571428571429</v>
      </c>
      <c r="J153" s="139" t="n">
        <f aca="false">I152</f>
        <v>115.135428571429</v>
      </c>
      <c r="K153" s="139" t="n">
        <f aca="false">J152</f>
        <v>106.346076571429</v>
      </c>
      <c r="L153" s="139" t="n">
        <f aca="false">K152</f>
        <v>95.9570625074286</v>
      </c>
      <c r="M153" s="139" t="n">
        <f aca="false">L152</f>
        <v>83.6772478837806</v>
      </c>
      <c r="N153" s="139" t="n">
        <f aca="false">M152</f>
        <v>69.1625069986287</v>
      </c>
      <c r="O153" s="139" t="n">
        <f aca="false">N152</f>
        <v>52.0060832723791</v>
      </c>
      <c r="P153" s="139" t="n">
        <f aca="false">O152</f>
        <v>23.7953928209641</v>
      </c>
      <c r="Q153" s="139" t="n">
        <f aca="false">P152</f>
        <v>5.46518628597384</v>
      </c>
      <c r="R153" s="139" t="n">
        <f aca="false">Q152</f>
        <v>0</v>
      </c>
      <c r="S153" s="139" t="n">
        <f aca="false">R152</f>
        <v>0</v>
      </c>
      <c r="T153" s="139" t="n">
        <f aca="false">S152</f>
        <v>0</v>
      </c>
      <c r="U153" s="139" t="n">
        <f aca="false">T152</f>
        <v>0</v>
      </c>
      <c r="V153" s="139" t="n">
        <f aca="false">U152</f>
        <v>0</v>
      </c>
      <c r="W153" s="139" t="n">
        <f aca="false">V152</f>
        <v>0</v>
      </c>
      <c r="X153" s="139" t="n">
        <f aca="false">W152</f>
        <v>0</v>
      </c>
      <c r="Y153" s="139" t="n">
        <f aca="false">X152</f>
        <v>0</v>
      </c>
      <c r="Z153" s="139" t="n">
        <f aca="false">Y152</f>
        <v>0</v>
      </c>
      <c r="AA153" s="139" t="n">
        <f aca="false">Z152</f>
        <v>0</v>
      </c>
      <c r="AB153" s="139" t="n">
        <f aca="false">AA152</f>
        <v>0</v>
      </c>
      <c r="AC153" s="139" t="n">
        <f aca="false">AB152</f>
        <v>0</v>
      </c>
    </row>
    <row r="154" s="12" customFormat="true" ht="12.8" hidden="false" customHeight="false" outlineLevel="0" collapsed="false">
      <c r="A154" s="139" t="n">
        <v>7</v>
      </c>
      <c r="B154" s="139" t="n">
        <f aca="false">1/7*B$146</f>
        <v>163.428571428571</v>
      </c>
      <c r="C154" s="139" t="n">
        <f aca="false">1/7*C$146</f>
        <v>163.428571428571</v>
      </c>
      <c r="D154" s="139" t="n">
        <f aca="false">C153</f>
        <v>163.428571428571</v>
      </c>
      <c r="E154" s="139" t="n">
        <f aca="false">D153</f>
        <v>163.428571428571</v>
      </c>
      <c r="F154" s="139" t="n">
        <f aca="false">E153</f>
        <v>163.428571428571</v>
      </c>
      <c r="G154" s="139" t="n">
        <f aca="false">F153</f>
        <v>163.428571428571</v>
      </c>
      <c r="H154" s="139" t="n">
        <f aca="false">G153</f>
        <v>163.428571428571</v>
      </c>
      <c r="I154" s="139" t="n">
        <f aca="false">H153</f>
        <v>163.428571428571</v>
      </c>
      <c r="J154" s="139" t="n">
        <f aca="false">I153</f>
        <v>122.571428571429</v>
      </c>
      <c r="K154" s="139" t="n">
        <f aca="false">J153</f>
        <v>115.135428571429</v>
      </c>
      <c r="L154" s="139" t="n">
        <f aca="false">K153</f>
        <v>106.346076571429</v>
      </c>
      <c r="M154" s="139" t="n">
        <f aca="false">L153</f>
        <v>95.9570625074286</v>
      </c>
      <c r="N154" s="139" t="n">
        <f aca="false">M153</f>
        <v>83.6772478837806</v>
      </c>
      <c r="O154" s="139" t="n">
        <f aca="false">N153</f>
        <v>69.1625069986287</v>
      </c>
      <c r="P154" s="139" t="n">
        <f aca="false">O153</f>
        <v>52.0060832723791</v>
      </c>
      <c r="Q154" s="139" t="n">
        <f aca="false">P153</f>
        <v>23.7953928209641</v>
      </c>
      <c r="R154" s="139" t="n">
        <f aca="false">Q153</f>
        <v>5.46518628597384</v>
      </c>
      <c r="S154" s="139" t="n">
        <f aca="false">R153</f>
        <v>0</v>
      </c>
      <c r="T154" s="139" t="n">
        <f aca="false">S153</f>
        <v>0</v>
      </c>
      <c r="U154" s="139" t="n">
        <f aca="false">T153</f>
        <v>0</v>
      </c>
      <c r="V154" s="139" t="n">
        <f aca="false">U153</f>
        <v>0</v>
      </c>
      <c r="W154" s="139" t="n">
        <f aca="false">V153</f>
        <v>0</v>
      </c>
      <c r="X154" s="139" t="n">
        <f aca="false">W153</f>
        <v>0</v>
      </c>
      <c r="Y154" s="139" t="n">
        <f aca="false">X153</f>
        <v>0</v>
      </c>
      <c r="Z154" s="139" t="n">
        <f aca="false">Y153</f>
        <v>0</v>
      </c>
      <c r="AA154" s="139" t="n">
        <f aca="false">Z153</f>
        <v>0</v>
      </c>
      <c r="AB154" s="139" t="n">
        <f aca="false">AA153</f>
        <v>0</v>
      </c>
      <c r="AC154" s="139" t="n">
        <f aca="false">AB153</f>
        <v>0</v>
      </c>
    </row>
    <row r="155" customFormat="false" ht="12.8" hidden="false" customHeight="false" outlineLevel="0" collapsed="false">
      <c r="A155" s="124"/>
      <c r="B155" s="130"/>
      <c r="C155" s="130"/>
      <c r="D155" s="130"/>
      <c r="E155" s="130"/>
      <c r="F155" s="130"/>
      <c r="G155" s="130"/>
      <c r="H155" s="130"/>
      <c r="I155" s="130"/>
      <c r="J155" s="130"/>
      <c r="K155" s="130"/>
      <c r="L155" s="130"/>
      <c r="M155" s="130"/>
      <c r="N155" s="130"/>
      <c r="O155" s="130"/>
      <c r="P155" s="130"/>
      <c r="Q155" s="130"/>
      <c r="R155" s="130"/>
      <c r="S155" s="130"/>
      <c r="T155" s="130"/>
      <c r="U155" s="130"/>
      <c r="V155" s="130"/>
      <c r="W155" s="130"/>
      <c r="X155" s="130"/>
      <c r="Y155" s="130"/>
      <c r="Z155" s="130"/>
      <c r="AA155" s="130"/>
      <c r="AB155" s="130"/>
      <c r="AC155" s="130"/>
    </row>
    <row r="156" customFormat="false" ht="12.8" hidden="false" customHeight="false" outlineLevel="0" collapsed="false">
      <c r="A156" s="124"/>
      <c r="B156" s="130"/>
      <c r="C156" s="130"/>
      <c r="D156" s="130"/>
      <c r="E156" s="130"/>
      <c r="F156" s="130"/>
      <c r="G156" s="130"/>
      <c r="H156" s="130"/>
      <c r="I156" s="130"/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</row>
    <row r="157" customFormat="false" ht="12.8" hidden="false" customHeight="false" outlineLevel="0" collapsed="false">
      <c r="A157" s="124"/>
      <c r="B157" s="130"/>
      <c r="C157" s="130"/>
      <c r="D157" s="130"/>
      <c r="E157" s="130"/>
      <c r="F157" s="130"/>
      <c r="G157" s="130"/>
      <c r="H157" s="130"/>
      <c r="I157" s="130"/>
      <c r="J157" s="130"/>
      <c r="K157" s="130"/>
      <c r="L157" s="130"/>
      <c r="M157" s="130"/>
      <c r="N157" s="130"/>
      <c r="O157" s="130"/>
      <c r="P157" s="130"/>
      <c r="Q157" s="130"/>
      <c r="R157" s="130"/>
      <c r="S157" s="130"/>
      <c r="T157" s="130"/>
      <c r="U157" s="130"/>
      <c r="V157" s="130"/>
      <c r="W157" s="130"/>
      <c r="X157" s="130"/>
      <c r="Y157" s="130"/>
      <c r="Z157" s="130"/>
      <c r="AA157" s="130"/>
      <c r="AB157" s="130"/>
      <c r="AC157" s="130"/>
    </row>
    <row r="158" customFormat="false" ht="12.8" hidden="false" customHeight="false" outlineLevel="0" collapsed="false">
      <c r="A158" s="124"/>
      <c r="B158" s="130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</row>
    <row r="159" customFormat="false" ht="12.8" hidden="false" customHeight="false" outlineLevel="0" collapsed="false">
      <c r="A159" s="124"/>
      <c r="B159" s="130"/>
      <c r="C159" s="130"/>
      <c r="D159" s="130"/>
      <c r="E159" s="130"/>
      <c r="F159" s="130"/>
      <c r="G159" s="130"/>
      <c r="H159" s="130"/>
      <c r="I159" s="130"/>
      <c r="J159" s="130"/>
      <c r="K159" s="130"/>
      <c r="L159" s="130"/>
      <c r="M159" s="130"/>
      <c r="N159" s="130"/>
      <c r="O159" s="130"/>
      <c r="P159" s="130"/>
      <c r="Q159" s="130"/>
      <c r="R159" s="130"/>
      <c r="S159" s="130"/>
      <c r="T159" s="130"/>
      <c r="U159" s="130"/>
      <c r="V159" s="130"/>
      <c r="W159" s="130"/>
      <c r="X159" s="130"/>
      <c r="Y159" s="130"/>
      <c r="Z159" s="130"/>
      <c r="AA159" s="130"/>
      <c r="AB159" s="130"/>
      <c r="AC159" s="130"/>
    </row>
    <row r="160" customFormat="false" ht="12.8" hidden="false" customHeight="false" outlineLevel="0" collapsed="false">
      <c r="A160" s="130" t="s">
        <v>318</v>
      </c>
      <c r="B160" s="1" t="s">
        <v>575</v>
      </c>
      <c r="C160" s="1" t="n">
        <v>2024</v>
      </c>
      <c r="D160" s="1" t="n">
        <v>2025</v>
      </c>
      <c r="E160" s="1" t="n">
        <v>2026</v>
      </c>
      <c r="F160" s="1" t="n">
        <v>2027</v>
      </c>
      <c r="G160" s="1" t="n">
        <v>2028</v>
      </c>
      <c r="H160" s="1" t="n">
        <v>2029</v>
      </c>
      <c r="I160" s="1" t="n">
        <v>2030</v>
      </c>
      <c r="J160" s="1" t="n">
        <v>2031</v>
      </c>
      <c r="K160" s="1" t="n">
        <v>2032</v>
      </c>
      <c r="L160" s="1" t="n">
        <v>2033</v>
      </c>
      <c r="M160" s="1" t="n">
        <v>2034</v>
      </c>
      <c r="N160" s="1" t="n">
        <v>2035</v>
      </c>
      <c r="O160" s="1" t="n">
        <v>2036</v>
      </c>
      <c r="P160" s="1" t="n">
        <v>2037</v>
      </c>
      <c r="Q160" s="1" t="n">
        <v>2038</v>
      </c>
      <c r="R160" s="1" t="n">
        <v>2039</v>
      </c>
      <c r="S160" s="1" t="n">
        <v>2040</v>
      </c>
      <c r="T160" s="1" t="n">
        <v>2041</v>
      </c>
      <c r="U160" s="1" t="n">
        <v>2042</v>
      </c>
      <c r="V160" s="1" t="n">
        <v>2043</v>
      </c>
      <c r="W160" s="1" t="n">
        <v>2044</v>
      </c>
      <c r="X160" s="1" t="n">
        <v>2045</v>
      </c>
      <c r="Y160" s="1" t="n">
        <v>2046</v>
      </c>
      <c r="Z160" s="1" t="n">
        <v>2047</v>
      </c>
      <c r="AA160" s="1" t="n">
        <v>2048</v>
      </c>
      <c r="AB160" s="1" t="n">
        <v>2049</v>
      </c>
      <c r="AC160" s="1" t="n">
        <v>2050</v>
      </c>
    </row>
    <row r="161" customFormat="false" ht="11.15" hidden="false" customHeight="true" outlineLevel="0" collapsed="false">
      <c r="A161" s="1" t="s">
        <v>37</v>
      </c>
      <c r="B161" s="1" t="n">
        <f aca="false">($B$30*$B$28)+($B$39*$B$42)</f>
        <v>71.3503343390438</v>
      </c>
      <c r="C161" s="1" t="n">
        <f aca="false">($B$30*$B$28)+($B$39*$B$42)</f>
        <v>71.3503343390438</v>
      </c>
      <c r="D161" s="1" t="n">
        <f aca="false">($B$30*$B$28)+($B$39*$B$42)</f>
        <v>71.3503343390438</v>
      </c>
      <c r="E161" s="1" t="n">
        <f aca="false">($B$30*$B$28)+($B$39*$B$42)</f>
        <v>71.3503343390438</v>
      </c>
      <c r="F161" s="1" t="n">
        <f aca="false">($B$30*$B$28)+($B$39*$B$42)</f>
        <v>71.3503343390438</v>
      </c>
      <c r="G161" s="1" t="n">
        <f aca="false">($B$30*$B$28)+($B$39*$B$42)</f>
        <v>71.3503343390438</v>
      </c>
      <c r="H161" s="1" t="n">
        <f aca="false">($B$30*$B$28)+($B$39*$B$42)</f>
        <v>71.3503343390438</v>
      </c>
      <c r="I161" s="1" t="n">
        <f aca="false">($B$161/$B$165)*I165</f>
        <v>71.0193835399051</v>
      </c>
      <c r="J161" s="1" t="n">
        <f aca="false">($B$161/$B$165)*J165</f>
        <v>70.931888805121</v>
      </c>
      <c r="K161" s="1" t="n">
        <f aca="false">($B$161/$B$165)*K165</f>
        <v>70.8300736573909</v>
      </c>
      <c r="L161" s="1" t="n">
        <f aca="false">($B$161/$B$165)*L165</f>
        <v>70.7112374504538</v>
      </c>
      <c r="M161" s="1" t="n">
        <f aca="false">($B$161/$B$165)*M165</f>
        <v>70.5721935693174</v>
      </c>
      <c r="N161" s="1" t="n">
        <f aca="false">($B$161/$B$165)*N165</f>
        <v>70.4091806575443</v>
      </c>
      <c r="O161" s="1" t="n">
        <f aca="false">($B$161/$B$165)*O165</f>
        <v>70.217757707104</v>
      </c>
      <c r="P161" s="1" t="n">
        <f aca="false">($B$161/$B$165)*P165</f>
        <v>69.9926800726488</v>
      </c>
      <c r="Q161" s="1" t="n">
        <f aca="false">($B$161/$B$165)*Q165</f>
        <v>69.7277529373957</v>
      </c>
      <c r="R161" s="1" t="n">
        <f aca="false">($B$161/$B$165)*R165</f>
        <v>69.4156581258071</v>
      </c>
      <c r="S161" s="1" t="n">
        <f aca="false">($B$161/$B$165)*S165</f>
        <v>69.047749411244</v>
      </c>
      <c r="T161" s="1" t="n">
        <f aca="false">($B$161/$B$165)*T165</f>
        <v>68.6138105837925</v>
      </c>
      <c r="U161" s="1" t="n">
        <f aca="false">($B$161/$B$165)*U165</f>
        <v>68.1017694997796</v>
      </c>
      <c r="V161" s="1" t="n">
        <f aca="false">($B$161/$B$165)*V165</f>
        <v>67.497360100862</v>
      </c>
      <c r="W161" s="1" t="n">
        <f aca="false">($B$161/$B$165)*W165</f>
        <v>66.7837229324104</v>
      </c>
      <c r="X161" s="1" t="n">
        <f aca="false">($B$161/$B$165)*X165</f>
        <v>65.9409329673654</v>
      </c>
      <c r="Y161" s="1" t="n">
        <f aca="false">($B$161/$B$165)*Y165</f>
        <v>64.945441504508</v>
      </c>
      <c r="Z161" s="1" t="n">
        <f aca="false">($B$161/$B$165)*Z165</f>
        <v>63.76941650207</v>
      </c>
      <c r="AA161" s="1" t="n">
        <f aca="false">($B$161/$B$165)*AA165</f>
        <v>62.3799628613385</v>
      </c>
      <c r="AB161" s="1" t="n">
        <f aca="false">($B$161/$B$165)*AB165</f>
        <v>61.0399318435051</v>
      </c>
      <c r="AC161" s="1" t="n">
        <f aca="false">($B$161/$B$165)*AC165</f>
        <v>59.7787261796618</v>
      </c>
    </row>
    <row r="162" customFormat="false" ht="12.8" hidden="false" customHeight="false" outlineLevel="0" collapsed="false">
      <c r="A162" s="1" t="s">
        <v>18</v>
      </c>
      <c r="B162" s="1" t="n">
        <f aca="false">$B$10</f>
        <v>114.460356578722</v>
      </c>
      <c r="C162" s="1" t="n">
        <f aca="false">$B$10</f>
        <v>114.460356578722</v>
      </c>
      <c r="D162" s="1" t="n">
        <f aca="false">$B$10</f>
        <v>114.460356578722</v>
      </c>
      <c r="E162" s="1" t="n">
        <f aca="false">$B$10</f>
        <v>114.460356578722</v>
      </c>
      <c r="F162" s="1" t="n">
        <f aca="false">$B$10</f>
        <v>114.460356578722</v>
      </c>
      <c r="G162" s="1" t="n">
        <f aca="false">$B$10</f>
        <v>114.460356578722</v>
      </c>
      <c r="H162" s="1" t="n">
        <f aca="false">$B$10</f>
        <v>114.460356578722</v>
      </c>
      <c r="I162" s="1" t="n">
        <f aca="false">$B$10</f>
        <v>114.460356578722</v>
      </c>
      <c r="J162" s="1" t="n">
        <f aca="false">$B$10</f>
        <v>114.460356578722</v>
      </c>
      <c r="K162" s="1" t="n">
        <f aca="false">$B$10</f>
        <v>114.460356578722</v>
      </c>
      <c r="L162" s="1" t="n">
        <f aca="false">$B$10</f>
        <v>114.460356578722</v>
      </c>
      <c r="M162" s="1" t="n">
        <f aca="false">$B$10</f>
        <v>114.460356578722</v>
      </c>
      <c r="N162" s="1" t="n">
        <f aca="false">$B$10</f>
        <v>114.460356578722</v>
      </c>
      <c r="O162" s="1" t="n">
        <f aca="false">$B$10</f>
        <v>114.460356578722</v>
      </c>
      <c r="P162" s="1" t="n">
        <f aca="false">$B$10</f>
        <v>114.460356578722</v>
      </c>
      <c r="Q162" s="1" t="n">
        <f aca="false">$B$10</f>
        <v>114.460356578722</v>
      </c>
      <c r="R162" s="1" t="n">
        <f aca="false">$B$10</f>
        <v>114.460356578722</v>
      </c>
      <c r="S162" s="1" t="n">
        <f aca="false">$B$10</f>
        <v>114.460356578722</v>
      </c>
      <c r="T162" s="1" t="n">
        <f aca="false">$B$10</f>
        <v>114.460356578722</v>
      </c>
      <c r="U162" s="1" t="n">
        <f aca="false">$B$10</f>
        <v>114.460356578722</v>
      </c>
      <c r="V162" s="1" t="n">
        <f aca="false">$B$10</f>
        <v>114.460356578722</v>
      </c>
      <c r="W162" s="1" t="n">
        <f aca="false">$B$10</f>
        <v>114.460356578722</v>
      </c>
      <c r="X162" s="1" t="n">
        <f aca="false">$B$10</f>
        <v>114.460356578722</v>
      </c>
      <c r="Y162" s="1" t="n">
        <f aca="false">$B$10</f>
        <v>114.460356578722</v>
      </c>
      <c r="Z162" s="1" t="n">
        <f aca="false">$B$10</f>
        <v>114.460356578722</v>
      </c>
      <c r="AA162" s="1" t="n">
        <f aca="false">$B$10</f>
        <v>114.460356578722</v>
      </c>
      <c r="AB162" s="1" t="n">
        <f aca="false">$B$10</f>
        <v>114.460356578722</v>
      </c>
      <c r="AC162" s="1" t="n">
        <f aca="false">$B$10</f>
        <v>114.460356578722</v>
      </c>
      <c r="AD162" s="1"/>
    </row>
    <row r="163" customFormat="false" ht="12.8" hidden="false" customHeight="false" outlineLevel="0" collapsed="false">
      <c r="A163" s="3" t="s">
        <v>39</v>
      </c>
      <c r="B163" s="1" t="n">
        <f aca="false">SUM(B161:B162)</f>
        <v>185.810690917766</v>
      </c>
      <c r="C163" s="1" t="n">
        <f aca="false">SUM(C161:C162)</f>
        <v>185.810690917766</v>
      </c>
      <c r="D163" s="1" t="n">
        <f aca="false">SUM(D161:D162)</f>
        <v>185.810690917766</v>
      </c>
      <c r="E163" s="1" t="n">
        <f aca="false">SUM(E161:E162)</f>
        <v>185.810690917766</v>
      </c>
      <c r="F163" s="1" t="n">
        <f aca="false">SUM(F161:F162)</f>
        <v>185.810690917766</v>
      </c>
      <c r="G163" s="1" t="n">
        <f aca="false">SUM(G161:G162)</f>
        <v>185.810690917766</v>
      </c>
      <c r="H163" s="1" t="n">
        <f aca="false">SUM(H161:H162)</f>
        <v>185.810690917766</v>
      </c>
      <c r="I163" s="1" t="n">
        <f aca="false">SUM(I161:I162)</f>
        <v>185.479740118627</v>
      </c>
      <c r="J163" s="1" t="n">
        <f aca="false">SUM(J161:J162)</f>
        <v>185.392245383843</v>
      </c>
      <c r="K163" s="1" t="n">
        <f aca="false">SUM(K161:K162)</f>
        <v>185.290430236113</v>
      </c>
      <c r="L163" s="1" t="n">
        <f aca="false">SUM(L161:L162)</f>
        <v>185.171594029176</v>
      </c>
      <c r="M163" s="1" t="n">
        <f aca="false">SUM(M161:M162)</f>
        <v>185.03255014804</v>
      </c>
      <c r="N163" s="1" t="n">
        <f aca="false">SUM(N161:N162)</f>
        <v>184.869537236267</v>
      </c>
      <c r="O163" s="1" t="n">
        <f aca="false">SUM(O161:O162)</f>
        <v>184.678114285826</v>
      </c>
      <c r="P163" s="1" t="n">
        <f aca="false">SUM(P161:P162)</f>
        <v>184.453036651371</v>
      </c>
      <c r="Q163" s="1" t="n">
        <f aca="false">SUM(Q161:Q162)</f>
        <v>184.188109516118</v>
      </c>
      <c r="R163" s="1" t="n">
        <f aca="false">SUM(R161:R162)</f>
        <v>183.876014704529</v>
      </c>
      <c r="S163" s="1" t="n">
        <f aca="false">SUM(S161:S162)</f>
        <v>183.508105989966</v>
      </c>
      <c r="T163" s="1" t="n">
        <f aca="false">SUM(T161:T162)</f>
        <v>183.074167162515</v>
      </c>
      <c r="U163" s="1" t="n">
        <f aca="false">SUM(U161:U162)</f>
        <v>182.562126078502</v>
      </c>
      <c r="V163" s="1" t="n">
        <f aca="false">SUM(V161:V162)</f>
        <v>181.957716679584</v>
      </c>
      <c r="W163" s="1" t="n">
        <f aca="false">SUM(W161:W162)</f>
        <v>181.244079511133</v>
      </c>
      <c r="X163" s="1" t="n">
        <f aca="false">SUM(X161:X162)</f>
        <v>180.401289546088</v>
      </c>
      <c r="Y163" s="1" t="n">
        <f aca="false">SUM(Y161:Y162)</f>
        <v>179.40579808323</v>
      </c>
      <c r="Z163" s="1" t="n">
        <f aca="false">SUM(Z161:Z162)</f>
        <v>178.229773080792</v>
      </c>
      <c r="AA163" s="1" t="n">
        <f aca="false">SUM(AA161:AA162)</f>
        <v>176.840319440061</v>
      </c>
      <c r="AB163" s="1" t="n">
        <f aca="false">SUM(AB161:AB162)</f>
        <v>175.500288422227</v>
      </c>
      <c r="AC163" s="1" t="n">
        <f aca="false">SUM(AC161:AC162)</f>
        <v>174.239082758384</v>
      </c>
      <c r="AD163" s="1"/>
    </row>
    <row r="164" customFormat="false" ht="12.8" hidden="false" customHeight="false" outlineLevel="0" collapsed="false">
      <c r="A164" s="1" t="s">
        <v>40</v>
      </c>
      <c r="B164" s="1" t="n">
        <f aca="false">($B$73*(1-B$93))+($B$79*B$93)</f>
        <v>1907.7</v>
      </c>
      <c r="C164" s="1" t="n">
        <f aca="false">($B$73*(1-C$93))+($B$79*C$93)</f>
        <v>1907.7</v>
      </c>
      <c r="D164" s="1" t="n">
        <f aca="false">($B$73*(1-D$93))+($B$79*D$93)</f>
        <v>1907.7</v>
      </c>
      <c r="E164" s="1" t="n">
        <f aca="false">($B$73*(1-E$93))+($B$79*E$93)</f>
        <v>1907.7</v>
      </c>
      <c r="F164" s="1" t="n">
        <f aca="false">($B$73*(1-F$93))+($B$79*F$93)</f>
        <v>1907.7</v>
      </c>
      <c r="G164" s="1" t="n">
        <f aca="false">($B$73*(1-G$93))+($B$79*G$93)</f>
        <v>1907.7</v>
      </c>
      <c r="H164" s="1" t="n">
        <f aca="false">($B$73*(1-H$93))+($B$79*H$93)</f>
        <v>1907.7</v>
      </c>
      <c r="I164" s="1" t="n">
        <f aca="false">($B$73*(1-I$93))+($B$79*I$93)</f>
        <v>1903.41158654723</v>
      </c>
      <c r="J164" s="1" t="n">
        <f aca="false">($B$73*(1-J$93))+($B$79*J$93)</f>
        <v>1902.55390385668</v>
      </c>
      <c r="K164" s="1" t="n">
        <f aca="false">($B$73*(1-K$93))+($B$79*K$93)</f>
        <v>1901.52468462801</v>
      </c>
      <c r="L164" s="1" t="n">
        <f aca="false">($B$73*(1-L$93))+($B$79*L$93)</f>
        <v>1900.28962155362</v>
      </c>
      <c r="M164" s="1" t="n">
        <f aca="false">($B$73*(1-M$93))+($B$79*M$93)</f>
        <v>1898.80754586434</v>
      </c>
      <c r="N164" s="1" t="n">
        <f aca="false">($B$73*(1-N$93))+($B$79*N$93)</f>
        <v>1897.02905503721</v>
      </c>
      <c r="O164" s="1" t="n">
        <f aca="false">($B$73*(1-O$93))+($B$79*O$93)</f>
        <v>1896.06866999056</v>
      </c>
      <c r="P164" s="1" t="n">
        <f aca="false">($B$73*(1-P$93))+($B$79*P$93)</f>
        <v>1895.02185028971</v>
      </c>
      <c r="Q164" s="1" t="n">
        <f aca="false">($B$73*(1-Q$93))+($B$79*Q$93)</f>
        <v>1893.88081681578</v>
      </c>
      <c r="R164" s="1" t="n">
        <f aca="false">($B$73*(1-R$93))+($B$79*R$93)</f>
        <v>1892.6370903292</v>
      </c>
      <c r="S164" s="1" t="n">
        <f aca="false">($B$73*(1-S$93))+($B$79*S$93)</f>
        <v>1891.28142845883</v>
      </c>
      <c r="T164" s="1" t="n">
        <f aca="false">($B$73*(1-T$93))+($B$79*T$93)</f>
        <v>1889.80375702012</v>
      </c>
      <c r="U164" s="1" t="n">
        <f aca="false">($B$73*(1-U$93))+($B$79*U$93)</f>
        <v>1888.19309515194</v>
      </c>
      <c r="V164" s="1" t="n">
        <f aca="false">($B$73*(1-V$93))+($B$79*V$93)</f>
        <v>1886.43747371561</v>
      </c>
      <c r="W164" s="1" t="n">
        <f aca="false">($B$73*(1-W$93))+($B$79*W$93)</f>
        <v>1884.52384635002</v>
      </c>
      <c r="X164" s="1" t="n">
        <f aca="false">($B$73*(1-X$93))+($B$79*X$93)</f>
        <v>1882.43799252152</v>
      </c>
      <c r="Y164" s="1" t="n">
        <f aca="false">($B$73*(1-Y$93))+($B$79*Y$93)</f>
        <v>1880.16441184845</v>
      </c>
      <c r="Z164" s="1" t="n">
        <f aca="false">($B$73*(1-Z$93))+($B$79*Z$93)</f>
        <v>1877.68620891481</v>
      </c>
      <c r="AA164" s="1" t="n">
        <f aca="false">($B$73*(1-AA$93))+($B$79*AA$93)</f>
        <v>1874.98496771715</v>
      </c>
      <c r="AB164" s="1" t="n">
        <f aca="false">($B$73*(1-AB$93))+($B$79*AB$93)</f>
        <v>1872.04061481169</v>
      </c>
      <c r="AC164" s="1" t="n">
        <f aca="false">($B$73*(1-AC$93))+($B$79*AC$93)</f>
        <v>1868.83127014474</v>
      </c>
    </row>
    <row r="165" customFormat="false" ht="12.8" hidden="false" customHeight="false" outlineLevel="0" collapsed="false">
      <c r="A165" s="1" t="s">
        <v>41</v>
      </c>
      <c r="B165" s="1" t="n">
        <f aca="false">($C$57*(1-B$100))+($C$58*B$100)</f>
        <v>8018.82390447805</v>
      </c>
      <c r="C165" s="1" t="n">
        <f aca="false">($C$57*(1-C$100))+($C$58*C$100)</f>
        <v>8018.82390447805</v>
      </c>
      <c r="D165" s="1" t="n">
        <f aca="false">($C$57*(1-D$100))+($C$58*D$100)</f>
        <v>8014.41590980821</v>
      </c>
      <c r="E165" s="1" t="n">
        <f aca="false">($C$57*(1-E$100))+($C$58*E$100)</f>
        <v>8009.46495391256</v>
      </c>
      <c r="F165" s="1" t="n">
        <f aca="false">($C$57*(1-F$100))+($C$58*F$100)</f>
        <v>8003.8569652713</v>
      </c>
      <c r="G165" s="1" t="n">
        <f aca="false">($C$57*(1-G$100))+($C$58*G$100)</f>
        <v>7997.45800855841</v>
      </c>
      <c r="H165" s="1" t="n">
        <f aca="false">($C$57*(1-H$100))+($C$58*H$100)</f>
        <v>7990.11061665185</v>
      </c>
      <c r="I165" s="1" t="n">
        <f aca="false">($C$57*(1-I$100))+($C$58*I$100)</f>
        <v>7981.62945817413</v>
      </c>
      <c r="J165" s="1" t="n">
        <f aca="false">($C$57*(1-J$100))+($C$58*J$100)</f>
        <v>7971.79621944719</v>
      </c>
      <c r="K165" s="1" t="n">
        <f aca="false">($C$57*(1-K$100))+($C$58*K$100)</f>
        <v>7960.35355771311</v>
      </c>
      <c r="L165" s="1" t="n">
        <f aca="false">($C$57*(1-L$100))+($C$58*L$100)</f>
        <v>7946.99795642921</v>
      </c>
      <c r="M165" s="1" t="n">
        <f aca="false">($C$57*(1-M$100))+($C$58*M$100)</f>
        <v>7931.37128266297</v>
      </c>
      <c r="N165" s="1" t="n">
        <f aca="false">($C$57*(1-N$100))+($C$58*N$100)</f>
        <v>7913.05081022548</v>
      </c>
      <c r="O165" s="1" t="n">
        <f aca="false">($C$57*(1-O$100))+($C$58*O$100)</f>
        <v>7891.53742917302</v>
      </c>
      <c r="P165" s="1" t="n">
        <f aca="false">($C$57*(1-P$100))+($C$58*P$100)</f>
        <v>7866.24171146893</v>
      </c>
      <c r="Q165" s="1" t="n">
        <f aca="false">($C$57*(1-Q$100))+($C$58*Q$100)</f>
        <v>7836.46744250731</v>
      </c>
      <c r="R165" s="1" t="n">
        <f aca="false">($C$57*(1-R$100))+($C$58*R$100)</f>
        <v>7801.39215717314</v>
      </c>
      <c r="S165" s="1" t="n">
        <f aca="false">($C$57*(1-S$100))+($C$58*S$100)</f>
        <v>7760.04413515848</v>
      </c>
      <c r="T165" s="1" t="n">
        <f aca="false">($C$57*(1-T$100))+($C$58*T$100)</f>
        <v>7711.27521101981</v>
      </c>
      <c r="U165" s="1" t="n">
        <f aca="false">($C$57*(1-U$100))+($C$58*U$100)</f>
        <v>7653.72863716569</v>
      </c>
      <c r="V165" s="1" t="n">
        <f aca="false">($C$57*(1-V$100))+($C$58*V$100)</f>
        <v>7585.80109931982</v>
      </c>
      <c r="W165" s="1" t="n">
        <f aca="false">($C$57*(1-W$100))+($C$58*W$100)</f>
        <v>7505.59782012688</v>
      </c>
      <c r="X165" s="1" t="n">
        <f aca="false">($C$57*(1-X$100))+($C$58*X$100)</f>
        <v>7410.87949286518</v>
      </c>
      <c r="Y165" s="1" t="n">
        <f aca="false">($C$57*(1-Y$100))+($C$58*Y$100)</f>
        <v>7298.99955827185</v>
      </c>
      <c r="Z165" s="1" t="n">
        <f aca="false">($C$57*(1-Z$100))+($C$58*Z$100)</f>
        <v>7166.83006685781</v>
      </c>
      <c r="AA165" s="1" t="n">
        <f aca="false">($C$57*(1-AA$100))+($C$58*AA$100)</f>
        <v>7010.67404920667</v>
      </c>
      <c r="AB165" s="1" t="n">
        <f aca="false">($C$57*(1-AB$100))+($C$58*AB$100)</f>
        <v>6860.07247378189</v>
      </c>
      <c r="AC165" s="1" t="n">
        <f aca="false">($C$57*(1-AC$100))+($C$58*AC$100)</f>
        <v>6718.32981455856</v>
      </c>
    </row>
    <row r="166" customFormat="false" ht="12.8" hidden="false" customHeight="false" outlineLevel="0" collapsed="false">
      <c r="A166" s="1" t="s">
        <v>20</v>
      </c>
      <c r="B166" s="1" t="n">
        <f aca="false">SUM(B161:B165)</f>
        <v>10298.1452863136</v>
      </c>
      <c r="C166" s="1" t="n">
        <f aca="false">SUM(C161:C165)</f>
        <v>10298.1452863136</v>
      </c>
      <c r="D166" s="1" t="n">
        <f aca="false">SUM(D161:D165)</f>
        <v>10293.7372916437</v>
      </c>
      <c r="E166" s="1" t="n">
        <f aca="false">SUM(E161:E165)</f>
        <v>10288.7863357481</v>
      </c>
      <c r="F166" s="1" t="n">
        <f aca="false">SUM(F161:F165)</f>
        <v>10283.1783471068</v>
      </c>
      <c r="G166" s="1" t="n">
        <f aca="false">SUM(G161:G165)</f>
        <v>10276.7793903939</v>
      </c>
      <c r="H166" s="1" t="n">
        <f aca="false">SUM(H161:H165)</f>
        <v>10269.4319984874</v>
      </c>
      <c r="I166" s="1" t="n">
        <f aca="false">SUM(I161:I165)</f>
        <v>10256.0005249586</v>
      </c>
      <c r="J166" s="1" t="n">
        <f aca="false">SUM(J161:J165)</f>
        <v>10245.1346140716</v>
      </c>
      <c r="K166" s="1" t="n">
        <f aca="false">SUM(K161:K165)</f>
        <v>10232.4591028133</v>
      </c>
      <c r="L166" s="1" t="n">
        <f aca="false">SUM(L161:L165)</f>
        <v>10217.6307660412</v>
      </c>
      <c r="M166" s="1" t="n">
        <f aca="false">SUM(M161:M165)</f>
        <v>10200.2439288234</v>
      </c>
      <c r="N166" s="1" t="n">
        <f aca="false">SUM(N161:N165)</f>
        <v>10179.8189397352</v>
      </c>
      <c r="O166" s="1" t="n">
        <f aca="false">SUM(O161:O165)</f>
        <v>10156.9623277352</v>
      </c>
      <c r="P166" s="1" t="n">
        <f aca="false">SUM(P161:P165)</f>
        <v>10130.1696350614</v>
      </c>
      <c r="Q166" s="1" t="n">
        <f aca="false">SUM(Q161:Q165)</f>
        <v>10098.7244783553</v>
      </c>
      <c r="R166" s="1" t="n">
        <f aca="false">SUM(R161:R165)</f>
        <v>10061.7812769114</v>
      </c>
      <c r="S166" s="1" t="n">
        <f aca="false">SUM(S161:S165)</f>
        <v>10018.3417755972</v>
      </c>
      <c r="T166" s="1" t="n">
        <f aca="false">SUM(T161:T165)</f>
        <v>9967.22730236496</v>
      </c>
      <c r="U166" s="1" t="n">
        <f aca="false">SUM(U161:U165)</f>
        <v>9907.04598447463</v>
      </c>
      <c r="V166" s="1" t="n">
        <f aca="false">SUM(V161:V165)</f>
        <v>9836.1540063946</v>
      </c>
      <c r="W166" s="1" t="n">
        <f aca="false">SUM(W161:W165)</f>
        <v>9752.60982549916</v>
      </c>
      <c r="X166" s="1" t="n">
        <f aca="false">SUM(X161:X165)</f>
        <v>9654.12006447887</v>
      </c>
      <c r="Y166" s="1" t="n">
        <f aca="false">SUM(Y161:Y165)</f>
        <v>9537.97556628676</v>
      </c>
      <c r="Z166" s="1" t="n">
        <f aca="false">SUM(Z161:Z165)</f>
        <v>9400.9758219342</v>
      </c>
      <c r="AA166" s="1" t="n">
        <f aca="false">SUM(AA161:AA165)</f>
        <v>9239.33965580394</v>
      </c>
      <c r="AB166" s="1" t="n">
        <f aca="false">SUM(AB161:AB165)</f>
        <v>9083.11366543803</v>
      </c>
      <c r="AC166" s="1" t="n">
        <f aca="false">SUM(AC161:AC165)</f>
        <v>8935.63925022007</v>
      </c>
    </row>
    <row r="168" customFormat="false" ht="12.8" hidden="false" customHeight="false" outlineLevel="0" collapsed="false">
      <c r="A168" s="1" t="s">
        <v>319</v>
      </c>
      <c r="B168" s="1" t="s">
        <v>575</v>
      </c>
      <c r="C168" s="1" t="n">
        <v>2024</v>
      </c>
      <c r="D168" s="1" t="n">
        <v>2025</v>
      </c>
      <c r="E168" s="1" t="n">
        <v>2026</v>
      </c>
      <c r="F168" s="1" t="n">
        <v>2027</v>
      </c>
      <c r="G168" s="1" t="n">
        <v>2028</v>
      </c>
      <c r="H168" s="1" t="n">
        <v>2029</v>
      </c>
      <c r="I168" s="1" t="n">
        <v>2030</v>
      </c>
      <c r="J168" s="1" t="n">
        <v>2031</v>
      </c>
      <c r="K168" s="1" t="n">
        <v>2032</v>
      </c>
      <c r="L168" s="1" t="n">
        <v>2033</v>
      </c>
      <c r="M168" s="1" t="n">
        <v>2034</v>
      </c>
      <c r="N168" s="1" t="n">
        <v>2035</v>
      </c>
      <c r="O168" s="1" t="n">
        <v>2036</v>
      </c>
      <c r="P168" s="1" t="n">
        <v>2037</v>
      </c>
      <c r="Q168" s="1" t="n">
        <v>2038</v>
      </c>
      <c r="R168" s="1" t="n">
        <v>2039</v>
      </c>
      <c r="S168" s="1" t="n">
        <v>2040</v>
      </c>
      <c r="T168" s="1" t="n">
        <v>2041</v>
      </c>
      <c r="U168" s="1" t="n">
        <v>2042</v>
      </c>
      <c r="V168" s="1" t="n">
        <v>2043</v>
      </c>
      <c r="W168" s="1" t="n">
        <v>2044</v>
      </c>
      <c r="X168" s="1" t="n">
        <v>2045</v>
      </c>
      <c r="Y168" s="1" t="n">
        <v>2046</v>
      </c>
      <c r="Z168" s="1" t="n">
        <v>2047</v>
      </c>
      <c r="AA168" s="1" t="n">
        <v>2048</v>
      </c>
      <c r="AB168" s="1" t="n">
        <v>2049</v>
      </c>
      <c r="AC168" s="1" t="n">
        <v>2050</v>
      </c>
    </row>
    <row r="169" customFormat="false" ht="12.8" hidden="false" customHeight="false" outlineLevel="0" collapsed="false">
      <c r="A169" s="1" t="s">
        <v>37</v>
      </c>
      <c r="B169" s="1" t="n">
        <f aca="false">($B$30*$B$28)+($B$39*$B$42)</f>
        <v>71.3503343390438</v>
      </c>
      <c r="C169" s="1" t="n">
        <f aca="false">($B$30*$B$28)+($B$39*$B$42)</f>
        <v>71.3503343390438</v>
      </c>
      <c r="D169" s="1" t="n">
        <f aca="false">($B$30*$B$33)+($B$44*$B$47)</f>
        <v>2.50068859197704</v>
      </c>
      <c r="E169" s="1" t="n">
        <f aca="false">($B$30*$B$33)+($B$44*$B$47)</f>
        <v>2.50068859197704</v>
      </c>
      <c r="F169" s="1" t="n">
        <f aca="false">($B$30*$B$33)+($B$44*$B$47)</f>
        <v>2.50068859197704</v>
      </c>
      <c r="G169" s="1" t="n">
        <f aca="false">($B$30*$B$33)+($B$44*$B$47)</f>
        <v>2.50068859197704</v>
      </c>
      <c r="H169" s="1" t="n">
        <f aca="false">($B$30*$B$33)+($B$44*$B$47)</f>
        <v>2.50068859197704</v>
      </c>
      <c r="I169" s="1" t="n">
        <f aca="false">($B$30*$B$33)+($B$44*$B$47)</f>
        <v>2.50068859197704</v>
      </c>
      <c r="J169" s="1" t="n">
        <f aca="false">($B$30*$B$33)+($B$44*$B$47)</f>
        <v>2.50068859197704</v>
      </c>
      <c r="K169" s="1" t="n">
        <f aca="false">($B$30*$B$33)+($B$44*$B$47)</f>
        <v>2.50068859197704</v>
      </c>
      <c r="L169" s="1" t="n">
        <f aca="false">$K169*0.9</f>
        <v>2.25061973277934</v>
      </c>
      <c r="M169" s="1" t="n">
        <f aca="false">L169</f>
        <v>2.25061973277934</v>
      </c>
      <c r="N169" s="1" t="n">
        <f aca="false">M169</f>
        <v>2.25061973277934</v>
      </c>
      <c r="O169" s="1" t="n">
        <f aca="false">N169</f>
        <v>2.25061973277934</v>
      </c>
      <c r="P169" s="1" t="n">
        <f aca="false">O169</f>
        <v>2.25061973277934</v>
      </c>
      <c r="Q169" s="1" t="n">
        <f aca="false">P169</f>
        <v>2.25061973277934</v>
      </c>
      <c r="R169" s="1" t="n">
        <f aca="false">Q169</f>
        <v>2.25061973277934</v>
      </c>
      <c r="S169" s="1" t="n">
        <f aca="false">$L169*0.9</f>
        <v>2.0255577595014</v>
      </c>
      <c r="T169" s="1" t="n">
        <f aca="false">S169</f>
        <v>2.0255577595014</v>
      </c>
      <c r="U169" s="1" t="n">
        <f aca="false">T169</f>
        <v>2.0255577595014</v>
      </c>
      <c r="V169" s="1" t="n">
        <f aca="false">U169</f>
        <v>2.0255577595014</v>
      </c>
      <c r="W169" s="1" t="n">
        <f aca="false">V169</f>
        <v>2.0255577595014</v>
      </c>
      <c r="X169" s="1" t="n">
        <f aca="false">W169</f>
        <v>2.0255577595014</v>
      </c>
      <c r="Y169" s="1" t="n">
        <f aca="false">X169</f>
        <v>2.0255577595014</v>
      </c>
      <c r="Z169" s="1" t="n">
        <f aca="false">$S169*0.9</f>
        <v>1.82300198355126</v>
      </c>
      <c r="AA169" s="1" t="n">
        <f aca="false">Z169</f>
        <v>1.82300198355126</v>
      </c>
      <c r="AB169" s="1" t="n">
        <f aca="false">$S169*0.9</f>
        <v>1.82300198355126</v>
      </c>
      <c r="AC169" s="1" t="n">
        <f aca="false">$S169*0.9</f>
        <v>1.82300198355126</v>
      </c>
    </row>
    <row r="170" customFormat="false" ht="12.8" hidden="false" customHeight="false" outlineLevel="0" collapsed="false">
      <c r="A170" s="1" t="s">
        <v>18</v>
      </c>
      <c r="B170" s="1" t="n">
        <f aca="false">$B$10</f>
        <v>114.460356578722</v>
      </c>
      <c r="C170" s="1" t="n">
        <f aca="false">$B$10</f>
        <v>114.460356578722</v>
      </c>
      <c r="D170" s="1" t="n">
        <f aca="false">$B$10</f>
        <v>114.460356578722</v>
      </c>
      <c r="E170" s="1" t="n">
        <f aca="false">($B$18*0.25)+($B$10*0.75)</f>
        <v>85.8452674340417</v>
      </c>
      <c r="F170" s="141" t="n">
        <f aca="false">$B$18</f>
        <v>0</v>
      </c>
      <c r="G170" s="141" t="n">
        <f aca="false">$B$18</f>
        <v>0</v>
      </c>
      <c r="H170" s="141" t="n">
        <f aca="false">$B$18</f>
        <v>0</v>
      </c>
      <c r="I170" s="141" t="n">
        <f aca="false">$B$18</f>
        <v>0</v>
      </c>
      <c r="J170" s="141" t="n">
        <f aca="false">$B$18</f>
        <v>0</v>
      </c>
      <c r="K170" s="141" t="n">
        <f aca="false">$B$18</f>
        <v>0</v>
      </c>
      <c r="L170" s="141" t="n">
        <f aca="false">$B$18</f>
        <v>0</v>
      </c>
      <c r="M170" s="141" t="n">
        <f aca="false">$B$18</f>
        <v>0</v>
      </c>
      <c r="N170" s="141" t="n">
        <f aca="false">$B$18</f>
        <v>0</v>
      </c>
      <c r="O170" s="141" t="n">
        <f aca="false">$B$18</f>
        <v>0</v>
      </c>
      <c r="P170" s="141" t="n">
        <f aca="false">$B$18</f>
        <v>0</v>
      </c>
      <c r="Q170" s="141" t="n">
        <f aca="false">$B$18</f>
        <v>0</v>
      </c>
      <c r="R170" s="141" t="n">
        <f aca="false">$B$18</f>
        <v>0</v>
      </c>
      <c r="S170" s="141" t="n">
        <f aca="false">$B$18</f>
        <v>0</v>
      </c>
      <c r="T170" s="141" t="n">
        <f aca="false">$B$18</f>
        <v>0</v>
      </c>
      <c r="U170" s="141" t="n">
        <f aca="false">$B$18</f>
        <v>0</v>
      </c>
      <c r="V170" s="141" t="n">
        <f aca="false">$B$18</f>
        <v>0</v>
      </c>
      <c r="W170" s="141" t="n">
        <f aca="false">$B$18</f>
        <v>0</v>
      </c>
      <c r="X170" s="141" t="n">
        <f aca="false">$B$18</f>
        <v>0</v>
      </c>
      <c r="Y170" s="141" t="n">
        <f aca="false">$B$18</f>
        <v>0</v>
      </c>
      <c r="Z170" s="141" t="n">
        <f aca="false">$B$18</f>
        <v>0</v>
      </c>
      <c r="AA170" s="141" t="n">
        <f aca="false">$B$18</f>
        <v>0</v>
      </c>
      <c r="AB170" s="141" t="n">
        <f aca="false">$B$18</f>
        <v>0</v>
      </c>
      <c r="AC170" s="141" t="n">
        <f aca="false">$B$18</f>
        <v>0</v>
      </c>
      <c r="AD170" s="1"/>
    </row>
    <row r="171" customFormat="false" ht="12.8" hidden="false" customHeight="false" outlineLevel="0" collapsed="false">
      <c r="A171" s="3" t="s">
        <v>39</v>
      </c>
      <c r="B171" s="1" t="n">
        <f aca="false">SUM(B169:B170)</f>
        <v>185.810690917766</v>
      </c>
      <c r="C171" s="1" t="n">
        <f aca="false">SUM(C169:C170)</f>
        <v>185.810690917766</v>
      </c>
      <c r="D171" s="1" t="n">
        <f aca="false">SUM(D169:D170)</f>
        <v>116.961045170699</v>
      </c>
      <c r="E171" s="1" t="n">
        <f aca="false">SUM(E169:E170)</f>
        <v>88.3459560260187</v>
      </c>
      <c r="F171" s="1" t="n">
        <f aca="false">SUM(F169:F170)</f>
        <v>2.50068859197704</v>
      </c>
      <c r="G171" s="1" t="n">
        <f aca="false">SUM(G169:G170)</f>
        <v>2.50068859197704</v>
      </c>
      <c r="H171" s="1" t="n">
        <f aca="false">SUM(H169:H170)</f>
        <v>2.50068859197704</v>
      </c>
      <c r="I171" s="1" t="n">
        <f aca="false">SUM(I169:I170)</f>
        <v>2.50068859197704</v>
      </c>
      <c r="J171" s="1" t="n">
        <f aca="false">SUM(J169:J170)</f>
        <v>2.50068859197704</v>
      </c>
      <c r="K171" s="1" t="n">
        <f aca="false">SUM(K169:K170)</f>
        <v>2.50068859197704</v>
      </c>
      <c r="L171" s="1" t="n">
        <f aca="false">SUM(L169:L170)</f>
        <v>2.25061973277934</v>
      </c>
      <c r="M171" s="1" t="n">
        <f aca="false">SUM(M169:M170)</f>
        <v>2.25061973277934</v>
      </c>
      <c r="N171" s="1" t="n">
        <f aca="false">SUM(N169:N170)</f>
        <v>2.25061973277934</v>
      </c>
      <c r="O171" s="1" t="n">
        <f aca="false">SUM(O169:O170)</f>
        <v>2.25061973277934</v>
      </c>
      <c r="P171" s="1" t="n">
        <f aca="false">SUM(P169:P170)</f>
        <v>2.25061973277934</v>
      </c>
      <c r="Q171" s="1" t="n">
        <f aca="false">SUM(Q169:Q170)</f>
        <v>2.25061973277934</v>
      </c>
      <c r="R171" s="1" t="n">
        <f aca="false">SUM(R169:R170)</f>
        <v>2.25061973277934</v>
      </c>
      <c r="S171" s="1" t="n">
        <f aca="false">SUM(S169:S170)</f>
        <v>2.0255577595014</v>
      </c>
      <c r="T171" s="1" t="n">
        <f aca="false">SUM(T169:T170)</f>
        <v>2.0255577595014</v>
      </c>
      <c r="U171" s="1" t="n">
        <f aca="false">SUM(U169:U170)</f>
        <v>2.0255577595014</v>
      </c>
      <c r="V171" s="1" t="n">
        <f aca="false">SUM(V169:V170)</f>
        <v>2.0255577595014</v>
      </c>
      <c r="W171" s="1" t="n">
        <f aca="false">SUM(W169:W170)</f>
        <v>2.0255577595014</v>
      </c>
      <c r="X171" s="1" t="n">
        <f aca="false">SUM(X169:X170)</f>
        <v>2.0255577595014</v>
      </c>
      <c r="Y171" s="1" t="n">
        <f aca="false">SUM(Y169:Y170)</f>
        <v>2.0255577595014</v>
      </c>
      <c r="Z171" s="1" t="n">
        <f aca="false">SUM(Z169:Z170)</f>
        <v>1.82300198355126</v>
      </c>
      <c r="AA171" s="1" t="n">
        <f aca="false">SUM(AA169:AA170)</f>
        <v>1.82300198355126</v>
      </c>
      <c r="AB171" s="1" t="n">
        <f aca="false">SUM(AB169:AB170)</f>
        <v>1.82300198355126</v>
      </c>
      <c r="AC171" s="1" t="n">
        <f aca="false">SUM(AC169:AC170)</f>
        <v>1.82300198355126</v>
      </c>
      <c r="AD171" s="1"/>
    </row>
    <row r="172" customFormat="false" ht="12.8" hidden="false" customHeight="false" outlineLevel="0" collapsed="false">
      <c r="A172" s="1" t="s">
        <v>40</v>
      </c>
      <c r="B172" s="1" t="n">
        <f aca="false">($B$73*(1-B$93))+($B$79*B$93)</f>
        <v>1907.7</v>
      </c>
      <c r="C172" s="1" t="n">
        <f aca="false">($B$73*(1-C$93))+($B$79*C$93)</f>
        <v>1907.7</v>
      </c>
      <c r="D172" s="1" t="n">
        <f aca="false">($B$73*(1-D$93))+($B$79*D$93)</f>
        <v>1907.7</v>
      </c>
      <c r="E172" s="1" t="n">
        <f aca="false">($B$73*(1-E$93))+($B$79*E$93)</f>
        <v>1907.7</v>
      </c>
      <c r="F172" s="1" t="n">
        <f aca="false">($B$73*(1-F$93))+($B$79*F$93)</f>
        <v>1907.7</v>
      </c>
      <c r="G172" s="1" t="n">
        <f aca="false">($B$73*(1-G$93))+($B$79*G$93)</f>
        <v>1907.7</v>
      </c>
      <c r="H172" s="1" t="n">
        <f aca="false">($B$73*(1-H$93))+($B$79*H$93)</f>
        <v>1907.7</v>
      </c>
      <c r="I172" s="1" t="n">
        <f aca="false">($B$73*(1-I$93))+($B$79*I$93)</f>
        <v>1903.41158654723</v>
      </c>
      <c r="J172" s="1" t="n">
        <f aca="false">($B$73*(1-J$93))+($B$79*J$93)</f>
        <v>1902.55390385668</v>
      </c>
      <c r="K172" s="1" t="n">
        <f aca="false">($B$73*(1-K$93))+($B$79*K$93)</f>
        <v>1901.52468462801</v>
      </c>
      <c r="L172" s="1" t="n">
        <f aca="false">($B$73*(1-L$93))+($B$79*L$93)</f>
        <v>1900.28962155362</v>
      </c>
      <c r="M172" s="1" t="n">
        <f aca="false">($B$73*(1-M$93))+($B$79*M$93)</f>
        <v>1898.80754586434</v>
      </c>
      <c r="N172" s="1" t="n">
        <f aca="false">($B$73*(1-N$93))+($B$79*N$93)</f>
        <v>1897.02905503721</v>
      </c>
      <c r="O172" s="1" t="n">
        <f aca="false">($B$73*(1-O$93))+($B$79*O$93)</f>
        <v>1896.06866999056</v>
      </c>
      <c r="P172" s="1" t="n">
        <f aca="false">($B$73*(1-P$93))+($B$79*P$93)</f>
        <v>1895.02185028971</v>
      </c>
      <c r="Q172" s="1" t="n">
        <f aca="false">($B$73*(1-Q$93))+($B$79*Q$93)</f>
        <v>1893.88081681578</v>
      </c>
      <c r="R172" s="1" t="n">
        <f aca="false">($B$73*(1-R$93))+($B$79*R$93)</f>
        <v>1892.6370903292</v>
      </c>
      <c r="S172" s="1" t="n">
        <f aca="false">($B$73*(1-S$93))+($B$79*S$93)</f>
        <v>1891.28142845883</v>
      </c>
      <c r="T172" s="1" t="n">
        <f aca="false">($B$73*(1-T$93))+($B$79*T$93)</f>
        <v>1889.80375702012</v>
      </c>
      <c r="U172" s="1" t="n">
        <f aca="false">($B$73*(1-U$93))+($B$79*U$93)</f>
        <v>1888.19309515194</v>
      </c>
      <c r="V172" s="1" t="n">
        <f aca="false">($B$73*(1-V$93))+($B$79*V$93)</f>
        <v>1886.43747371561</v>
      </c>
      <c r="W172" s="1" t="n">
        <f aca="false">($B$73*(1-W$93))+($B$79*W$93)</f>
        <v>1884.52384635002</v>
      </c>
      <c r="X172" s="1" t="n">
        <f aca="false">($B$73*(1-X$93))+($B$79*X$93)</f>
        <v>1882.43799252152</v>
      </c>
      <c r="Y172" s="1" t="n">
        <f aca="false">($B$73*(1-Y$93))+($B$79*Y$93)</f>
        <v>1880.16441184845</v>
      </c>
      <c r="Z172" s="1" t="n">
        <f aca="false">($B$73*(1-Z$93))+($B$79*Z$93)</f>
        <v>1877.68620891481</v>
      </c>
      <c r="AA172" s="1" t="n">
        <f aca="false">($B$73*(1-AA$93))+($B$79*AA$93)</f>
        <v>1874.98496771715</v>
      </c>
      <c r="AB172" s="1" t="n">
        <f aca="false">($B$73*(1-AB$93))+($B$79*AB$93)</f>
        <v>1872.04061481169</v>
      </c>
      <c r="AC172" s="1" t="n">
        <f aca="false">($B$73*(1-AC$93))+($B$79*AC$93)</f>
        <v>1868.83127014474</v>
      </c>
      <c r="AD172" s="1"/>
    </row>
    <row r="173" customFormat="false" ht="12.8" hidden="false" customHeight="false" outlineLevel="0" collapsed="false">
      <c r="A173" s="1" t="s">
        <v>41</v>
      </c>
      <c r="B173" s="1" t="n">
        <f aca="false">($C$57*(1-B$100))+($C$58*B$100)</f>
        <v>8018.82390447805</v>
      </c>
      <c r="C173" s="1" t="n">
        <f aca="false">($C$57*(1-C$100))+($C$58*C$100)</f>
        <v>8018.82390447805</v>
      </c>
      <c r="D173" s="1" t="n">
        <f aca="false">($C$57*(1-D$100))+($C$58*D$100)</f>
        <v>8014.41590980821</v>
      </c>
      <c r="E173" s="1" t="n">
        <f aca="false">($C$57*(1-E$100))+($C$58*E$100)</f>
        <v>8009.46495391256</v>
      </c>
      <c r="F173" s="1" t="n">
        <f aca="false">($C$57*(1-F$100))+($C$58*F$100)</f>
        <v>8003.8569652713</v>
      </c>
      <c r="G173" s="1" t="n">
        <f aca="false">($C$57*(1-G$100))+($C$58*G$100)</f>
        <v>7997.45800855841</v>
      </c>
      <c r="H173" s="1" t="n">
        <f aca="false">($C$57*(1-H$100))+($C$58*H$100)</f>
        <v>7990.11061665185</v>
      </c>
      <c r="I173" s="1" t="n">
        <f aca="false">($C$57*(1-I$100))+($C$58*I$100)</f>
        <v>7981.62945817413</v>
      </c>
      <c r="J173" s="1" t="n">
        <f aca="false">($C$57*(1-J$100))+($C$58*J$100)</f>
        <v>7971.79621944719</v>
      </c>
      <c r="K173" s="1" t="n">
        <f aca="false">($C$57*(1-K$100))+($C$58*K$100)</f>
        <v>7960.35355771311</v>
      </c>
      <c r="L173" s="1" t="n">
        <f aca="false">($C$57*(1-L$100))+($C$58*L$100)</f>
        <v>7946.99795642921</v>
      </c>
      <c r="M173" s="1" t="n">
        <f aca="false">($C$57*(1-M$100))+($C$58*M$100)</f>
        <v>7931.37128266297</v>
      </c>
      <c r="N173" s="1" t="n">
        <f aca="false">($C$57*(1-N$100))+($C$58*N$100)</f>
        <v>7913.05081022548</v>
      </c>
      <c r="O173" s="1" t="n">
        <f aca="false">($C$57*(1-O$100))+($C$58*O$100)</f>
        <v>7891.53742917302</v>
      </c>
      <c r="P173" s="1" t="n">
        <f aca="false">($C$57*(1-P$100))+($C$58*P$100)</f>
        <v>7866.24171146893</v>
      </c>
      <c r="Q173" s="1" t="n">
        <f aca="false">($C$57*(1-Q$100))+($C$58*Q$100)</f>
        <v>7836.46744250731</v>
      </c>
      <c r="R173" s="1" t="n">
        <f aca="false">($C$57*(1-R$100))+($C$58*R$100)</f>
        <v>7801.39215717314</v>
      </c>
      <c r="S173" s="1" t="n">
        <f aca="false">($C$57*(1-S$100))+($C$58*S$100)</f>
        <v>7760.04413515848</v>
      </c>
      <c r="T173" s="1" t="n">
        <f aca="false">($C$57*(1-T$100))+($C$58*T$100)</f>
        <v>7711.27521101981</v>
      </c>
      <c r="U173" s="1" t="n">
        <f aca="false">($C$57*(1-U$100))+($C$58*U$100)</f>
        <v>7653.72863716569</v>
      </c>
      <c r="V173" s="1" t="n">
        <f aca="false">($C$57*(1-V$100))+($C$58*V$100)</f>
        <v>7585.80109931982</v>
      </c>
      <c r="W173" s="1" t="n">
        <f aca="false">($C$57*(1-W$100))+($C$58*W$100)</f>
        <v>7505.59782012688</v>
      </c>
      <c r="X173" s="1" t="n">
        <f aca="false">($C$57*(1-X$100))+($C$58*X$100)</f>
        <v>7410.87949286518</v>
      </c>
      <c r="Y173" s="1" t="n">
        <f aca="false">($C$57*(1-Y$100))+($C$58*Y$100)</f>
        <v>7298.99955827185</v>
      </c>
      <c r="Z173" s="1" t="n">
        <f aca="false">($C$57*(1-Z$100))+($C$58*Z$100)</f>
        <v>7166.83006685781</v>
      </c>
      <c r="AA173" s="1" t="n">
        <f aca="false">($C$57*(1-AA$100))+($C$58*AA$100)</f>
        <v>7010.67404920667</v>
      </c>
      <c r="AB173" s="1" t="n">
        <f aca="false">($C$57*(1-AB$100))+($C$58*AB$100)</f>
        <v>6860.07247378189</v>
      </c>
      <c r="AC173" s="1" t="n">
        <f aca="false">($C$57*(1-AC$100))+($C$58*AC$100)</f>
        <v>6718.32981455856</v>
      </c>
    </row>
    <row r="174" customFormat="false" ht="12.8" hidden="false" customHeight="false" outlineLevel="0" collapsed="false">
      <c r="A174" s="1" t="s">
        <v>20</v>
      </c>
      <c r="B174" s="1" t="n">
        <f aca="false">SUM(B169:B173)</f>
        <v>10298.1452863136</v>
      </c>
      <c r="C174" s="1" t="n">
        <f aca="false">SUM(C169:C173)</f>
        <v>10298.1452863136</v>
      </c>
      <c r="D174" s="1" t="n">
        <f aca="false">SUM(D169:D173)</f>
        <v>10156.0380001496</v>
      </c>
      <c r="E174" s="1" t="n">
        <f aca="false">SUM(E169:E173)</f>
        <v>10093.8568659646</v>
      </c>
      <c r="F174" s="1" t="n">
        <f aca="false">SUM(F169:F173)</f>
        <v>9916.55834245525</v>
      </c>
      <c r="G174" s="1" t="n">
        <f aca="false">SUM(G169:G173)</f>
        <v>9910.15938574237</v>
      </c>
      <c r="H174" s="1" t="n">
        <f aca="false">SUM(H169:H173)</f>
        <v>9902.81199383581</v>
      </c>
      <c r="I174" s="1" t="n">
        <f aca="false">SUM(I169:I173)</f>
        <v>9890.04242190532</v>
      </c>
      <c r="J174" s="1" t="n">
        <f aca="false">SUM(J169:J173)</f>
        <v>9879.35150048783</v>
      </c>
      <c r="K174" s="1" t="n">
        <f aca="false">SUM(K169:K173)</f>
        <v>9866.87961952507</v>
      </c>
      <c r="L174" s="1" t="n">
        <f aca="false">SUM(L169:L173)</f>
        <v>9851.78881744838</v>
      </c>
      <c r="M174" s="1" t="n">
        <f aca="false">SUM(M169:M173)</f>
        <v>9834.68006799287</v>
      </c>
      <c r="N174" s="1" t="n">
        <f aca="false">SUM(N169:N173)</f>
        <v>9814.58110472825</v>
      </c>
      <c r="O174" s="1" t="n">
        <f aca="false">SUM(O169:O173)</f>
        <v>9792.10733862914</v>
      </c>
      <c r="P174" s="1" t="n">
        <f aca="false">SUM(P169:P173)</f>
        <v>9765.76480122419</v>
      </c>
      <c r="Q174" s="1" t="n">
        <f aca="false">SUM(Q169:Q173)</f>
        <v>9734.84949878865</v>
      </c>
      <c r="R174" s="1" t="n">
        <f aca="false">SUM(R169:R173)</f>
        <v>9698.5304869679</v>
      </c>
      <c r="S174" s="1" t="n">
        <f aca="false">SUM(S169:S173)</f>
        <v>9655.37667913631</v>
      </c>
      <c r="T174" s="1" t="n">
        <f aca="false">SUM(T169:T173)</f>
        <v>9605.13008355894</v>
      </c>
      <c r="U174" s="1" t="n">
        <f aca="false">SUM(U169:U173)</f>
        <v>9545.97284783663</v>
      </c>
      <c r="V174" s="1" t="n">
        <f aca="false">SUM(V169:V173)</f>
        <v>9476.28968855443</v>
      </c>
      <c r="W174" s="1" t="n">
        <f aca="false">SUM(W169:W173)</f>
        <v>9394.17278199589</v>
      </c>
      <c r="X174" s="1" t="n">
        <f aca="false">SUM(X169:X173)</f>
        <v>9297.3686009057</v>
      </c>
      <c r="Y174" s="1" t="n">
        <f aca="false">SUM(Y169:Y173)</f>
        <v>9183.2150856393</v>
      </c>
      <c r="Z174" s="1" t="n">
        <f aca="false">SUM(Z169:Z173)</f>
        <v>9048.16227973972</v>
      </c>
      <c r="AA174" s="1" t="n">
        <f aca="false">SUM(AA169:AA173)</f>
        <v>8889.30502089092</v>
      </c>
      <c r="AB174" s="1" t="n">
        <f aca="false">SUM(AB169:AB173)</f>
        <v>8735.75909256068</v>
      </c>
      <c r="AC174" s="1" t="n">
        <f aca="false">SUM(AC169:AC173)</f>
        <v>8590.8070886704</v>
      </c>
    </row>
    <row r="175" customFormat="false" ht="12.8" hidden="false" customHeight="false" outlineLevel="0" collapsed="false">
      <c r="A175" s="1" t="s">
        <v>320</v>
      </c>
      <c r="B175" s="1" t="s">
        <v>575</v>
      </c>
      <c r="C175" s="1" t="n">
        <v>2024</v>
      </c>
      <c r="D175" s="1" t="n">
        <v>2025</v>
      </c>
      <c r="E175" s="1" t="n">
        <v>2026</v>
      </c>
      <c r="F175" s="1" t="n">
        <v>2027</v>
      </c>
      <c r="G175" s="1" t="n">
        <v>2028</v>
      </c>
      <c r="H175" s="1" t="n">
        <v>2029</v>
      </c>
      <c r="I175" s="1" t="n">
        <v>2030</v>
      </c>
      <c r="J175" s="1" t="n">
        <v>2031</v>
      </c>
      <c r="K175" s="1" t="n">
        <v>2032</v>
      </c>
      <c r="L175" s="1" t="n">
        <v>2033</v>
      </c>
      <c r="M175" s="1" t="n">
        <v>2034</v>
      </c>
      <c r="N175" s="1" t="n">
        <v>2035</v>
      </c>
      <c r="O175" s="1" t="n">
        <v>2036</v>
      </c>
      <c r="P175" s="1" t="n">
        <v>2037</v>
      </c>
      <c r="Q175" s="1" t="n">
        <v>2038</v>
      </c>
      <c r="R175" s="1" t="n">
        <v>2039</v>
      </c>
      <c r="S175" s="1" t="n">
        <v>2040</v>
      </c>
      <c r="T175" s="1" t="n">
        <v>2041</v>
      </c>
      <c r="U175" s="1" t="n">
        <v>2042</v>
      </c>
      <c r="V175" s="1" t="n">
        <v>2043</v>
      </c>
      <c r="W175" s="1" t="n">
        <v>2044</v>
      </c>
      <c r="X175" s="1" t="n">
        <v>2045</v>
      </c>
      <c r="Y175" s="1" t="n">
        <v>2046</v>
      </c>
      <c r="Z175" s="1" t="n">
        <v>2047</v>
      </c>
      <c r="AA175" s="1" t="n">
        <v>2048</v>
      </c>
      <c r="AB175" s="1" t="n">
        <v>2049</v>
      </c>
      <c r="AC175" s="1" t="n">
        <v>2050</v>
      </c>
    </row>
    <row r="176" customFormat="false" ht="12.8" hidden="false" customHeight="false" outlineLevel="0" collapsed="false">
      <c r="A176" s="1" t="s">
        <v>37</v>
      </c>
      <c r="B176" s="1" t="n">
        <f aca="false">($B$30*$B$28)+($B$39*$B$42)</f>
        <v>71.3503343390438</v>
      </c>
      <c r="C176" s="1" t="n">
        <f aca="false">($B$30*$B$28)+($B$39*$B$42)</f>
        <v>71.3503343390438</v>
      </c>
      <c r="D176" s="1" t="n">
        <f aca="false">($B$30*$B$33)+($B$44*$B$47)</f>
        <v>2.50068859197704</v>
      </c>
      <c r="E176" s="1" t="n">
        <f aca="false">($B$30*$B$33)+($B$44*$B$47)</f>
        <v>2.50068859197704</v>
      </c>
      <c r="F176" s="1" t="n">
        <f aca="false">($B$30*$B$33)+($B$44*$B$47)</f>
        <v>2.50068859197704</v>
      </c>
      <c r="G176" s="1" t="n">
        <f aca="false">($B$30*$B$33)+($B$44*$B$47)</f>
        <v>2.50068859197704</v>
      </c>
      <c r="H176" s="1" t="n">
        <f aca="false">($B$30*$B$33)+($B$44*$B$47)</f>
        <v>2.50068859197704</v>
      </c>
      <c r="I176" s="1" t="n">
        <f aca="false">($B$30*$B$33)+($B$44*$B$47)</f>
        <v>2.50068859197704</v>
      </c>
      <c r="J176" s="1" t="n">
        <f aca="false">($B$30*$B$33)+($B$44*$B$47)</f>
        <v>2.50068859197704</v>
      </c>
      <c r="K176" s="1" t="n">
        <f aca="false">($B$30*$B$33)+($B$44*$B$47)</f>
        <v>2.50068859197704</v>
      </c>
      <c r="L176" s="1" t="n">
        <f aca="false">$K176*0.9</f>
        <v>2.25061973277934</v>
      </c>
      <c r="M176" s="1" t="n">
        <v>22.0256904333107</v>
      </c>
      <c r="N176" s="1" t="n">
        <v>22.0256904333107</v>
      </c>
      <c r="O176" s="1" t="n">
        <v>22.0256904333107</v>
      </c>
      <c r="P176" s="1" t="n">
        <v>22.0256904333107</v>
      </c>
      <c r="Q176" s="1" t="n">
        <v>22.0256904333107</v>
      </c>
      <c r="R176" s="1" t="n">
        <v>22.0256904333107</v>
      </c>
      <c r="S176" s="1" t="n">
        <f aca="false">$L176*0.9</f>
        <v>2.0255577595014</v>
      </c>
      <c r="T176" s="1" t="n">
        <v>19.8231213899797</v>
      </c>
      <c r="U176" s="1" t="n">
        <v>19.8231213899797</v>
      </c>
      <c r="V176" s="1" t="n">
        <v>19.8231213899797</v>
      </c>
      <c r="W176" s="1" t="n">
        <v>19.8231213899797</v>
      </c>
      <c r="X176" s="1" t="n">
        <v>19.8231213899797</v>
      </c>
      <c r="Y176" s="1" t="n">
        <v>19.8231213899797</v>
      </c>
      <c r="Z176" s="1" t="n">
        <f aca="false">$S176*0.9</f>
        <v>1.82300198355126</v>
      </c>
      <c r="AA176" s="1" t="n">
        <v>17.8408092509817</v>
      </c>
      <c r="AB176" s="1" t="n">
        <f aca="false">$S176*0.9</f>
        <v>1.82300198355126</v>
      </c>
      <c r="AC176" s="1" t="n">
        <f aca="false">$S176*0.9</f>
        <v>1.82300198355126</v>
      </c>
    </row>
    <row r="177" customFormat="false" ht="12.8" hidden="false" customHeight="false" outlineLevel="0" collapsed="false">
      <c r="A177" s="1" t="s">
        <v>18</v>
      </c>
      <c r="B177" s="1" t="n">
        <f aca="false">$B$10</f>
        <v>114.460356578722</v>
      </c>
      <c r="C177" s="1" t="n">
        <f aca="false">$B$10</f>
        <v>114.460356578722</v>
      </c>
      <c r="D177" s="1" t="n">
        <f aca="false">$B$10</f>
        <v>114.460356578722</v>
      </c>
      <c r="E177" s="1" t="n">
        <f aca="false">($B$18*0.25)+($B$10*0.75)</f>
        <v>85.8452674340417</v>
      </c>
      <c r="F177" s="141" t="n">
        <f aca="false">$B$18</f>
        <v>0</v>
      </c>
      <c r="G177" s="141" t="n">
        <f aca="false">$B$18</f>
        <v>0</v>
      </c>
      <c r="H177" s="141" t="n">
        <f aca="false">$B$18</f>
        <v>0</v>
      </c>
      <c r="I177" s="141" t="n">
        <f aca="false">$B$18</f>
        <v>0</v>
      </c>
      <c r="J177" s="141" t="n">
        <f aca="false">$B$18</f>
        <v>0</v>
      </c>
      <c r="K177" s="141" t="n">
        <f aca="false">$B$18</f>
        <v>0</v>
      </c>
      <c r="L177" s="141" t="n">
        <f aca="false">$B$18</f>
        <v>0</v>
      </c>
      <c r="M177" s="141" t="n">
        <f aca="false">$B$18</f>
        <v>0</v>
      </c>
      <c r="N177" s="141" t="n">
        <f aca="false">$B$18</f>
        <v>0</v>
      </c>
      <c r="O177" s="141" t="n">
        <f aca="false">$B$18</f>
        <v>0</v>
      </c>
      <c r="P177" s="141" t="n">
        <f aca="false">$B$18</f>
        <v>0</v>
      </c>
      <c r="Q177" s="141" t="n">
        <f aca="false">$B$18</f>
        <v>0</v>
      </c>
      <c r="R177" s="141" t="n">
        <f aca="false">$B$18</f>
        <v>0</v>
      </c>
      <c r="S177" s="141" t="n">
        <f aca="false">$B$18</f>
        <v>0</v>
      </c>
      <c r="T177" s="141" t="n">
        <f aca="false">$B$18</f>
        <v>0</v>
      </c>
      <c r="U177" s="141" t="n">
        <f aca="false">$B$18</f>
        <v>0</v>
      </c>
      <c r="V177" s="141" t="n">
        <f aca="false">$B$18</f>
        <v>0</v>
      </c>
      <c r="W177" s="141" t="n">
        <f aca="false">$B$18</f>
        <v>0</v>
      </c>
      <c r="X177" s="141" t="n">
        <f aca="false">$B$18</f>
        <v>0</v>
      </c>
      <c r="Y177" s="141" t="n">
        <f aca="false">$B$18</f>
        <v>0</v>
      </c>
      <c r="Z177" s="141" t="n">
        <f aca="false">$B$18</f>
        <v>0</v>
      </c>
      <c r="AA177" s="141" t="n">
        <f aca="false">$B$18</f>
        <v>0</v>
      </c>
      <c r="AB177" s="141" t="n">
        <f aca="false">$B$18</f>
        <v>0</v>
      </c>
      <c r="AC177" s="141" t="n">
        <f aca="false">$B$18</f>
        <v>0</v>
      </c>
    </row>
    <row r="178" customFormat="false" ht="12.8" hidden="false" customHeight="false" outlineLevel="0" collapsed="false">
      <c r="A178" s="3" t="s">
        <v>39</v>
      </c>
      <c r="B178" s="1" t="n">
        <f aca="false">SUM(B176:B177)</f>
        <v>185.810690917766</v>
      </c>
      <c r="C178" s="1" t="n">
        <f aca="false">SUM(C176:C177)</f>
        <v>185.810690917766</v>
      </c>
      <c r="D178" s="1" t="n">
        <f aca="false">SUM(D176:D177)</f>
        <v>116.961045170699</v>
      </c>
      <c r="E178" s="1" t="n">
        <f aca="false">SUM(E176:E177)</f>
        <v>88.3459560260187</v>
      </c>
      <c r="F178" s="1" t="n">
        <f aca="false">SUM(F176:F177)</f>
        <v>2.50068859197704</v>
      </c>
      <c r="G178" s="1" t="n">
        <f aca="false">SUM(G176:G177)</f>
        <v>2.50068859197704</v>
      </c>
      <c r="H178" s="1" t="n">
        <f aca="false">SUM(H176:H177)</f>
        <v>2.50068859197704</v>
      </c>
      <c r="I178" s="1" t="n">
        <f aca="false">SUM(I176:I177)</f>
        <v>2.50068859197704</v>
      </c>
      <c r="J178" s="1" t="n">
        <f aca="false">SUM(J176:J177)</f>
        <v>2.50068859197704</v>
      </c>
      <c r="K178" s="1" t="n">
        <f aca="false">SUM(K176:K177)</f>
        <v>2.50068859197704</v>
      </c>
      <c r="L178" s="1" t="n">
        <f aca="false">SUM(L176:L177)</f>
        <v>2.25061973277934</v>
      </c>
      <c r="M178" s="1" t="n">
        <f aca="false">SUM(M176:M177)</f>
        <v>22.0256904333107</v>
      </c>
      <c r="N178" s="1" t="n">
        <f aca="false">SUM(N176:N177)</f>
        <v>22.0256904333107</v>
      </c>
      <c r="O178" s="1" t="n">
        <f aca="false">SUM(O176:O177)</f>
        <v>22.0256904333107</v>
      </c>
      <c r="P178" s="1" t="n">
        <f aca="false">SUM(P176:P177)</f>
        <v>22.0256904333107</v>
      </c>
      <c r="Q178" s="1" t="n">
        <f aca="false">SUM(Q176:Q177)</f>
        <v>22.0256904333107</v>
      </c>
      <c r="R178" s="1" t="n">
        <f aca="false">SUM(R176:R177)</f>
        <v>22.0256904333107</v>
      </c>
      <c r="S178" s="1" t="n">
        <f aca="false">SUM(S176:S177)</f>
        <v>2.0255577595014</v>
      </c>
      <c r="T178" s="1" t="n">
        <f aca="false">SUM(T176:T177)</f>
        <v>19.8231213899797</v>
      </c>
      <c r="U178" s="1" t="n">
        <f aca="false">SUM(U176:U177)</f>
        <v>19.8231213899797</v>
      </c>
      <c r="V178" s="1" t="n">
        <f aca="false">SUM(V176:V177)</f>
        <v>19.8231213899797</v>
      </c>
      <c r="W178" s="1" t="n">
        <f aca="false">SUM(W176:W177)</f>
        <v>19.8231213899797</v>
      </c>
      <c r="X178" s="1" t="n">
        <f aca="false">SUM(X176:X177)</f>
        <v>19.8231213899797</v>
      </c>
      <c r="Y178" s="1" t="n">
        <f aca="false">SUM(Y176:Y177)</f>
        <v>19.8231213899797</v>
      </c>
      <c r="Z178" s="1" t="n">
        <f aca="false">SUM(Z176:Z177)</f>
        <v>1.82300198355126</v>
      </c>
      <c r="AA178" s="1" t="n">
        <f aca="false">SUM(AA176:AA177)</f>
        <v>17.8408092509817</v>
      </c>
      <c r="AB178" s="1" t="n">
        <f aca="false">SUM(AB176:AB177)</f>
        <v>1.82300198355126</v>
      </c>
      <c r="AC178" s="1" t="n">
        <f aca="false">SUM(AC176:AC177)</f>
        <v>1.82300198355126</v>
      </c>
    </row>
    <row r="179" customFormat="false" ht="12.8" hidden="false" customHeight="false" outlineLevel="0" collapsed="false">
      <c r="A179" s="1" t="s">
        <v>40</v>
      </c>
      <c r="B179" s="1" t="n">
        <f aca="false">($B$73*(1-B$93))+($B$79*B$93)</f>
        <v>1907.7</v>
      </c>
      <c r="C179" s="1" t="n">
        <f aca="false">($B$73*(1-C$93))+($B$79*C$93)</f>
        <v>1907.7</v>
      </c>
      <c r="D179" s="1" t="n">
        <f aca="false">($B$73*(1-D$93))+($B$79*D$93)</f>
        <v>1907.7</v>
      </c>
      <c r="E179" s="1" t="n">
        <f aca="false">($B$73*(1-E$93))+($B$79*E$93)</f>
        <v>1907.7</v>
      </c>
      <c r="F179" s="1" t="n">
        <f aca="false">($B$73*(1-F$93))+($B$79*F$93)</f>
        <v>1907.7</v>
      </c>
      <c r="G179" s="1" t="n">
        <f aca="false">($B$73*(1-G$93))+($B$79*G$93)</f>
        <v>1907.7</v>
      </c>
      <c r="H179" s="1" t="n">
        <f aca="false">($B$73*(1-H$93))+($B$79*H$93)</f>
        <v>1907.7</v>
      </c>
      <c r="I179" s="1" t="n">
        <f aca="false">($B$73*(1-I$93))+($B$79*I$93)</f>
        <v>1903.41158654723</v>
      </c>
      <c r="J179" s="1" t="n">
        <f aca="false">($B$73*(1-J$93))+($B$79*J$93)</f>
        <v>1902.55390385668</v>
      </c>
      <c r="K179" s="1" t="n">
        <f aca="false">($B$73*(1-K$93))+($B$79*K$93)</f>
        <v>1901.52468462801</v>
      </c>
      <c r="L179" s="1" t="n">
        <f aca="false">($B$73*(1-L$93))+($B$79*L$93)</f>
        <v>1900.28962155362</v>
      </c>
      <c r="M179" s="1" t="n">
        <f aca="false">($B$73*(1-M$93))+($B$79*M$93)</f>
        <v>1898.80754586434</v>
      </c>
      <c r="N179" s="1" t="n">
        <f aca="false">($B$73*(1-N$93))+($B$79*N$93)</f>
        <v>1897.02905503721</v>
      </c>
      <c r="O179" s="1" t="n">
        <f aca="false">($B$73*(1-O$93))+($B$79*O$93)</f>
        <v>1896.06866999056</v>
      </c>
      <c r="P179" s="1" t="n">
        <f aca="false">($B$73*(1-P$93))+($B$79*P$93)</f>
        <v>1895.02185028971</v>
      </c>
      <c r="Q179" s="1" t="n">
        <f aca="false">($B$73*(1-Q$93))+($B$79*Q$93)</f>
        <v>1893.88081681578</v>
      </c>
      <c r="R179" s="1" t="n">
        <f aca="false">($B$73*(1-R$93))+($B$79*R$93)</f>
        <v>1892.6370903292</v>
      </c>
      <c r="S179" s="1" t="n">
        <f aca="false">($B$73*(1-S$93))+($B$79*S$93)</f>
        <v>1891.28142845883</v>
      </c>
      <c r="T179" s="1" t="n">
        <f aca="false">($B$73*(1-T$93))+($B$79*T$93)</f>
        <v>1889.80375702012</v>
      </c>
      <c r="U179" s="1" t="n">
        <f aca="false">($B$73*(1-U$93))+($B$79*U$93)</f>
        <v>1888.19309515194</v>
      </c>
      <c r="V179" s="1" t="n">
        <f aca="false">($B$73*(1-V$93))+($B$79*V$93)</f>
        <v>1886.43747371561</v>
      </c>
      <c r="W179" s="1" t="n">
        <f aca="false">($B$73*(1-W$93))+($B$79*W$93)</f>
        <v>1884.52384635002</v>
      </c>
      <c r="X179" s="1" t="n">
        <f aca="false">($B$73*(1-X$93))+($B$79*X$93)</f>
        <v>1882.43799252152</v>
      </c>
      <c r="Y179" s="1" t="n">
        <f aca="false">($B$73*(1-Y$93))+($B$79*Y$93)</f>
        <v>1880.16441184845</v>
      </c>
      <c r="Z179" s="1" t="n">
        <f aca="false">($B$73*(1-Z$93))+($B$79*Z$93)</f>
        <v>1877.68620891481</v>
      </c>
      <c r="AA179" s="1" t="n">
        <f aca="false">($B$73*(1-AA$93))+($B$79*AA$93)</f>
        <v>1874.98496771715</v>
      </c>
      <c r="AB179" s="1" t="n">
        <f aca="false">($B$73*(1-AB$93))+($B$79*AB$93)</f>
        <v>1872.04061481169</v>
      </c>
      <c r="AC179" s="1" t="n">
        <f aca="false">($B$73*(1-AC$93))+($B$79*AC$93)</f>
        <v>1868.83127014474</v>
      </c>
    </row>
    <row r="180" customFormat="false" ht="12.8" hidden="false" customHeight="false" outlineLevel="0" collapsed="false">
      <c r="A180" s="1" t="s">
        <v>41</v>
      </c>
      <c r="B180" s="1" t="n">
        <f aca="false">($C$57*(1-B$100))+($C$58*B$100)</f>
        <v>8018.82390447805</v>
      </c>
      <c r="C180" s="1" t="n">
        <f aca="false">($C$57*(1-C$100))+($C$58*C$100)</f>
        <v>8018.82390447805</v>
      </c>
      <c r="D180" s="1" t="n">
        <f aca="false">($C$57*(1-D$100))+($C$58*D$100)</f>
        <v>8014.41590980821</v>
      </c>
      <c r="E180" s="1" t="n">
        <f aca="false">($C$57*(1-E$100))+($C$58*E$100)</f>
        <v>8009.46495391256</v>
      </c>
      <c r="F180" s="1" t="n">
        <f aca="false">($C$57*(1-F$100))+($C$58*F$100)</f>
        <v>8003.8569652713</v>
      </c>
      <c r="G180" s="1" t="n">
        <f aca="false">($C$57*(1-G$100))+($C$58*G$100)</f>
        <v>7997.45800855841</v>
      </c>
      <c r="H180" s="1" t="n">
        <f aca="false">($C$57*(1-H$100))+($C$58*H$100)</f>
        <v>7990.11061665185</v>
      </c>
      <c r="I180" s="1" t="n">
        <f aca="false">($C$57*(1-I$100))+($C$58*I$100)</f>
        <v>7981.62945817413</v>
      </c>
      <c r="J180" s="1" t="n">
        <f aca="false">($C$57*(1-J$100))+($C$58*J$100)</f>
        <v>7971.79621944719</v>
      </c>
      <c r="K180" s="1" t="n">
        <f aca="false">($C$57*(1-K$100))+($C$58*K$100)</f>
        <v>7960.35355771311</v>
      </c>
      <c r="L180" s="1" t="n">
        <f aca="false">($C$57*(1-L$100))+($C$58*L$100)</f>
        <v>7946.99795642921</v>
      </c>
      <c r="M180" s="1" t="n">
        <f aca="false">($C$57*(1-M$100))+($C$58*M$100)</f>
        <v>7931.37128266297</v>
      </c>
      <c r="N180" s="1" t="n">
        <f aca="false">($C$57*(1-N$100))+($C$58*N$100)</f>
        <v>7913.05081022548</v>
      </c>
      <c r="O180" s="1" t="n">
        <f aca="false">($C$57*(1-O$100))+($C$58*O$100)</f>
        <v>7891.53742917302</v>
      </c>
      <c r="P180" s="1" t="n">
        <f aca="false">($C$57*(1-P$100))+($C$58*P$100)</f>
        <v>7866.24171146893</v>
      </c>
      <c r="Q180" s="1" t="n">
        <f aca="false">($C$57*(1-Q$100))+($C$58*Q$100)</f>
        <v>7836.46744250731</v>
      </c>
      <c r="R180" s="1" t="n">
        <f aca="false">($C$57*(1-R$100))+($C$58*R$100)</f>
        <v>7801.39215717314</v>
      </c>
      <c r="S180" s="1" t="n">
        <f aca="false">($C$57*(1-S$100))+($C$58*S$100)</f>
        <v>7760.04413515848</v>
      </c>
      <c r="T180" s="1" t="n">
        <f aca="false">($C$57*(1-T$100))+($C$58*T$100)</f>
        <v>7711.27521101981</v>
      </c>
      <c r="U180" s="1" t="n">
        <f aca="false">($C$57*(1-U$100))+($C$58*U$100)</f>
        <v>7653.72863716569</v>
      </c>
      <c r="V180" s="1" t="n">
        <f aca="false">($C$57*(1-V$100))+($C$58*V$100)</f>
        <v>7585.80109931982</v>
      </c>
      <c r="W180" s="1" t="n">
        <f aca="false">($C$57*(1-W$100))+($C$58*W$100)</f>
        <v>7505.59782012688</v>
      </c>
      <c r="X180" s="1" t="n">
        <f aca="false">($C$57*(1-X$100))+($C$58*X$100)</f>
        <v>7410.87949286518</v>
      </c>
      <c r="Y180" s="1" t="n">
        <f aca="false">($C$57*(1-Y$100))+($C$58*Y$100)</f>
        <v>7298.99955827185</v>
      </c>
      <c r="Z180" s="1" t="n">
        <f aca="false">($C$57*(1-Z$100))+($C$58*Z$100)</f>
        <v>7166.83006685781</v>
      </c>
      <c r="AA180" s="1" t="n">
        <f aca="false">($C$57*(1-AA$100))+($C$58*AA$100)</f>
        <v>7010.67404920667</v>
      </c>
      <c r="AB180" s="1" t="n">
        <f aca="false">($C$57*(1-AB$100))+($C$58*AB$100)</f>
        <v>6860.07247378189</v>
      </c>
      <c r="AC180" s="1" t="n">
        <f aca="false">($C$57*(1-AC$100))+($C$58*AC$100)</f>
        <v>6718.32981455856</v>
      </c>
    </row>
    <row r="181" customFormat="false" ht="12.8" hidden="false" customHeight="false" outlineLevel="0" collapsed="false">
      <c r="A181" s="1" t="s">
        <v>20</v>
      </c>
      <c r="B181" s="1" t="n">
        <f aca="false">SUM(B176:B180)</f>
        <v>10298.1452863136</v>
      </c>
      <c r="C181" s="1" t="n">
        <f aca="false">SUM(C176:C180)</f>
        <v>10298.1452863136</v>
      </c>
      <c r="D181" s="1" t="n">
        <f aca="false">SUM(D176:D180)</f>
        <v>10156.0380001496</v>
      </c>
      <c r="E181" s="1" t="n">
        <f aca="false">SUM(E176:E180)</f>
        <v>10093.8568659646</v>
      </c>
      <c r="F181" s="1" t="n">
        <f aca="false">SUM(F176:F180)</f>
        <v>9916.55834245525</v>
      </c>
      <c r="G181" s="1" t="n">
        <f aca="false">SUM(G176:G180)</f>
        <v>9910.15938574237</v>
      </c>
      <c r="H181" s="1" t="n">
        <f aca="false">SUM(H176:H180)</f>
        <v>9902.81199383581</v>
      </c>
      <c r="I181" s="1" t="n">
        <f aca="false">SUM(I176:I180)</f>
        <v>9890.04242190532</v>
      </c>
      <c r="J181" s="1" t="n">
        <f aca="false">SUM(J176:J180)</f>
        <v>9879.35150048783</v>
      </c>
      <c r="K181" s="1" t="n">
        <f aca="false">SUM(K176:K180)</f>
        <v>9866.87961952507</v>
      </c>
      <c r="L181" s="1" t="n">
        <f aca="false">SUM(L176:L180)</f>
        <v>9851.78881744838</v>
      </c>
      <c r="M181" s="1" t="n">
        <f aca="false">SUM(M176:M180)</f>
        <v>9874.23020939393</v>
      </c>
      <c r="N181" s="1" t="n">
        <f aca="false">SUM(N176:N180)</f>
        <v>9854.13124612931</v>
      </c>
      <c r="O181" s="1" t="n">
        <f aca="false">SUM(O176:O180)</f>
        <v>9831.6574800302</v>
      </c>
      <c r="P181" s="1" t="n">
        <f aca="false">SUM(P176:P180)</f>
        <v>9805.31494262526</v>
      </c>
      <c r="Q181" s="1" t="n">
        <f aca="false">SUM(Q176:Q180)</f>
        <v>9774.39964018971</v>
      </c>
      <c r="R181" s="1" t="n">
        <f aca="false">SUM(R176:R180)</f>
        <v>9738.08062836897</v>
      </c>
      <c r="S181" s="1" t="n">
        <f aca="false">SUM(S176:S180)</f>
        <v>9655.37667913631</v>
      </c>
      <c r="T181" s="1" t="n">
        <f aca="false">SUM(T176:T180)</f>
        <v>9640.72521081989</v>
      </c>
      <c r="U181" s="1" t="n">
        <f aca="false">SUM(U176:U180)</f>
        <v>9581.56797509759</v>
      </c>
      <c r="V181" s="1" t="n">
        <f aca="false">SUM(V176:V180)</f>
        <v>9511.88481581539</v>
      </c>
      <c r="W181" s="1" t="n">
        <f aca="false">SUM(W176:W180)</f>
        <v>9429.76790925685</v>
      </c>
      <c r="X181" s="1" t="n">
        <f aca="false">SUM(X176:X180)</f>
        <v>9332.96372816666</v>
      </c>
      <c r="Y181" s="1" t="n">
        <f aca="false">SUM(Y176:Y180)</f>
        <v>9218.81021290026</v>
      </c>
      <c r="Z181" s="1" t="n">
        <f aca="false">SUM(Z176:Z180)</f>
        <v>9048.16227973972</v>
      </c>
      <c r="AA181" s="1" t="n">
        <f aca="false">SUM(AA176:AA180)</f>
        <v>8921.34063542578</v>
      </c>
      <c r="AB181" s="1" t="n">
        <f aca="false">SUM(AB176:AB180)</f>
        <v>8735.75909256068</v>
      </c>
      <c r="AC181" s="1" t="n">
        <f aca="false">SUM(AC176:AC180)</f>
        <v>8590.8070886704</v>
      </c>
    </row>
    <row r="183" customFormat="false" ht="12.8" hidden="false" customHeight="false" outlineLevel="0" collapsed="false">
      <c r="A183" s="1" t="s">
        <v>321</v>
      </c>
      <c r="B183" s="1" t="s">
        <v>575</v>
      </c>
      <c r="C183" s="1" t="n">
        <v>2024</v>
      </c>
      <c r="D183" s="1" t="n">
        <v>2025</v>
      </c>
      <c r="E183" s="1" t="n">
        <v>2026</v>
      </c>
      <c r="F183" s="1" t="n">
        <v>2027</v>
      </c>
      <c r="G183" s="1" t="n">
        <v>2028</v>
      </c>
      <c r="H183" s="1" t="n">
        <v>2029</v>
      </c>
      <c r="I183" s="1" t="n">
        <v>2030</v>
      </c>
      <c r="J183" s="1" t="n">
        <v>2031</v>
      </c>
      <c r="K183" s="1" t="n">
        <v>2032</v>
      </c>
      <c r="L183" s="1" t="n">
        <v>2033</v>
      </c>
      <c r="M183" s="1" t="n">
        <v>2034</v>
      </c>
      <c r="N183" s="1" t="n">
        <v>2035</v>
      </c>
      <c r="O183" s="1" t="n">
        <v>2036</v>
      </c>
      <c r="P183" s="1" t="n">
        <v>2037</v>
      </c>
      <c r="Q183" s="1" t="n">
        <v>2038</v>
      </c>
      <c r="R183" s="1" t="n">
        <v>2039</v>
      </c>
      <c r="S183" s="1" t="n">
        <v>2040</v>
      </c>
      <c r="T183" s="1" t="n">
        <v>2041</v>
      </c>
      <c r="U183" s="1" t="n">
        <v>2042</v>
      </c>
      <c r="V183" s="1" t="n">
        <v>2043</v>
      </c>
      <c r="W183" s="1" t="n">
        <v>2044</v>
      </c>
      <c r="X183" s="1" t="n">
        <v>2045</v>
      </c>
      <c r="Y183" s="1" t="n">
        <v>2046</v>
      </c>
      <c r="Z183" s="1" t="n">
        <v>2047</v>
      </c>
      <c r="AA183" s="1" t="n">
        <v>2048</v>
      </c>
      <c r="AB183" s="1" t="n">
        <v>2049</v>
      </c>
      <c r="AC183" s="1" t="n">
        <v>2050</v>
      </c>
    </row>
    <row r="184" customFormat="false" ht="12.8" hidden="false" customHeight="false" outlineLevel="0" collapsed="false">
      <c r="A184" s="1" t="s">
        <v>37</v>
      </c>
      <c r="B184" s="1" t="n">
        <f aca="false">($B$30*$B$28)+($B$39*$B$42)</f>
        <v>71.3503343390438</v>
      </c>
      <c r="C184" s="1" t="n">
        <f aca="false">($B$30*$B$28)+($B$39*$B$42)</f>
        <v>71.3503343390438</v>
      </c>
      <c r="D184" s="1" t="n">
        <f aca="false">($B$30*$B$33)+($B$44*$B$47)</f>
        <v>2.50068859197704</v>
      </c>
      <c r="E184" s="1" t="n">
        <f aca="false">($B$30*$B$33)+($B$44*$B$47)</f>
        <v>2.50068859197704</v>
      </c>
      <c r="F184" s="1" t="n">
        <f aca="false">($B$30*$B$33)+($B$44*$B$47)</f>
        <v>2.50068859197704</v>
      </c>
      <c r="G184" s="1" t="n">
        <f aca="false">($B$30*$B$33)+($B$44*$B$47)</f>
        <v>2.50068859197704</v>
      </c>
      <c r="H184" s="1" t="n">
        <f aca="false">($B$30*$B$33)+($B$44*$B$47)</f>
        <v>2.50068859197704</v>
      </c>
      <c r="I184" s="1" t="n">
        <f aca="false">($B$30*$B$33)+($B$44*$B$47)</f>
        <v>2.50068859197704</v>
      </c>
      <c r="J184" s="1" t="n">
        <f aca="false">($B$30*$B$33)+($B$44*$B$47)</f>
        <v>2.50068859197704</v>
      </c>
      <c r="K184" s="1" t="n">
        <f aca="false">($B$30*$B$33)+($B$44*$B$47)</f>
        <v>2.50068859197704</v>
      </c>
      <c r="L184" s="1" t="n">
        <f aca="false">$K184*0.9</f>
        <v>2.25061973277934</v>
      </c>
      <c r="M184" s="1" t="n">
        <f aca="false">M169</f>
        <v>2.25061973277934</v>
      </c>
      <c r="N184" s="1" t="n">
        <f aca="false">N169</f>
        <v>2.25061973277934</v>
      </c>
      <c r="O184" s="1" t="n">
        <f aca="false">O169</f>
        <v>2.25061973277934</v>
      </c>
      <c r="P184" s="1" t="n">
        <f aca="false">P169</f>
        <v>2.25061973277934</v>
      </c>
      <c r="Q184" s="1" t="n">
        <f aca="false">Q169</f>
        <v>2.25061973277934</v>
      </c>
      <c r="R184" s="1" t="n">
        <f aca="false">R169</f>
        <v>2.25061973277934</v>
      </c>
      <c r="S184" s="1" t="n">
        <f aca="false">S169</f>
        <v>2.0255577595014</v>
      </c>
      <c r="T184" s="1" t="n">
        <f aca="false">T169</f>
        <v>2.0255577595014</v>
      </c>
      <c r="U184" s="1" t="n">
        <f aca="false">U169</f>
        <v>2.0255577595014</v>
      </c>
      <c r="V184" s="1" t="n">
        <f aca="false">V169</f>
        <v>2.0255577595014</v>
      </c>
      <c r="W184" s="1" t="n">
        <f aca="false">W169</f>
        <v>2.0255577595014</v>
      </c>
      <c r="X184" s="1" t="n">
        <f aca="false">X169</f>
        <v>2.0255577595014</v>
      </c>
      <c r="Y184" s="1" t="n">
        <f aca="false">Y169</f>
        <v>2.0255577595014</v>
      </c>
      <c r="Z184" s="1" t="n">
        <f aca="false">Z169</f>
        <v>1.82300198355126</v>
      </c>
      <c r="AA184" s="1" t="n">
        <f aca="false">AA169</f>
        <v>1.82300198355126</v>
      </c>
      <c r="AB184" s="1" t="n">
        <f aca="false">AB169</f>
        <v>1.82300198355126</v>
      </c>
      <c r="AC184" s="1" t="n">
        <f aca="false">AC169</f>
        <v>1.82300198355126</v>
      </c>
    </row>
    <row r="185" customFormat="false" ht="12.8" hidden="false" customHeight="false" outlineLevel="0" collapsed="false">
      <c r="A185" s="1" t="s">
        <v>18</v>
      </c>
      <c r="B185" s="1" t="n">
        <f aca="false">$B$10</f>
        <v>114.460356578722</v>
      </c>
      <c r="C185" s="1" t="n">
        <f aca="false">$B$10</f>
        <v>114.460356578722</v>
      </c>
      <c r="D185" s="1" t="n">
        <f aca="false">$B$10</f>
        <v>114.460356578722</v>
      </c>
      <c r="E185" s="1" t="n">
        <f aca="false">($B$18*0.25)+($B$10*0.75)</f>
        <v>85.8452674340417</v>
      </c>
      <c r="F185" s="141" t="n">
        <f aca="false">$B$18</f>
        <v>0</v>
      </c>
      <c r="G185" s="141" t="n">
        <f aca="false">$B$18</f>
        <v>0</v>
      </c>
      <c r="H185" s="141" t="n">
        <f aca="false">$B$18</f>
        <v>0</v>
      </c>
      <c r="I185" s="141" t="n">
        <f aca="false">$B$18</f>
        <v>0</v>
      </c>
      <c r="J185" s="141" t="n">
        <f aca="false">$B$18</f>
        <v>0</v>
      </c>
      <c r="K185" s="141" t="n">
        <f aca="false">$B$18</f>
        <v>0</v>
      </c>
      <c r="L185" s="141" t="n">
        <f aca="false">$B$18</f>
        <v>0</v>
      </c>
      <c r="M185" s="141" t="n">
        <f aca="false">$B$18</f>
        <v>0</v>
      </c>
      <c r="N185" s="141" t="n">
        <f aca="false">$B$18</f>
        <v>0</v>
      </c>
      <c r="O185" s="141" t="n">
        <f aca="false">$B$18</f>
        <v>0</v>
      </c>
      <c r="P185" s="141" t="n">
        <f aca="false">$B$18</f>
        <v>0</v>
      </c>
      <c r="Q185" s="141" t="n">
        <f aca="false">$B$18</f>
        <v>0</v>
      </c>
      <c r="R185" s="141" t="n">
        <f aca="false">$B$18</f>
        <v>0</v>
      </c>
      <c r="S185" s="141" t="n">
        <f aca="false">$B$18</f>
        <v>0</v>
      </c>
      <c r="T185" s="141" t="n">
        <f aca="false">$B$18</f>
        <v>0</v>
      </c>
      <c r="U185" s="141" t="n">
        <f aca="false">$B$18</f>
        <v>0</v>
      </c>
      <c r="V185" s="141" t="n">
        <f aca="false">$B$18</f>
        <v>0</v>
      </c>
      <c r="W185" s="141" t="n">
        <f aca="false">$B$18</f>
        <v>0</v>
      </c>
      <c r="X185" s="141" t="n">
        <f aca="false">$B$18</f>
        <v>0</v>
      </c>
      <c r="Y185" s="141" t="n">
        <f aca="false">$B$18</f>
        <v>0</v>
      </c>
      <c r="Z185" s="141" t="n">
        <f aca="false">$B$18</f>
        <v>0</v>
      </c>
      <c r="AA185" s="141" t="n">
        <f aca="false">$B$18</f>
        <v>0</v>
      </c>
      <c r="AB185" s="141" t="n">
        <f aca="false">$B$18</f>
        <v>0</v>
      </c>
      <c r="AC185" s="141" t="n">
        <f aca="false">$B$18</f>
        <v>0</v>
      </c>
      <c r="AD185" s="1"/>
    </row>
    <row r="186" customFormat="false" ht="12.8" hidden="false" customHeight="false" outlineLevel="0" collapsed="false">
      <c r="A186" s="3" t="s">
        <v>39</v>
      </c>
      <c r="B186" s="1" t="n">
        <f aca="false">SUM(B184:B185)</f>
        <v>185.810690917766</v>
      </c>
      <c r="C186" s="1" t="n">
        <f aca="false">SUM(C184:C185)</f>
        <v>185.810690917766</v>
      </c>
      <c r="D186" s="1" t="n">
        <f aca="false">SUM(D184:D185)</f>
        <v>116.961045170699</v>
      </c>
      <c r="E186" s="1" t="n">
        <f aca="false">SUM(E184:E185)</f>
        <v>88.3459560260187</v>
      </c>
      <c r="F186" s="1" t="n">
        <f aca="false">SUM(F184:F185)</f>
        <v>2.50068859197704</v>
      </c>
      <c r="G186" s="1" t="n">
        <f aca="false">SUM(G184:G185)</f>
        <v>2.50068859197704</v>
      </c>
      <c r="H186" s="1" t="n">
        <f aca="false">SUM(H184:H185)</f>
        <v>2.50068859197704</v>
      </c>
      <c r="I186" s="1" t="n">
        <f aca="false">SUM(I184:I185)</f>
        <v>2.50068859197704</v>
      </c>
      <c r="J186" s="1" t="n">
        <f aca="false">SUM(J184:J185)</f>
        <v>2.50068859197704</v>
      </c>
      <c r="K186" s="1" t="n">
        <f aca="false">SUM(K184:K185)</f>
        <v>2.50068859197704</v>
      </c>
      <c r="L186" s="1" t="n">
        <f aca="false">SUM(L184:L185)</f>
        <v>2.25061973277934</v>
      </c>
      <c r="M186" s="1" t="n">
        <f aca="false">SUM(M184:M185)</f>
        <v>2.25061973277934</v>
      </c>
      <c r="N186" s="1" t="n">
        <f aca="false">SUM(N184:N185)</f>
        <v>2.25061973277934</v>
      </c>
      <c r="O186" s="1" t="n">
        <f aca="false">SUM(O184:O185)</f>
        <v>2.25061973277934</v>
      </c>
      <c r="P186" s="1" t="n">
        <f aca="false">SUM(P184:P185)</f>
        <v>2.25061973277934</v>
      </c>
      <c r="Q186" s="1" t="n">
        <f aca="false">SUM(Q184:Q185)</f>
        <v>2.25061973277934</v>
      </c>
      <c r="R186" s="1" t="n">
        <f aca="false">SUM(R184:R185)</f>
        <v>2.25061973277934</v>
      </c>
      <c r="S186" s="1" t="n">
        <f aca="false">SUM(S184:S185)</f>
        <v>2.0255577595014</v>
      </c>
      <c r="T186" s="1" t="n">
        <f aca="false">SUM(T184:T185)</f>
        <v>2.0255577595014</v>
      </c>
      <c r="U186" s="1" t="n">
        <f aca="false">SUM(U184:U185)</f>
        <v>2.0255577595014</v>
      </c>
      <c r="V186" s="1" t="n">
        <f aca="false">SUM(V184:V185)</f>
        <v>2.0255577595014</v>
      </c>
      <c r="W186" s="1" t="n">
        <f aca="false">SUM(W184:W185)</f>
        <v>2.0255577595014</v>
      </c>
      <c r="X186" s="1" t="n">
        <f aca="false">SUM(X184:X185)</f>
        <v>2.0255577595014</v>
      </c>
      <c r="Y186" s="1" t="n">
        <f aca="false">SUM(Y184:Y185)</f>
        <v>2.0255577595014</v>
      </c>
      <c r="Z186" s="1" t="n">
        <f aca="false">SUM(Z184:Z185)</f>
        <v>1.82300198355126</v>
      </c>
      <c r="AA186" s="1" t="n">
        <f aca="false">SUM(AA184:AA185)</f>
        <v>1.82300198355126</v>
      </c>
      <c r="AB186" s="1" t="n">
        <f aca="false">SUM(AB184:AB185)</f>
        <v>1.82300198355126</v>
      </c>
      <c r="AC186" s="1" t="n">
        <f aca="false">SUM(AC184:AC185)</f>
        <v>1.82300198355126</v>
      </c>
    </row>
    <row r="187" customFormat="false" ht="12.8" hidden="false" customHeight="false" outlineLevel="0" collapsed="false">
      <c r="A187" s="1" t="s">
        <v>40</v>
      </c>
      <c r="B187" s="1" t="n">
        <f aca="false">$B$73</f>
        <v>1907.7</v>
      </c>
      <c r="C187" s="1" t="n">
        <f aca="false">$B$73</f>
        <v>1907.7</v>
      </c>
      <c r="D187" s="1" t="n">
        <f aca="false">($B$73*(1-C$94))+($B$79*C$94)</f>
        <v>1900.55264424539</v>
      </c>
      <c r="E187" s="1" t="n">
        <f aca="false">($B$73*(1-D$94))+($B$79*D$94)</f>
        <v>1898.76580530673</v>
      </c>
      <c r="F187" s="1" t="n">
        <f aca="false">($B$73*(1-E$94))+($B$79*E$94)</f>
        <v>1896.53225663342</v>
      </c>
      <c r="G187" s="1" t="n">
        <f aca="false">($B$73*(1-F$94))+($B$79*F$94)</f>
        <v>1893.74032079177</v>
      </c>
      <c r="H187" s="1" t="n">
        <f aca="false">($B$73*(1-G$94))+($B$79*G$94)</f>
        <v>1890.25040098971</v>
      </c>
      <c r="I187" s="1" t="n">
        <f aca="false">($B$73*(1-H$94))+($B$79*H$94)</f>
        <v>1885.01552128663</v>
      </c>
      <c r="J187" s="1" t="n">
        <f aca="false">($B$73*(1-I$94))+($B$79*I$94)</f>
        <v>1878.21017767262</v>
      </c>
      <c r="K187" s="1" t="n">
        <f aca="false">($B$73*(1-J$94))+($B$79*J$94)</f>
        <v>1869.3632309744</v>
      </c>
      <c r="L187" s="1" t="n">
        <f aca="false">($B$73*(1-K$94))+($B$79*K$94)</f>
        <v>1857.86220026672</v>
      </c>
      <c r="M187" s="1" t="n">
        <f aca="false">($B$73*(1-L$94))+($B$79*L$94)</f>
        <v>1842.91086034674</v>
      </c>
      <c r="N187" s="1" t="n">
        <f aca="false">($B$73*(1-M$94))+($B$79*M$94)</f>
        <v>1823.47411845076</v>
      </c>
      <c r="O187" s="1" t="n">
        <f aca="false">($B$73*(1-N$94))+($B$79*N$94)</f>
        <v>1798.20635398599</v>
      </c>
      <c r="P187" s="1" t="n">
        <f aca="false">($B$73*(1-O$94))+($B$79*O$94)</f>
        <v>1788.35192584473</v>
      </c>
      <c r="Q187" s="1" t="n">
        <f aca="false">($B$73*(1-P$94))+($B$79*P$94)</f>
        <v>1777.61059917075</v>
      </c>
      <c r="R187" s="1" t="n">
        <f aca="false">($B$73*(1-Q$94))+($B$79*Q$94)</f>
        <v>1765.90255309612</v>
      </c>
      <c r="S187" s="1" t="n">
        <f aca="false">($B$73*(1-R$94))+($B$79*R$94)</f>
        <v>1753.14078287477</v>
      </c>
      <c r="T187" s="1" t="n">
        <f aca="false">($B$73*(1-S$94))+($B$79*S$94)</f>
        <v>1739.2304533335</v>
      </c>
      <c r="U187" s="1" t="n">
        <f aca="false">($B$73*(1-T$94))+($B$79*T$94)</f>
        <v>1724.06819413352</v>
      </c>
      <c r="V187" s="1" t="n">
        <f aca="false">($B$73*(1-U$94))+($B$79*U$94)</f>
        <v>1707.54133160553</v>
      </c>
      <c r="W187" s="1" t="n">
        <f aca="false">($B$73*(1-V$94))+($B$79*V$94)</f>
        <v>1689.52705145003</v>
      </c>
      <c r="X187" s="1" t="n">
        <f aca="false">($B$73*(1-W$94))+($B$79*W$94)</f>
        <v>1669.89148608054</v>
      </c>
      <c r="Y187" s="1" t="n">
        <f aca="false">($B$73*(1-X$94))+($B$79*X$94)</f>
        <v>1648.48871982778</v>
      </c>
      <c r="Z187" s="1" t="n">
        <f aca="false">($B$73*(1-Y$94))+($B$79*Y$94)</f>
        <v>1625.15970461228</v>
      </c>
      <c r="AA187" s="1" t="n">
        <f aca="false">($B$73*(1-Z$94))+($B$79*Z$94)</f>
        <v>1599.73107802739</v>
      </c>
      <c r="AB187" s="1" t="n">
        <f aca="false">($B$73*(1-AA$94))+($B$79*AA$94)</f>
        <v>1572.01387504985</v>
      </c>
      <c r="AC187" s="1" t="n">
        <f aca="false">($B$73*(1-AB$94))+($B$79*AB$94)</f>
        <v>1541.80212380434</v>
      </c>
    </row>
    <row r="188" customFormat="false" ht="12.8" hidden="false" customHeight="false" outlineLevel="0" collapsed="false">
      <c r="A188" s="1" t="s">
        <v>41</v>
      </c>
      <c r="B188" s="1" t="n">
        <f aca="false">($C$57*(1-B$101))+($C$58*B$101)</f>
        <v>8018.82390447805</v>
      </c>
      <c r="C188" s="1" t="n">
        <f aca="false">($C$57*(1-C$101))+($C$58*C$101)</f>
        <v>8018.82390447805</v>
      </c>
      <c r="D188" s="1" t="n">
        <f aca="false">($C$57*(1-D$101))+($C$58*D$101)</f>
        <v>7993.33549992453</v>
      </c>
      <c r="E188" s="1" t="n">
        <f aca="false">($C$57*(1-E$101))+($C$58*E$101)</f>
        <v>7963.20820574227</v>
      </c>
      <c r="F188" s="1" t="n">
        <f aca="false">($C$57*(1-F$101))+($C$58*F$101)</f>
        <v>7927.59774401884</v>
      </c>
      <c r="G188" s="1" t="n">
        <f aca="false">($C$57*(1-G$101))+($C$58*G$101)</f>
        <v>7885.50617826174</v>
      </c>
      <c r="H188" s="1" t="n">
        <f aca="false">($C$57*(1-H$101))+($C$58*H$101)</f>
        <v>7835.75394753686</v>
      </c>
      <c r="I188" s="1" t="n">
        <f aca="false">($C$57*(1-I$101))+($C$58*I$101)</f>
        <v>7776.94681082004</v>
      </c>
      <c r="J188" s="1" t="n">
        <f aca="false">($C$57*(1-J$101))+($C$58*J$101)</f>
        <v>7707.43677522076</v>
      </c>
      <c r="K188" s="1" t="n">
        <f aca="false">($C$57*(1-K$101))+($C$58*K$101)</f>
        <v>7629.38395624633</v>
      </c>
      <c r="L188" s="1" t="n">
        <f aca="false">($C$57*(1-L$101))+($C$58*L$101)</f>
        <v>7538.00926288324</v>
      </c>
      <c r="M188" s="1" t="n">
        <f aca="false">($C$57*(1-M$101))+($C$58*M$101)</f>
        <v>7431.23906782624</v>
      </c>
      <c r="N188" s="1" t="n">
        <f aca="false">($C$57*(1-N$101))+($C$58*N$101)</f>
        <v>7306.76171579066</v>
      </c>
      <c r="O188" s="1" t="n">
        <f aca="false">($C$57*(1-O$101))+($C$58*O$101)</f>
        <v>7162.03955046186</v>
      </c>
      <c r="P188" s="1" t="n">
        <f aca="false">($C$57*(1-P$101))+($C$58*P$101)</f>
        <v>6994.34511038507</v>
      </c>
      <c r="Q188" s="1" t="n">
        <f aca="false">($C$57*(1-Q$101))+($C$58*Q$101)</f>
        <v>6800.83462134265</v>
      </c>
      <c r="R188" s="1" t="n">
        <f aca="false">($C$57*(1-R$101))+($C$58*R$101)</f>
        <v>6589.78561104222</v>
      </c>
      <c r="S188" s="1" t="n">
        <f aca="false">($C$57*(1-S$101))+($C$58*S$101)</f>
        <v>6351.35520967396</v>
      </c>
      <c r="T188" s="1" t="n">
        <f aca="false">($C$57*(1-T$101))+($C$58*T$101)</f>
        <v>6084.68535320956</v>
      </c>
      <c r="U188" s="1" t="n">
        <f aca="false">($C$57*(1-U$101))+($C$58*U$101)</f>
        <v>5790.23414639544</v>
      </c>
      <c r="V188" s="1" t="n">
        <f aca="false">($C$57*(1-V$101))+($C$58*V$101)</f>
        <v>5474.94045137874</v>
      </c>
      <c r="W188" s="1" t="n">
        <f aca="false">($C$57*(1-W$101))+($C$58*W$101)</f>
        <v>5191.67393710195</v>
      </c>
      <c r="X188" s="1" t="n">
        <f aca="false">($C$57*(1-X$101))+($C$58*X$101)</f>
        <v>4944.92637067326</v>
      </c>
      <c r="Y188" s="1" t="n">
        <f aca="false">($C$57*(1-Y$101))+($C$58*Y$101)</f>
        <v>4749.74851343125</v>
      </c>
      <c r="Z188" s="1" t="n">
        <f aca="false">($C$57*(1-Z$101))+($C$58*Z$101)</f>
        <v>4599.91281127447</v>
      </c>
      <c r="AA188" s="1" t="n">
        <f aca="false">($C$57*(1-AA$101))+($C$58*AA$101)</f>
        <v>4499.19523344891</v>
      </c>
      <c r="AB188" s="1" t="n">
        <f aca="false">($C$57*(1-AB$101))+($C$58*AB$101)</f>
        <v>4450.44726698532</v>
      </c>
      <c r="AC188" s="1" t="n">
        <f aca="false">($C$57*(1-AC$101))+($C$58*AC$101)</f>
        <v>4450.44726698532</v>
      </c>
    </row>
    <row r="189" customFormat="false" ht="12.8" hidden="false" customHeight="false" outlineLevel="0" collapsed="false">
      <c r="A189" s="1" t="s">
        <v>20</v>
      </c>
      <c r="B189" s="1" t="n">
        <f aca="false">SUM(B184:B188)</f>
        <v>10298.1452863136</v>
      </c>
      <c r="C189" s="1" t="n">
        <f aca="false">SUM(C176:C180)</f>
        <v>10298.1452863136</v>
      </c>
      <c r="D189" s="1" t="n">
        <f aca="false">SUM(D176:D180)</f>
        <v>10156.0380001496</v>
      </c>
      <c r="E189" s="1" t="n">
        <f aca="false">SUM(E176:E180)</f>
        <v>10093.8568659646</v>
      </c>
      <c r="F189" s="1" t="n">
        <f aca="false">SUM(F176:F180)</f>
        <v>9916.55834245525</v>
      </c>
      <c r="G189" s="1" t="n">
        <f aca="false">SUM(G176:G180)</f>
        <v>9910.15938574237</v>
      </c>
      <c r="H189" s="1" t="n">
        <f aca="false">SUM(H176:H180)</f>
        <v>9902.81199383581</v>
      </c>
      <c r="I189" s="1" t="n">
        <f aca="false">SUM(I176:I180)</f>
        <v>9890.04242190532</v>
      </c>
      <c r="J189" s="1" t="n">
        <f aca="false">SUM(J176:J180)</f>
        <v>9879.35150048783</v>
      </c>
      <c r="K189" s="1" t="n">
        <f aca="false">SUM(K176:K180)</f>
        <v>9866.87961952507</v>
      </c>
      <c r="L189" s="1" t="n">
        <f aca="false">SUM(L176:L180)</f>
        <v>9851.78881744838</v>
      </c>
      <c r="M189" s="1" t="n">
        <f aca="false">SUM(M176:M180)</f>
        <v>9874.23020939393</v>
      </c>
      <c r="N189" s="1" t="n">
        <f aca="false">SUM(N176:N180)</f>
        <v>9854.13124612931</v>
      </c>
      <c r="O189" s="1" t="n">
        <f aca="false">SUM(O176:O180)</f>
        <v>9831.6574800302</v>
      </c>
      <c r="P189" s="1" t="n">
        <f aca="false">SUM(P176:P180)</f>
        <v>9805.31494262526</v>
      </c>
      <c r="Q189" s="1" t="n">
        <f aca="false">SUM(Q176:Q180)</f>
        <v>9774.39964018971</v>
      </c>
      <c r="R189" s="1" t="n">
        <f aca="false">SUM(R176:R180)</f>
        <v>9738.08062836897</v>
      </c>
      <c r="S189" s="1" t="n">
        <f aca="false">SUM(S176:S180)</f>
        <v>9655.37667913631</v>
      </c>
      <c r="T189" s="1" t="n">
        <f aca="false">SUM(T176:T180)</f>
        <v>9640.72521081989</v>
      </c>
      <c r="U189" s="1" t="n">
        <f aca="false">SUM(U176:U180)</f>
        <v>9581.56797509759</v>
      </c>
      <c r="V189" s="1" t="n">
        <f aca="false">SUM(V176:V180)</f>
        <v>9511.88481581539</v>
      </c>
      <c r="W189" s="1" t="n">
        <f aca="false">SUM(W176:W180)</f>
        <v>9429.76790925685</v>
      </c>
      <c r="X189" s="1" t="n">
        <f aca="false">SUM(X176:X180)</f>
        <v>9332.96372816666</v>
      </c>
      <c r="Y189" s="1" t="n">
        <f aca="false">SUM(Y176:Y180)</f>
        <v>9218.81021290026</v>
      </c>
      <c r="Z189" s="1" t="n">
        <f aca="false">SUM(Z176:Z180)</f>
        <v>9048.16227973972</v>
      </c>
      <c r="AA189" s="1" t="n">
        <f aca="false">SUM(AA176:AA180)</f>
        <v>8921.34063542578</v>
      </c>
      <c r="AB189" s="1" t="n">
        <f aca="false">SUM(AB176:AB180)</f>
        <v>8735.75909256068</v>
      </c>
      <c r="AC189" s="1" t="n">
        <f aca="false">SUM(AC176:AC180)</f>
        <v>8590.8070886704</v>
      </c>
    </row>
    <row r="191" customFormat="false" ht="12.8" hidden="false" customHeight="false" outlineLevel="0" collapsed="false">
      <c r="A191" s="1" t="s">
        <v>322</v>
      </c>
      <c r="B191" s="1" t="s">
        <v>575</v>
      </c>
      <c r="C191" s="1" t="n">
        <v>2024</v>
      </c>
      <c r="D191" s="1" t="n">
        <v>2025</v>
      </c>
      <c r="E191" s="1" t="n">
        <v>2026</v>
      </c>
      <c r="F191" s="1" t="n">
        <v>2027</v>
      </c>
      <c r="G191" s="1" t="n">
        <v>2028</v>
      </c>
      <c r="H191" s="1" t="n">
        <v>2029</v>
      </c>
      <c r="I191" s="1" t="n">
        <v>2030</v>
      </c>
      <c r="J191" s="1" t="n">
        <v>2031</v>
      </c>
      <c r="K191" s="1" t="n">
        <v>2032</v>
      </c>
      <c r="L191" s="1" t="n">
        <v>2033</v>
      </c>
      <c r="M191" s="1" t="n">
        <v>2034</v>
      </c>
      <c r="N191" s="1" t="n">
        <v>2035</v>
      </c>
      <c r="O191" s="1" t="n">
        <v>2036</v>
      </c>
      <c r="P191" s="1" t="n">
        <v>2037</v>
      </c>
      <c r="Q191" s="1" t="n">
        <v>2038</v>
      </c>
      <c r="R191" s="1" t="n">
        <v>2039</v>
      </c>
      <c r="S191" s="1" t="n">
        <v>2040</v>
      </c>
      <c r="T191" s="1" t="n">
        <v>2041</v>
      </c>
      <c r="U191" s="1" t="n">
        <v>2042</v>
      </c>
      <c r="V191" s="1" t="n">
        <v>2043</v>
      </c>
      <c r="W191" s="1" t="n">
        <v>2044</v>
      </c>
      <c r="X191" s="1" t="n">
        <v>2045</v>
      </c>
      <c r="Y191" s="1" t="n">
        <v>2046</v>
      </c>
      <c r="Z191" s="1" t="n">
        <v>2047</v>
      </c>
      <c r="AA191" s="1" t="n">
        <v>2048</v>
      </c>
      <c r="AB191" s="1" t="n">
        <v>2049</v>
      </c>
      <c r="AC191" s="1" t="n">
        <v>2050</v>
      </c>
    </row>
    <row r="192" customFormat="false" ht="12.8" hidden="false" customHeight="false" outlineLevel="0" collapsed="false">
      <c r="A192" s="1" t="s">
        <v>37</v>
      </c>
      <c r="B192" s="1" t="n">
        <f aca="false">($B$30*$B$28)+($B$39*$B$42)</f>
        <v>71.3503343390438</v>
      </c>
      <c r="C192" s="1" t="n">
        <f aca="false">($B$30*$B$28)+($B$39*$B$42)</f>
        <v>71.3503343390438</v>
      </c>
      <c r="D192" s="1" t="n">
        <f aca="false">($B$30*$B$33)+($B$44*$B$47)</f>
        <v>2.50068859197704</v>
      </c>
      <c r="E192" s="1" t="n">
        <f aca="false">($B$30*$B$33)+($B$44*$B$47)</f>
        <v>2.50068859197704</v>
      </c>
      <c r="F192" s="1" t="n">
        <f aca="false">($B$30*$B$33)+($B$44*$B$47)</f>
        <v>2.50068859197704</v>
      </c>
      <c r="G192" s="1" t="n">
        <f aca="false">($B$30*$B$33)+($B$44*$B$47)</f>
        <v>2.50068859197704</v>
      </c>
      <c r="H192" s="1" t="n">
        <f aca="false">($B$30*$B$33)+($B$44*$B$47)</f>
        <v>2.50068859197704</v>
      </c>
      <c r="I192" s="1" t="n">
        <f aca="false">($B$30*$B$33)+($B$44*$B$47)</f>
        <v>2.50068859197704</v>
      </c>
      <c r="J192" s="1" t="n">
        <f aca="false">($B$30*$B$33)+($B$44*$B$47)</f>
        <v>2.50068859197704</v>
      </c>
      <c r="K192" s="1" t="n">
        <f aca="false">($B$30*$B$33)+($B$44*$B$47)</f>
        <v>2.50068859197704</v>
      </c>
      <c r="L192" s="1" t="n">
        <f aca="false">$K192*0.9</f>
        <v>2.25061973277934</v>
      </c>
      <c r="M192" s="1" t="n">
        <v>22.0256904333107</v>
      </c>
      <c r="N192" s="1" t="n">
        <v>22.0256904333107</v>
      </c>
      <c r="O192" s="1" t="n">
        <v>22.0256904333107</v>
      </c>
      <c r="P192" s="1" t="n">
        <v>22.0256904333107</v>
      </c>
      <c r="Q192" s="1" t="n">
        <v>22.0256904333107</v>
      </c>
      <c r="R192" s="1" t="n">
        <v>22.0256904333107</v>
      </c>
      <c r="S192" s="1" t="n">
        <f aca="false">$L192*0.9</f>
        <v>2.0255577595014</v>
      </c>
      <c r="T192" s="1" t="n">
        <v>19.8231213899797</v>
      </c>
      <c r="U192" s="1" t="n">
        <v>19.8231213899797</v>
      </c>
      <c r="V192" s="1" t="n">
        <v>19.8231213899797</v>
      </c>
      <c r="W192" s="1" t="n">
        <v>19.8231213899797</v>
      </c>
      <c r="X192" s="1" t="n">
        <v>19.8231213899797</v>
      </c>
      <c r="Y192" s="1" t="n">
        <v>19.8231213899797</v>
      </c>
      <c r="Z192" s="1" t="n">
        <f aca="false">$S192*0.9</f>
        <v>1.82300198355126</v>
      </c>
      <c r="AA192" s="1" t="n">
        <v>17.8408092509817</v>
      </c>
      <c r="AB192" s="1" t="n">
        <f aca="false">$S192*0.9</f>
        <v>1.82300198355126</v>
      </c>
      <c r="AC192" s="1" t="n">
        <f aca="false">$S192*0.9</f>
        <v>1.82300198355126</v>
      </c>
    </row>
    <row r="193" customFormat="false" ht="12.8" hidden="false" customHeight="false" outlineLevel="0" collapsed="false">
      <c r="A193" s="1" t="s">
        <v>18</v>
      </c>
      <c r="B193" s="1" t="n">
        <f aca="false">$B$10</f>
        <v>114.460356578722</v>
      </c>
      <c r="C193" s="1" t="n">
        <f aca="false">$B$10</f>
        <v>114.460356578722</v>
      </c>
      <c r="D193" s="1" t="n">
        <f aca="false">$B$10</f>
        <v>114.460356578722</v>
      </c>
      <c r="E193" s="1" t="n">
        <f aca="false">($B$18*0.25)+($B$10*0.75)</f>
        <v>85.8452674340417</v>
      </c>
      <c r="F193" s="141" t="n">
        <f aca="false">$B$18</f>
        <v>0</v>
      </c>
      <c r="G193" s="141" t="n">
        <f aca="false">$B$18</f>
        <v>0</v>
      </c>
      <c r="H193" s="141" t="n">
        <f aca="false">$B$18</f>
        <v>0</v>
      </c>
      <c r="I193" s="141" t="n">
        <f aca="false">$B$18</f>
        <v>0</v>
      </c>
      <c r="J193" s="141" t="n">
        <f aca="false">$B$18</f>
        <v>0</v>
      </c>
      <c r="K193" s="141" t="n">
        <f aca="false">$B$18</f>
        <v>0</v>
      </c>
      <c r="L193" s="141" t="n">
        <f aca="false">$B$18</f>
        <v>0</v>
      </c>
      <c r="M193" s="141" t="n">
        <f aca="false">$B$18</f>
        <v>0</v>
      </c>
      <c r="N193" s="141" t="n">
        <f aca="false">$B$18</f>
        <v>0</v>
      </c>
      <c r="O193" s="141" t="n">
        <f aca="false">$B$18</f>
        <v>0</v>
      </c>
      <c r="P193" s="141" t="n">
        <f aca="false">$B$18</f>
        <v>0</v>
      </c>
      <c r="Q193" s="141" t="n">
        <f aca="false">$B$18</f>
        <v>0</v>
      </c>
      <c r="R193" s="141" t="n">
        <f aca="false">$B$18</f>
        <v>0</v>
      </c>
      <c r="S193" s="141" t="n">
        <f aca="false">$B$18</f>
        <v>0</v>
      </c>
      <c r="T193" s="141" t="n">
        <f aca="false">$B$18</f>
        <v>0</v>
      </c>
      <c r="U193" s="141" t="n">
        <f aca="false">$B$18</f>
        <v>0</v>
      </c>
      <c r="V193" s="141" t="n">
        <f aca="false">$B$18</f>
        <v>0</v>
      </c>
      <c r="W193" s="141" t="n">
        <f aca="false">$B$18</f>
        <v>0</v>
      </c>
      <c r="X193" s="141" t="n">
        <f aca="false">$B$18</f>
        <v>0</v>
      </c>
      <c r="Y193" s="141" t="n">
        <f aca="false">$B$18</f>
        <v>0</v>
      </c>
      <c r="Z193" s="141" t="n">
        <f aca="false">$B$18</f>
        <v>0</v>
      </c>
      <c r="AA193" s="141" t="n">
        <f aca="false">$B$18</f>
        <v>0</v>
      </c>
      <c r="AB193" s="141" t="n">
        <f aca="false">$B$18</f>
        <v>0</v>
      </c>
      <c r="AC193" s="141" t="n">
        <f aca="false">$B$18</f>
        <v>0</v>
      </c>
      <c r="AD193" s="1"/>
    </row>
    <row r="194" customFormat="false" ht="12.8" hidden="false" customHeight="false" outlineLevel="0" collapsed="false">
      <c r="A194" s="3" t="s">
        <v>39</v>
      </c>
      <c r="B194" s="1" t="n">
        <f aca="false">SUM(B192:B193)</f>
        <v>185.810690917766</v>
      </c>
      <c r="C194" s="1" t="n">
        <f aca="false">SUM(C192:C193)</f>
        <v>185.810690917766</v>
      </c>
      <c r="D194" s="1" t="n">
        <f aca="false">SUM(D192:D193)</f>
        <v>116.961045170699</v>
      </c>
      <c r="E194" s="1" t="n">
        <f aca="false">SUM(E192:E193)</f>
        <v>88.3459560260187</v>
      </c>
      <c r="F194" s="1" t="n">
        <f aca="false">SUM(F192:F193)</f>
        <v>2.50068859197704</v>
      </c>
      <c r="G194" s="1" t="n">
        <f aca="false">SUM(G192:G193)</f>
        <v>2.50068859197704</v>
      </c>
      <c r="H194" s="1" t="n">
        <f aca="false">SUM(H192:H193)</f>
        <v>2.50068859197704</v>
      </c>
      <c r="I194" s="1" t="n">
        <f aca="false">SUM(I192:I193)</f>
        <v>2.50068859197704</v>
      </c>
      <c r="J194" s="1" t="n">
        <f aca="false">SUM(J192:J193)</f>
        <v>2.50068859197704</v>
      </c>
      <c r="K194" s="1" t="n">
        <f aca="false">SUM(K192:K193)</f>
        <v>2.50068859197704</v>
      </c>
      <c r="L194" s="1" t="n">
        <f aca="false">SUM(L192:L193)</f>
        <v>2.25061973277934</v>
      </c>
      <c r="M194" s="1" t="n">
        <f aca="false">SUM(M192:M193)</f>
        <v>22.0256904333107</v>
      </c>
      <c r="N194" s="1" t="n">
        <f aca="false">SUM(N192:N193)</f>
        <v>22.0256904333107</v>
      </c>
      <c r="O194" s="1" t="n">
        <f aca="false">SUM(O192:O193)</f>
        <v>22.0256904333107</v>
      </c>
      <c r="P194" s="1" t="n">
        <f aca="false">SUM(P192:P193)</f>
        <v>22.0256904333107</v>
      </c>
      <c r="Q194" s="1" t="n">
        <f aca="false">SUM(Q192:Q193)</f>
        <v>22.0256904333107</v>
      </c>
      <c r="R194" s="1" t="n">
        <f aca="false">SUM(R192:R193)</f>
        <v>22.0256904333107</v>
      </c>
      <c r="S194" s="1" t="n">
        <f aca="false">SUM(S192:S193)</f>
        <v>2.0255577595014</v>
      </c>
      <c r="T194" s="1" t="n">
        <f aca="false">SUM(T192:T193)</f>
        <v>19.8231213899797</v>
      </c>
      <c r="U194" s="1" t="n">
        <f aca="false">SUM(U192:U193)</f>
        <v>19.8231213899797</v>
      </c>
      <c r="V194" s="1" t="n">
        <f aca="false">SUM(V192:V193)</f>
        <v>19.8231213899797</v>
      </c>
      <c r="W194" s="1" t="n">
        <f aca="false">SUM(W192:W193)</f>
        <v>19.8231213899797</v>
      </c>
      <c r="X194" s="1" t="n">
        <f aca="false">SUM(X192:X193)</f>
        <v>19.8231213899797</v>
      </c>
      <c r="Y194" s="1" t="n">
        <f aca="false">SUM(Y192:Y193)</f>
        <v>19.8231213899797</v>
      </c>
      <c r="Z194" s="1" t="n">
        <f aca="false">SUM(Z192:Z193)</f>
        <v>1.82300198355126</v>
      </c>
      <c r="AA194" s="1" t="n">
        <f aca="false">SUM(AA192:AA193)</f>
        <v>17.8408092509817</v>
      </c>
      <c r="AB194" s="1" t="n">
        <f aca="false">SUM(AB192:AB193)</f>
        <v>1.82300198355126</v>
      </c>
      <c r="AC194" s="1" t="n">
        <f aca="false">SUM(AC192:AC193)</f>
        <v>1.82300198355126</v>
      </c>
      <c r="AD194" s="130"/>
    </row>
    <row r="195" customFormat="false" ht="12.8" hidden="false" customHeight="false" outlineLevel="0" collapsed="false">
      <c r="A195" s="1" t="s">
        <v>40</v>
      </c>
      <c r="B195" s="1" t="n">
        <f aca="false">($B$73*(1-B$95))+($B$79*B$95)</f>
        <v>1907.7</v>
      </c>
      <c r="C195" s="1" t="n">
        <f aca="false">($B$73*(1-B$95))+($B$79*B$95)</f>
        <v>1907.7</v>
      </c>
      <c r="D195" s="1" t="n">
        <f aca="false">($B$73*(1-C$95))+($B$79*C$95)</f>
        <v>1896.97896636808</v>
      </c>
      <c r="E195" s="1" t="n">
        <f aca="false">($B$73*(1-D$95))+($B$79*D$95)</f>
        <v>1893.7626562785</v>
      </c>
      <c r="F195" s="1" t="n">
        <f aca="false">($B$73*(1-E$95))+($B$79*E$95)</f>
        <v>1889.58145316206</v>
      </c>
      <c r="G195" s="1" t="n">
        <f aca="false">($B$73*(1-F$95))+($B$79*F$95)</f>
        <v>1884.14588911067</v>
      </c>
      <c r="H195" s="1" t="n">
        <f aca="false">($B$73*(1-G$95))+($B$79*G$95)</f>
        <v>1877.07965584387</v>
      </c>
      <c r="I195" s="1" t="n">
        <f aca="false">($B$73*(1-H$95))+($B$79*H$95)</f>
        <v>1867.89355259704</v>
      </c>
      <c r="J195" s="1" t="n">
        <f aca="false">($B$73*(1-I$95))+($B$79*I$95)</f>
        <v>1855.95161837615</v>
      </c>
      <c r="K195" s="1" t="n">
        <f aca="false">($B$73*(1-J$95))+($B$79*J$95)</f>
        <v>1840.42710388899</v>
      </c>
      <c r="L195" s="1" t="n">
        <f aca="false">($B$73*(1-K$95))+($B$79*K$95)</f>
        <v>1813.51794544459</v>
      </c>
      <c r="M195" s="1" t="n">
        <f aca="false">($B$73*(1-L$95))+($B$79*L$95)</f>
        <v>1775.84512362242</v>
      </c>
      <c r="N195" s="1" t="n">
        <f aca="false">($B$73*(1-M$95))+($B$79*M$95)</f>
        <v>1723.10317307139</v>
      </c>
      <c r="O195" s="1" t="n">
        <f aca="false">($B$73*(1-N$95))+($B$79*N$95)</f>
        <v>1649.26444229995</v>
      </c>
      <c r="P195" s="1" t="n">
        <f aca="false">($B$73*(1-O$95))+($B$79*O$95)</f>
        <v>1600.25400283975</v>
      </c>
      <c r="Q195" s="1" t="n">
        <f aca="false">($B$73*(1-P$95))+($B$79*P$95)</f>
        <v>1572.58386309532</v>
      </c>
      <c r="R195" s="1" t="n">
        <f aca="false">($B$73*(1-Q$95))+($B$79*Q$95)</f>
        <v>1542.4234107739</v>
      </c>
      <c r="S195" s="1" t="n">
        <f aca="false">($B$73*(1-R$95))+($B$79*R$95)</f>
        <v>1509.54851774356</v>
      </c>
      <c r="T195" s="1" t="n">
        <f aca="false">($B$73*(1-S$95))+($B$79*S$95)</f>
        <v>1473.71488434048</v>
      </c>
      <c r="U195" s="1" t="n">
        <f aca="false">($B$73*(1-T$95))+($B$79*T$95)</f>
        <v>1434.65622393112</v>
      </c>
      <c r="V195" s="1" t="n">
        <f aca="false">($B$73*(1-U$95))+($B$79*U$95)</f>
        <v>1392.08228408492</v>
      </c>
      <c r="W195" s="1" t="n">
        <f aca="false">($B$73*(1-V$95))+($B$79*V$95)</f>
        <v>1345.67668965256</v>
      </c>
      <c r="X195" s="1" t="n">
        <f aca="false">($B$73*(1-W$95))+($B$79*W$95)</f>
        <v>1295.09459172129</v>
      </c>
      <c r="Y195" s="1" t="n">
        <f aca="false">($B$73*(1-X$95))+($B$79*X$95)</f>
        <v>1239.96010497621</v>
      </c>
      <c r="Z195" s="1" t="n">
        <f aca="false">($B$73*(1-Y$95))+($B$79*Y$95)</f>
        <v>1179.86351442407</v>
      </c>
      <c r="AA195" s="1" t="n">
        <f aca="false">($B$73*(1-Z$95))+($B$79*Z$95)</f>
        <v>1114.35823072223</v>
      </c>
      <c r="AB195" s="1" t="n">
        <f aca="false">($B$73*(1-AA$95))+($B$79*AA$95)</f>
        <v>1042.95747148723</v>
      </c>
      <c r="AC195" s="1" t="n">
        <f aca="false">($B$73*(1-AB$95))+($B$79*AB$95)</f>
        <v>965.130643921085</v>
      </c>
    </row>
    <row r="196" customFormat="false" ht="12.8" hidden="false" customHeight="false" outlineLevel="0" collapsed="false">
      <c r="A196" s="1" t="s">
        <v>41</v>
      </c>
      <c r="B196" s="1" t="n">
        <f aca="false">($C$57*(1-B$103))+($C$58*B$103)</f>
        <v>8018.82390447805</v>
      </c>
      <c r="C196" s="1" t="n">
        <f aca="false">($C$57*(1-C$103))+($C$58*C$103)</f>
        <v>8018.82390447805</v>
      </c>
      <c r="D196" s="1" t="n">
        <f aca="false">($C$57*(1-D$102))+($C$58*D$102)</f>
        <v>7983.14013810312</v>
      </c>
      <c r="E196" s="1" t="n">
        <f aca="false">($C$57*(1-E$102))+($C$58*E$102)</f>
        <v>7940.96192624796</v>
      </c>
      <c r="F196" s="1" t="n">
        <f aca="false">($C$57*(1-F$102))+($C$58*F$102)</f>
        <v>7891.10727983516</v>
      </c>
      <c r="G196" s="1" t="n">
        <f aca="false">($C$57*(1-G$102))+($C$58*G$102)</f>
        <v>7832.17908777522</v>
      </c>
      <c r="H196" s="1" t="n">
        <f aca="false">($C$57*(1-H$102))+($C$58*H$102)</f>
        <v>7762.52596476038</v>
      </c>
      <c r="I196" s="1" t="n">
        <f aca="false">($C$57*(1-I$102))+($C$58*I$102)</f>
        <v>7680.19597335684</v>
      </c>
      <c r="J196" s="1" t="n">
        <f aca="false">($C$57*(1-J$102))+($C$58*J$102)</f>
        <v>7582.88192351785</v>
      </c>
      <c r="K196" s="1" t="n">
        <f aca="false">($C$57*(1-K$102))+($C$58*K$102)</f>
        <v>7475.90848109184</v>
      </c>
      <c r="L196" s="1" t="n">
        <f aca="false">($C$57*(1-L$102))+($C$58*L$102)</f>
        <v>7351.19799992709</v>
      </c>
      <c r="M196" s="1" t="n">
        <f aca="false">($C$57*(1-M$102))+($C$58*M$102)</f>
        <v>7206.21020848675</v>
      </c>
      <c r="N196" s="1" t="n">
        <f aca="false">($C$57*(1-N$102))+($C$58*N$102)</f>
        <v>7038.215675307</v>
      </c>
      <c r="O196" s="1" t="n">
        <f aca="false">($C$57*(1-O$102))+($C$58*O$102)</f>
        <v>6844.36986405195</v>
      </c>
      <c r="P196" s="1" t="n">
        <f aca="false">($C$57*(1-P$102))+($C$58*P$102)</f>
        <v>6621.84374745853</v>
      </c>
      <c r="Q196" s="1" t="n">
        <f aca="false">($C$57*(1-Q$102))+($C$58*Q$102)</f>
        <v>6368.03838233664</v>
      </c>
      <c r="R196" s="1" t="n">
        <f aca="false">($C$57*(1-R$102))+($C$58*R$102)</f>
        <v>6101.02073188164</v>
      </c>
      <c r="S196" s="1" t="n">
        <f aca="false">($C$57*(1-S$102))+($C$58*S$102)</f>
        <v>5806.2383121489</v>
      </c>
      <c r="T196" s="1" t="n">
        <f aca="false">($C$57*(1-T$102))+($C$58*T$102)</f>
        <v>5491.31265893165</v>
      </c>
      <c r="U196" s="1" t="n">
        <f aca="false">($C$57*(1-U$102))+($C$58*U$102)</f>
        <v>5208.46729310094</v>
      </c>
      <c r="V196" s="1" t="n">
        <f aca="false">($C$57*(1-V$102))+($C$58*V$102)</f>
        <v>4962.19813630044</v>
      </c>
      <c r="W196" s="1" t="n">
        <f aca="false">($C$57*(1-W$102))+($C$58*W$102)</f>
        <v>4757.28615322702</v>
      </c>
      <c r="X196" s="1" t="n">
        <f aca="false">($C$57*(1-X$102))+($C$58*X$102)</f>
        <v>4598.63747711751</v>
      </c>
      <c r="Y196" s="1" t="n">
        <f aca="false">($C$57*(1-Y$102))+($C$58*Y$102)</f>
        <v>4498.54424530305</v>
      </c>
      <c r="Z196" s="1" t="n">
        <f aca="false">($C$57*(1-Z$102))+($C$58*Z$102)</f>
        <v>4450.44726698532</v>
      </c>
      <c r="AA196" s="1" t="n">
        <f aca="false">($C$57*(1-AA$102))+($C$58*AA$102)</f>
        <v>4450.44726698532</v>
      </c>
      <c r="AB196" s="1" t="n">
        <f aca="false">($C$57*(1-AB$102))+($C$58*AB$102)</f>
        <v>4450.44726698532</v>
      </c>
      <c r="AC196" s="1" t="n">
        <f aca="false">($C$57*(1-AC$102))+($C$58*AC$102)</f>
        <v>4450.44726698532</v>
      </c>
    </row>
    <row r="197" customFormat="false" ht="12.8" hidden="false" customHeight="false" outlineLevel="0" collapsed="false">
      <c r="A197" s="1" t="s">
        <v>20</v>
      </c>
      <c r="B197" s="1" t="n">
        <f aca="false">SUM(B192:B196)</f>
        <v>10298.1452863136</v>
      </c>
      <c r="C197" s="1" t="n">
        <f aca="false">SUM(C192:C196)</f>
        <v>10298.1452863136</v>
      </c>
      <c r="D197" s="1" t="n">
        <f aca="false">SUM(D192:D196)</f>
        <v>10114.0411948126</v>
      </c>
      <c r="E197" s="1" t="n">
        <f aca="false">SUM(E192:E196)</f>
        <v>10011.4164945785</v>
      </c>
      <c r="F197" s="1" t="n">
        <f aca="false">SUM(F192:F196)</f>
        <v>9785.69011018117</v>
      </c>
      <c r="G197" s="1" t="n">
        <f aca="false">SUM(G192:G196)</f>
        <v>9721.32635406985</v>
      </c>
      <c r="H197" s="1" t="n">
        <f aca="false">SUM(H192:H196)</f>
        <v>9644.60699778821</v>
      </c>
      <c r="I197" s="1" t="n">
        <f aca="false">SUM(I192:I196)</f>
        <v>9553.09090313783</v>
      </c>
      <c r="J197" s="1" t="n">
        <f aca="false">SUM(J192:J196)</f>
        <v>9443.83491907795</v>
      </c>
      <c r="K197" s="1" t="n">
        <f aca="false">SUM(K192:K196)</f>
        <v>9321.33696216479</v>
      </c>
      <c r="L197" s="1" t="n">
        <f aca="false">SUM(L192:L196)</f>
        <v>9169.21718483724</v>
      </c>
      <c r="M197" s="1" t="n">
        <f aca="false">SUM(M192:M196)</f>
        <v>9026.10671297579</v>
      </c>
      <c r="N197" s="1" t="n">
        <f aca="false">SUM(N192:N196)</f>
        <v>8805.37022924501</v>
      </c>
      <c r="O197" s="1" t="n">
        <f aca="false">SUM(O192:O196)</f>
        <v>8537.68568721853</v>
      </c>
      <c r="P197" s="1" t="n">
        <f aca="false">SUM(P192:P196)</f>
        <v>8266.1491311649</v>
      </c>
      <c r="Q197" s="1" t="n">
        <f aca="false">SUM(Q192:Q196)</f>
        <v>7984.67362629859</v>
      </c>
      <c r="R197" s="1" t="n">
        <f aca="false">SUM(R192:R196)</f>
        <v>7687.49552352217</v>
      </c>
      <c r="S197" s="1" t="n">
        <f aca="false">SUM(S192:S196)</f>
        <v>7319.83794541146</v>
      </c>
      <c r="T197" s="1" t="n">
        <f aca="false">SUM(T192:T196)</f>
        <v>7004.67378605209</v>
      </c>
      <c r="U197" s="1" t="n">
        <f aca="false">SUM(U192:U196)</f>
        <v>6682.76975981202</v>
      </c>
      <c r="V197" s="1" t="n">
        <f aca="false">SUM(V192:V196)</f>
        <v>6393.92666316532</v>
      </c>
      <c r="W197" s="1" t="n">
        <f aca="false">SUM(W192:W196)</f>
        <v>6142.60908565954</v>
      </c>
      <c r="X197" s="1" t="n">
        <f aca="false">SUM(X192:X196)</f>
        <v>5933.37831161876</v>
      </c>
      <c r="Y197" s="1" t="n">
        <f aca="false">SUM(Y192:Y196)</f>
        <v>5778.15059305922</v>
      </c>
      <c r="Z197" s="1" t="n">
        <f aca="false">SUM(Z192:Z196)</f>
        <v>5633.95678537649</v>
      </c>
      <c r="AA197" s="1" t="n">
        <f aca="false">SUM(AA192:AA196)</f>
        <v>5600.48711620951</v>
      </c>
      <c r="AB197" s="1" t="n">
        <f aca="false">SUM(AB192:AB196)</f>
        <v>5497.05074243965</v>
      </c>
      <c r="AC197" s="1" t="n">
        <f aca="false">SUM(AC192:AC196)</f>
        <v>5419.2239148735</v>
      </c>
    </row>
    <row r="200" customFormat="false" ht="12.8" hidden="false" customHeight="false" outlineLevel="0" collapsed="false">
      <c r="C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30"/>
    </row>
    <row r="203" customFormat="false" ht="12.8" hidden="false" customHeight="false" outlineLevel="0" collapsed="false">
      <c r="A203" s="1" t="s">
        <v>42</v>
      </c>
      <c r="B203" s="1" t="s">
        <v>575</v>
      </c>
      <c r="C203" s="1" t="n">
        <v>2024</v>
      </c>
      <c r="D203" s="1" t="n">
        <v>2025</v>
      </c>
      <c r="E203" s="1" t="n">
        <v>2026</v>
      </c>
      <c r="F203" s="1" t="n">
        <v>2027</v>
      </c>
      <c r="G203" s="1" t="n">
        <v>2028</v>
      </c>
      <c r="H203" s="1" t="n">
        <v>2029</v>
      </c>
      <c r="I203" s="1" t="n">
        <v>2030</v>
      </c>
      <c r="J203" s="1" t="n">
        <v>2031</v>
      </c>
      <c r="K203" s="1" t="n">
        <v>2032</v>
      </c>
      <c r="L203" s="1" t="n">
        <v>2033</v>
      </c>
      <c r="M203" s="1" t="n">
        <v>2034</v>
      </c>
      <c r="N203" s="1" t="n">
        <v>2035</v>
      </c>
      <c r="O203" s="1" t="n">
        <v>2036</v>
      </c>
      <c r="P203" s="1" t="n">
        <v>2037</v>
      </c>
      <c r="Q203" s="1" t="n">
        <v>2038</v>
      </c>
      <c r="R203" s="1" t="n">
        <v>2039</v>
      </c>
      <c r="S203" s="1" t="n">
        <v>2040</v>
      </c>
      <c r="T203" s="1" t="n">
        <v>2041</v>
      </c>
      <c r="U203" s="1" t="n">
        <v>2042</v>
      </c>
      <c r="V203" s="1" t="n">
        <v>2043</v>
      </c>
      <c r="W203" s="1" t="n">
        <v>2044</v>
      </c>
      <c r="X203" s="1" t="n">
        <v>2045</v>
      </c>
      <c r="Y203" s="1" t="n">
        <v>2046</v>
      </c>
      <c r="Z203" s="1" t="n">
        <v>2047</v>
      </c>
      <c r="AA203" s="1" t="n">
        <v>2048</v>
      </c>
      <c r="AB203" s="1" t="n">
        <v>2049</v>
      </c>
      <c r="AC203" s="1" t="n">
        <v>2050</v>
      </c>
    </row>
    <row r="204" customFormat="false" ht="12.8" hidden="false" customHeight="false" outlineLevel="0" collapsed="false">
      <c r="A204" s="1" t="s">
        <v>37</v>
      </c>
      <c r="B204" s="1" t="n">
        <f aca="false">($B$30*$B$28)+($B$39*$B$42)</f>
        <v>71.3503343390438</v>
      </c>
      <c r="C204" s="1" t="n">
        <f aca="false">($B$30*$B$28)+($B$39*$B$42)</f>
        <v>71.3503343390438</v>
      </c>
      <c r="D204" s="1" t="n">
        <f aca="false">($B$30*$B$33)+($B$44*$B$47)</f>
        <v>2.50068859197704</v>
      </c>
      <c r="E204" s="1" t="n">
        <f aca="false">($B$30*$B$33)+($B$44*$B$47)</f>
        <v>2.50068859197704</v>
      </c>
      <c r="F204" s="1" t="n">
        <f aca="false">($B$30*$B$33)+($B$44*$B$47)</f>
        <v>2.50068859197704</v>
      </c>
      <c r="G204" s="1" t="n">
        <f aca="false">($B$30*$B$33)+($B$44*$B$47)</f>
        <v>2.50068859197704</v>
      </c>
      <c r="H204" s="1" t="n">
        <f aca="false">($B$30*$B$33)+($B$44*$B$47)</f>
        <v>2.50068859197704</v>
      </c>
      <c r="I204" s="1" t="n">
        <f aca="false">($B$30*$B$33)+($B$44*$B$47)</f>
        <v>2.50068859197704</v>
      </c>
      <c r="J204" s="1" t="n">
        <f aca="false">($B$30*$B$33)+($B$44*$B$47)</f>
        <v>2.50068859197704</v>
      </c>
      <c r="K204" s="1" t="n">
        <f aca="false">($B$30*$B$33)+($B$44*$B$47)</f>
        <v>2.50068859197704</v>
      </c>
      <c r="L204" s="1" t="n">
        <f aca="false">$K204*0.9</f>
        <v>2.25061973277934</v>
      </c>
      <c r="M204" s="1" t="n">
        <v>22.0256904333107</v>
      </c>
      <c r="N204" s="1" t="n">
        <v>22.0256904333107</v>
      </c>
      <c r="O204" s="1" t="n">
        <v>22.0256904333107</v>
      </c>
      <c r="P204" s="1" t="n">
        <v>22.0256904333107</v>
      </c>
      <c r="Q204" s="1" t="n">
        <v>22.0256904333107</v>
      </c>
      <c r="R204" s="1" t="n">
        <v>22.0256904333107</v>
      </c>
      <c r="S204" s="1" t="n">
        <f aca="false">$L204*0.9</f>
        <v>2.0255577595014</v>
      </c>
      <c r="T204" s="1" t="n">
        <v>19.8231213899797</v>
      </c>
      <c r="U204" s="1" t="n">
        <v>19.8231213899797</v>
      </c>
      <c r="V204" s="1" t="n">
        <v>19.8231213899797</v>
      </c>
      <c r="W204" s="1" t="n">
        <v>19.8231213899797</v>
      </c>
      <c r="X204" s="1" t="n">
        <v>19.8231213899797</v>
      </c>
      <c r="Y204" s="1" t="n">
        <v>19.8231213899797</v>
      </c>
      <c r="Z204" s="1" t="n">
        <f aca="false">$S204*0.9</f>
        <v>1.82300198355126</v>
      </c>
      <c r="AA204" s="1" t="n">
        <v>17.8408092509817</v>
      </c>
      <c r="AB204" s="1" t="n">
        <f aca="false">$S204*0.9</f>
        <v>1.82300198355126</v>
      </c>
      <c r="AC204" s="1" t="n">
        <f aca="false">$S204*0.9</f>
        <v>1.82300198355126</v>
      </c>
    </row>
    <row r="205" customFormat="false" ht="12.8" hidden="false" customHeight="false" outlineLevel="0" collapsed="false">
      <c r="A205" s="1" t="s">
        <v>18</v>
      </c>
      <c r="B205" s="1" t="n">
        <f aca="false">$B$10</f>
        <v>114.460356578722</v>
      </c>
      <c r="C205" s="1" t="n">
        <f aca="false">$B$10</f>
        <v>114.460356578722</v>
      </c>
      <c r="D205" s="1" t="n">
        <f aca="false">$B$10</f>
        <v>114.460356578722</v>
      </c>
      <c r="E205" s="1" t="n">
        <f aca="false">($B$18*0.25)+($B$10*0.75)</f>
        <v>85.8452674340417</v>
      </c>
      <c r="F205" s="141" t="n">
        <f aca="false">$B$18</f>
        <v>0</v>
      </c>
      <c r="G205" s="141" t="n">
        <f aca="false">$B$18</f>
        <v>0</v>
      </c>
      <c r="H205" s="141" t="n">
        <f aca="false">$B$18</f>
        <v>0</v>
      </c>
      <c r="I205" s="141" t="n">
        <f aca="false">$B$18</f>
        <v>0</v>
      </c>
      <c r="J205" s="141" t="n">
        <f aca="false">$B$18</f>
        <v>0</v>
      </c>
      <c r="K205" s="141" t="n">
        <f aca="false">$B$18</f>
        <v>0</v>
      </c>
      <c r="L205" s="141" t="n">
        <f aca="false">$B$18</f>
        <v>0</v>
      </c>
      <c r="M205" s="141" t="n">
        <f aca="false">$B$18</f>
        <v>0</v>
      </c>
      <c r="N205" s="141" t="n">
        <f aca="false">$B$18</f>
        <v>0</v>
      </c>
      <c r="O205" s="141" t="n">
        <f aca="false">$B$18</f>
        <v>0</v>
      </c>
      <c r="P205" s="141" t="n">
        <f aca="false">$B$18</f>
        <v>0</v>
      </c>
      <c r="Q205" s="141" t="n">
        <f aca="false">$B$18</f>
        <v>0</v>
      </c>
      <c r="R205" s="141" t="n">
        <f aca="false">$B$18</f>
        <v>0</v>
      </c>
      <c r="S205" s="141" t="n">
        <f aca="false">$B$18</f>
        <v>0</v>
      </c>
      <c r="T205" s="141" t="n">
        <f aca="false">$B$18</f>
        <v>0</v>
      </c>
      <c r="U205" s="141" t="n">
        <f aca="false">$B$18</f>
        <v>0</v>
      </c>
      <c r="V205" s="141" t="n">
        <f aca="false">$B$18</f>
        <v>0</v>
      </c>
      <c r="W205" s="141" t="n">
        <f aca="false">$B$18</f>
        <v>0</v>
      </c>
      <c r="X205" s="141" t="n">
        <f aca="false">$B$18</f>
        <v>0</v>
      </c>
      <c r="Y205" s="141" t="n">
        <f aca="false">$B$18</f>
        <v>0</v>
      </c>
      <c r="Z205" s="141" t="n">
        <f aca="false">$B$18</f>
        <v>0</v>
      </c>
      <c r="AA205" s="141" t="n">
        <f aca="false">$B$18</f>
        <v>0</v>
      </c>
      <c r="AB205" s="141" t="n">
        <f aca="false">$B$18</f>
        <v>0</v>
      </c>
      <c r="AC205" s="141" t="n">
        <f aca="false">$B$18</f>
        <v>0</v>
      </c>
      <c r="AD205" s="1"/>
    </row>
    <row r="206" customFormat="false" ht="12.8" hidden="false" customHeight="false" outlineLevel="0" collapsed="false">
      <c r="A206" s="3" t="s">
        <v>39</v>
      </c>
      <c r="B206" s="1" t="n">
        <f aca="false">SUM(B204:B205)</f>
        <v>185.810690917766</v>
      </c>
      <c r="C206" s="1" t="n">
        <f aca="false">SUM(C204:C205)</f>
        <v>185.810690917766</v>
      </c>
      <c r="D206" s="1" t="n">
        <f aca="false">SUM(D204:D205)</f>
        <v>116.961045170699</v>
      </c>
      <c r="E206" s="1" t="n">
        <f aca="false">SUM(E204:E205)</f>
        <v>88.3459560260187</v>
      </c>
      <c r="F206" s="1" t="n">
        <f aca="false">SUM(F204:F205)</f>
        <v>2.50068859197704</v>
      </c>
      <c r="G206" s="1" t="n">
        <f aca="false">SUM(G204:G205)</f>
        <v>2.50068859197704</v>
      </c>
      <c r="H206" s="1" t="n">
        <f aca="false">SUM(H204:H205)</f>
        <v>2.50068859197704</v>
      </c>
      <c r="I206" s="1" t="n">
        <f aca="false">SUM(I204:I205)</f>
        <v>2.50068859197704</v>
      </c>
      <c r="J206" s="1" t="n">
        <f aca="false">SUM(J204:J205)</f>
        <v>2.50068859197704</v>
      </c>
      <c r="K206" s="1" t="n">
        <f aca="false">SUM(K204:K205)</f>
        <v>2.50068859197704</v>
      </c>
      <c r="L206" s="1" t="n">
        <f aca="false">SUM(L204:L205)</f>
        <v>2.25061973277934</v>
      </c>
      <c r="M206" s="1" t="n">
        <f aca="false">SUM(M204:M205)</f>
        <v>22.0256904333107</v>
      </c>
      <c r="N206" s="1" t="n">
        <f aca="false">SUM(N204:N205)</f>
        <v>22.0256904333107</v>
      </c>
      <c r="O206" s="1" t="n">
        <f aca="false">SUM(O204:O205)</f>
        <v>22.0256904333107</v>
      </c>
      <c r="P206" s="1" t="n">
        <f aca="false">SUM(P204:P205)</f>
        <v>22.0256904333107</v>
      </c>
      <c r="Q206" s="1" t="n">
        <f aca="false">SUM(Q204:Q205)</f>
        <v>22.0256904333107</v>
      </c>
      <c r="R206" s="1" t="n">
        <f aca="false">SUM(R204:R205)</f>
        <v>22.0256904333107</v>
      </c>
      <c r="S206" s="1" t="n">
        <f aca="false">SUM(S204:S205)</f>
        <v>2.0255577595014</v>
      </c>
      <c r="T206" s="1" t="n">
        <f aca="false">SUM(T204:T205)</f>
        <v>19.8231213899797</v>
      </c>
      <c r="U206" s="1" t="n">
        <f aca="false">SUM(U204:U205)</f>
        <v>19.8231213899797</v>
      </c>
      <c r="V206" s="1" t="n">
        <f aca="false">SUM(V204:V205)</f>
        <v>19.8231213899797</v>
      </c>
      <c r="W206" s="1" t="n">
        <f aca="false">SUM(W204:W205)</f>
        <v>19.8231213899797</v>
      </c>
      <c r="X206" s="1" t="n">
        <f aca="false">SUM(X204:X205)</f>
        <v>19.8231213899797</v>
      </c>
      <c r="Y206" s="1" t="n">
        <f aca="false">SUM(Y204:Y205)</f>
        <v>19.8231213899797</v>
      </c>
      <c r="Z206" s="1" t="n">
        <f aca="false">SUM(Z204:Z205)</f>
        <v>1.82300198355126</v>
      </c>
      <c r="AA206" s="1" t="n">
        <f aca="false">SUM(AA204:AA205)</f>
        <v>17.8408092509817</v>
      </c>
      <c r="AB206" s="1" t="n">
        <f aca="false">SUM(AB204:AB205)</f>
        <v>1.82300198355126</v>
      </c>
      <c r="AC206" s="1" t="n">
        <f aca="false">SUM(AC204:AC205)</f>
        <v>1.82300198355126</v>
      </c>
      <c r="AD206" s="130"/>
    </row>
    <row r="207" customFormat="false" ht="12.8" hidden="false" customHeight="false" outlineLevel="0" collapsed="false">
      <c r="A207" s="1" t="s">
        <v>40</v>
      </c>
      <c r="B207" s="1" t="n">
        <f aca="false">$B$73</f>
        <v>1907.7</v>
      </c>
      <c r="C207" s="1" t="n">
        <f aca="false">$B$73</f>
        <v>1907.7</v>
      </c>
      <c r="D207" s="1" t="n">
        <f aca="false">($B$73*(1-C$96))+($B$79*C$96)</f>
        <v>1889.83161061347</v>
      </c>
      <c r="E207" s="1" t="n">
        <f aca="false">($B$73*(1-D$96))+($B$79*D$96)</f>
        <v>1884.47109379751</v>
      </c>
      <c r="F207" s="1" t="n">
        <f aca="false">($B$73*(1-E$96))+($B$79*E$96)</f>
        <v>1877.50242193676</v>
      </c>
      <c r="G207" s="1" t="n">
        <f aca="false">($B$73*(1-F$96))+($B$79*F$96)</f>
        <v>1868.44314851779</v>
      </c>
      <c r="H207" s="1" t="n">
        <f aca="false">($B$73*(1-G$96))+($B$79*G$96)</f>
        <v>1852.7404079249</v>
      </c>
      <c r="I207" s="1" t="n">
        <f aca="false">($B$73*(1-H$96))+($B$79*H$96)</f>
        <v>1830.75657109486</v>
      </c>
      <c r="J207" s="1" t="n">
        <f aca="false">($B$73*(1-I$96))+($B$79*I$96)</f>
        <v>1799.97919953281</v>
      </c>
      <c r="K207" s="1" t="n">
        <f aca="false">($B$73*(1-J$96))+($B$79*J$96)</f>
        <v>1756.89087934593</v>
      </c>
      <c r="L207" s="1" t="n">
        <f aca="false">($B$73*(1-K$96))+($B$79*K$96)</f>
        <v>1696.56723108431</v>
      </c>
      <c r="M207" s="1" t="n">
        <f aca="false">($B$73*(1-L$96))+($B$79*L$96)</f>
        <v>1612.11412351803</v>
      </c>
      <c r="N207" s="1" t="n">
        <f aca="false">($B$73*(1-M$96))+($B$79*M$96)</f>
        <v>1493.87977292524</v>
      </c>
      <c r="O207" s="1" t="n">
        <f aca="false">($B$73*(1-N$96))+($B$79*N$96)</f>
        <v>1350.93265783298</v>
      </c>
      <c r="P207" s="1" t="n">
        <f aca="false">($B$73*(1-O$96))+($B$79*O$96)</f>
        <v>1145.08881210012</v>
      </c>
      <c r="Q207" s="1" t="n">
        <f aca="false">($B$73*(1-P$96))+($B$79*P$96)</f>
        <v>939.244966367265</v>
      </c>
      <c r="R207" s="1" t="n">
        <f aca="false">($B$73*(1-Q$96))+($B$79*Q$96)</f>
        <v>733.401120634409</v>
      </c>
      <c r="S207" s="1" t="n">
        <f aca="false">($B$73*(1-R$96))+($B$79*R$96)</f>
        <v>527.557274901552</v>
      </c>
      <c r="T207" s="1" t="n">
        <f aca="false">($B$73*(1-S$96))+($B$79*S$96)</f>
        <v>321.713429168695</v>
      </c>
      <c r="U207" s="1" t="n">
        <f aca="false">($B$73*(1-T$96))+($B$79*T$96)</f>
        <v>192.33461889286</v>
      </c>
      <c r="V207" s="1" t="n">
        <f aca="false">($B$73*(1-U$96))+($B$79*U$96)</f>
        <v>192.33461889286</v>
      </c>
      <c r="W207" s="1" t="n">
        <f aca="false">($B$73*(1-V$96))+($B$79*V$96)</f>
        <v>192.33461889286</v>
      </c>
      <c r="X207" s="1" t="n">
        <f aca="false">($B$73*(1-W$96))+($B$79*W$96)</f>
        <v>192.33461889286</v>
      </c>
      <c r="Y207" s="1" t="n">
        <f aca="false">($B$73*(1-X$96))+($B$79*X$96)</f>
        <v>192.33461889286</v>
      </c>
      <c r="Z207" s="1" t="n">
        <f aca="false">($B$73*(1-Y$96))+($B$79*Y$96)</f>
        <v>192.33461889286</v>
      </c>
      <c r="AA207" s="1" t="n">
        <f aca="false">($B$73*(1-Z$96))+($B$79*Z$96)</f>
        <v>192.33461889286</v>
      </c>
      <c r="AB207" s="1" t="n">
        <f aca="false">($B$73*(1-AA$96))+($B$79*AA$96)</f>
        <v>192.33461889286</v>
      </c>
      <c r="AC207" s="1" t="n">
        <f aca="false">($B$73*(1-AB$96))+($B$79*AB$96)</f>
        <v>192.33461889286</v>
      </c>
    </row>
    <row r="208" customFormat="false" ht="12.8" hidden="false" customHeight="false" outlineLevel="0" collapsed="false">
      <c r="A208" s="1" t="s">
        <v>41</v>
      </c>
      <c r="B208" s="1" t="n">
        <f aca="false">($C$57*(1-B$103))+($C$58*B$103)</f>
        <v>8018.82390447805</v>
      </c>
      <c r="C208" s="1" t="n">
        <f aca="false">($C$57*(1-C$103))+($C$58*C$103)</f>
        <v>8018.82390447805</v>
      </c>
      <c r="D208" s="1" t="n">
        <f aca="false">($C$57*(1-D$103))+($C$58*D$103)</f>
        <v>7947.4563717282</v>
      </c>
      <c r="E208" s="1" t="n">
        <f aca="false">($C$57*(1-E$103))+($C$58*E$103)</f>
        <v>7863.09994801787</v>
      </c>
      <c r="F208" s="1" t="n">
        <f aca="false">($C$57*(1-F$103))+($C$58*F$103)</f>
        <v>7763.39065519226</v>
      </c>
      <c r="G208" s="1" t="n">
        <f aca="false">($C$57*(1-G$103))+($C$58*G$103)</f>
        <v>7645.53427107239</v>
      </c>
      <c r="H208" s="1" t="n">
        <f aca="false">($C$57*(1-H$103))+($C$58*H$103)</f>
        <v>7506.22802504271</v>
      </c>
      <c r="I208" s="1" t="n">
        <f aca="false">($C$57*(1-I$103))+($C$58*I$103)</f>
        <v>7341.56804223562</v>
      </c>
      <c r="J208" s="1" t="n">
        <f aca="false">($C$57*(1-J$103))+($C$58*J$103)</f>
        <v>7146.93994255764</v>
      </c>
      <c r="K208" s="1" t="n">
        <f aca="false">($C$57*(1-K$103))+($C$58*K$103)</f>
        <v>6949.09658667299</v>
      </c>
      <c r="L208" s="1" t="n">
        <f aca="false">($C$57*(1-L$103))+($C$58*L$103)</f>
        <v>6722.17425114847</v>
      </c>
      <c r="M208" s="1" t="n">
        <f aca="false">($C$57*(1-M$103))+($C$58*M$103)</f>
        <v>6463.63203974408</v>
      </c>
      <c r="N208" s="1" t="n">
        <f aca="false">($C$57*(1-N$103))+($C$58*N$103)</f>
        <v>6171.55929107503</v>
      </c>
      <c r="O208" s="1" t="n">
        <f aca="false">($C$57*(1-O$103))+($C$58*O$103)</f>
        <v>5845.22421000188</v>
      </c>
      <c r="P208" s="1" t="n">
        <f aca="false">($C$57*(1-P$103))+($C$58*P$103)</f>
        <v>5500.11610173858</v>
      </c>
      <c r="Q208" s="1" t="n">
        <f aca="false">($C$57*(1-Q$103))+($C$58*Q$103)</f>
        <v>5184.97611034616</v>
      </c>
      <c r="R208" s="1" t="n">
        <f aca="false">($C$57*(1-R$103))+($C$58*R$103)</f>
        <v>4944.41890791029</v>
      </c>
      <c r="S208" s="1" t="n">
        <f aca="false">($C$57*(1-S$103))+($C$58*S$103)</f>
        <v>4745.92957607474</v>
      </c>
      <c r="T208" s="1" t="n">
        <f aca="false">($C$57*(1-T$103))+($C$58*T$103)</f>
        <v>4594.41298923435</v>
      </c>
      <c r="U208" s="1" t="n">
        <f aca="false">($C$57*(1-U$103))+($C$58*U$103)</f>
        <v>4494.57403095288</v>
      </c>
      <c r="V208" s="1" t="n">
        <f aca="false">($C$57*(1-V$103))+($C$58*V$103)</f>
        <v>4450.44726698532</v>
      </c>
      <c r="W208" s="1" t="n">
        <f aca="false">($C$57*(1-W$103))+($C$58*W$103)</f>
        <v>4450.44726698532</v>
      </c>
      <c r="X208" s="1" t="n">
        <f aca="false">($C$57*(1-X$103))+($C$58*X$103)</f>
        <v>4450.44726698532</v>
      </c>
      <c r="Y208" s="1" t="n">
        <f aca="false">($C$57*(1-Y$103))+($C$58*Y$103)</f>
        <v>4450.44726698532</v>
      </c>
      <c r="Z208" s="1" t="n">
        <f aca="false">($C$57*(1-Z$103))+($C$58*Z$103)</f>
        <v>4450.44726698532</v>
      </c>
      <c r="AA208" s="1" t="n">
        <f aca="false">($C$57*(1-AA$103))+($C$58*AA$103)</f>
        <v>4450.44726698532</v>
      </c>
      <c r="AB208" s="1" t="n">
        <f aca="false">($C$57*(1-AB$103))+($C$58*AB$103)</f>
        <v>4450.44726698532</v>
      </c>
      <c r="AC208" s="1" t="n">
        <f aca="false">($C$57*(1-AC$103))+($C$58*AC$103)</f>
        <v>4450.44726698532</v>
      </c>
    </row>
    <row r="209" customFormat="false" ht="12.8" hidden="false" customHeight="false" outlineLevel="0" collapsed="false">
      <c r="A209" s="1" t="s">
        <v>20</v>
      </c>
      <c r="B209" s="1" t="n">
        <f aca="false">SUM(B204:B208)</f>
        <v>10298.1452863136</v>
      </c>
      <c r="C209" s="1" t="n">
        <f aca="false">SUM(C204:C208)</f>
        <v>10298.1452863136</v>
      </c>
      <c r="D209" s="1" t="n">
        <f aca="false">SUM(D204:D208)</f>
        <v>10071.2100726831</v>
      </c>
      <c r="E209" s="1" t="n">
        <f aca="false">SUM(E204:E208)</f>
        <v>9924.26295386741</v>
      </c>
      <c r="F209" s="1" t="n">
        <f aca="false">SUM(F204:F208)</f>
        <v>9645.89445431297</v>
      </c>
      <c r="G209" s="1" t="n">
        <f aca="false">SUM(G204:G208)</f>
        <v>9518.97879677413</v>
      </c>
      <c r="H209" s="1" t="n">
        <f aca="false">SUM(H204:H208)</f>
        <v>9363.96981015156</v>
      </c>
      <c r="I209" s="1" t="n">
        <f aca="false">SUM(I204:I208)</f>
        <v>9177.32599051444</v>
      </c>
      <c r="J209" s="1" t="n">
        <f aca="false">SUM(J204:J208)</f>
        <v>8951.92051927441</v>
      </c>
      <c r="K209" s="1" t="n">
        <f aca="false">SUM(K204:K208)</f>
        <v>8710.98884320287</v>
      </c>
      <c r="L209" s="1" t="n">
        <f aca="false">SUM(L204:L208)</f>
        <v>8423.24272169833</v>
      </c>
      <c r="M209" s="1" t="n">
        <f aca="false">SUM(M204:M208)</f>
        <v>8119.79754412873</v>
      </c>
      <c r="N209" s="1" t="n">
        <f aca="false">SUM(N204:N208)</f>
        <v>7709.49044486689</v>
      </c>
      <c r="O209" s="1" t="n">
        <f aca="false">SUM(O204:O208)</f>
        <v>7240.20824870148</v>
      </c>
      <c r="P209" s="1" t="n">
        <f aca="false">SUM(P204:P208)</f>
        <v>6689.25629470532</v>
      </c>
      <c r="Q209" s="1" t="n">
        <f aca="false">SUM(Q204:Q208)</f>
        <v>6168.27245758005</v>
      </c>
      <c r="R209" s="1" t="n">
        <f aca="false">SUM(R204:R208)</f>
        <v>5721.87140941132</v>
      </c>
      <c r="S209" s="1" t="n">
        <f aca="false">SUM(S204:S208)</f>
        <v>5277.5379664953</v>
      </c>
      <c r="T209" s="1" t="n">
        <f aca="false">SUM(T204:T208)</f>
        <v>4955.772661183</v>
      </c>
      <c r="U209" s="1" t="n">
        <f aca="false">SUM(U204:U208)</f>
        <v>4726.5548926257</v>
      </c>
      <c r="V209" s="1" t="n">
        <f aca="false">SUM(V204:V208)</f>
        <v>4682.42812865814</v>
      </c>
      <c r="W209" s="1" t="n">
        <f aca="false">SUM(W204:W208)</f>
        <v>4682.42812865814</v>
      </c>
      <c r="X209" s="1" t="n">
        <f aca="false">SUM(X204:X208)</f>
        <v>4682.42812865814</v>
      </c>
      <c r="Y209" s="1" t="n">
        <f aca="false">SUM(Y204:Y208)</f>
        <v>4682.42812865814</v>
      </c>
      <c r="Z209" s="1" t="n">
        <f aca="false">SUM(Z204:Z208)</f>
        <v>4646.42788984528</v>
      </c>
      <c r="AA209" s="1" t="n">
        <f aca="false">SUM(AA204:AA208)</f>
        <v>4678.46350438014</v>
      </c>
      <c r="AB209" s="1" t="n">
        <f aca="false">SUM(AB204:AB208)</f>
        <v>4646.42788984528</v>
      </c>
      <c r="AC209" s="1" t="n">
        <f aca="false">SUM(AC204:AC208)</f>
        <v>4646.42788984528</v>
      </c>
    </row>
    <row r="211" customFormat="false" ht="12.8" hidden="false" customHeight="false" outlineLevel="0" collapsed="false">
      <c r="A211" s="1" t="s">
        <v>323</v>
      </c>
      <c r="B211" s="1" t="s">
        <v>575</v>
      </c>
      <c r="C211" s="1" t="n">
        <v>2024</v>
      </c>
      <c r="D211" s="1" t="n">
        <v>2025</v>
      </c>
      <c r="E211" s="1" t="n">
        <v>2026</v>
      </c>
      <c r="F211" s="1" t="n">
        <v>2027</v>
      </c>
      <c r="G211" s="1" t="n">
        <v>2028</v>
      </c>
      <c r="H211" s="1" t="n">
        <v>2029</v>
      </c>
      <c r="I211" s="1" t="n">
        <v>2030</v>
      </c>
      <c r="J211" s="1" t="n">
        <v>2031</v>
      </c>
      <c r="K211" s="1" t="n">
        <v>2032</v>
      </c>
      <c r="L211" s="1" t="n">
        <v>2033</v>
      </c>
      <c r="M211" s="1" t="n">
        <v>2034</v>
      </c>
      <c r="N211" s="1" t="n">
        <v>2035</v>
      </c>
      <c r="O211" s="1" t="n">
        <v>2036</v>
      </c>
      <c r="P211" s="1" t="n">
        <v>2037</v>
      </c>
      <c r="Q211" s="1" t="n">
        <v>2038</v>
      </c>
      <c r="R211" s="1" t="n">
        <v>2039</v>
      </c>
      <c r="S211" s="1" t="n">
        <v>2040</v>
      </c>
      <c r="T211" s="1" t="n">
        <v>2041</v>
      </c>
      <c r="U211" s="1" t="n">
        <v>2042</v>
      </c>
      <c r="V211" s="1" t="n">
        <v>2043</v>
      </c>
      <c r="W211" s="1" t="n">
        <v>2044</v>
      </c>
      <c r="X211" s="1" t="n">
        <v>2045</v>
      </c>
      <c r="Y211" s="1" t="n">
        <v>2046</v>
      </c>
      <c r="Z211" s="1" t="n">
        <v>2047</v>
      </c>
      <c r="AA211" s="1" t="n">
        <v>2048</v>
      </c>
      <c r="AB211" s="1" t="n">
        <v>2049</v>
      </c>
      <c r="AC211" s="1" t="n">
        <v>2050</v>
      </c>
    </row>
    <row r="212" customFormat="false" ht="12.8" hidden="false" customHeight="false" outlineLevel="0" collapsed="false">
      <c r="A212" s="1" t="s">
        <v>318</v>
      </c>
      <c r="B212" s="1" t="n">
        <f aca="false">B163</f>
        <v>185.810690917766</v>
      </c>
      <c r="C212" s="1" t="n">
        <f aca="false">C163</f>
        <v>185.810690917766</v>
      </c>
      <c r="D212" s="1" t="n">
        <f aca="false">D163</f>
        <v>185.810690917766</v>
      </c>
      <c r="E212" s="1" t="n">
        <f aca="false">E163</f>
        <v>185.810690917766</v>
      </c>
      <c r="F212" s="1" t="n">
        <f aca="false">F163</f>
        <v>185.810690917766</v>
      </c>
      <c r="G212" s="1" t="n">
        <f aca="false">G163</f>
        <v>185.810690917766</v>
      </c>
      <c r="H212" s="1" t="n">
        <f aca="false">H163</f>
        <v>185.810690917766</v>
      </c>
      <c r="I212" s="1" t="n">
        <f aca="false">I163</f>
        <v>185.479740118627</v>
      </c>
      <c r="J212" s="1" t="n">
        <f aca="false">J163</f>
        <v>185.392245383843</v>
      </c>
      <c r="K212" s="1" t="n">
        <f aca="false">K163</f>
        <v>185.290430236113</v>
      </c>
      <c r="L212" s="1" t="n">
        <f aca="false">L163</f>
        <v>185.171594029176</v>
      </c>
      <c r="M212" s="1" t="n">
        <f aca="false">M163</f>
        <v>185.03255014804</v>
      </c>
      <c r="N212" s="1" t="n">
        <f aca="false">N163</f>
        <v>184.869537236267</v>
      </c>
      <c r="O212" s="1" t="n">
        <f aca="false">O163</f>
        <v>184.678114285826</v>
      </c>
      <c r="P212" s="1" t="n">
        <f aca="false">P163</f>
        <v>184.453036651371</v>
      </c>
      <c r="Q212" s="1" t="n">
        <f aca="false">Q163</f>
        <v>184.188109516118</v>
      </c>
      <c r="R212" s="1" t="n">
        <f aca="false">R163</f>
        <v>183.876014704529</v>
      </c>
      <c r="S212" s="1" t="n">
        <f aca="false">S163</f>
        <v>183.508105989966</v>
      </c>
      <c r="T212" s="1" t="n">
        <f aca="false">T163</f>
        <v>183.074167162515</v>
      </c>
      <c r="U212" s="1" t="n">
        <f aca="false">U163</f>
        <v>182.562126078502</v>
      </c>
      <c r="V212" s="1" t="n">
        <f aca="false">V163</f>
        <v>181.957716679584</v>
      </c>
      <c r="W212" s="1" t="n">
        <f aca="false">W163</f>
        <v>181.244079511133</v>
      </c>
      <c r="X212" s="1" t="n">
        <f aca="false">X163</f>
        <v>180.401289546088</v>
      </c>
      <c r="Y212" s="1" t="n">
        <f aca="false">Y163</f>
        <v>179.40579808323</v>
      </c>
      <c r="Z212" s="1" t="n">
        <f aca="false">Z163</f>
        <v>178.229773080792</v>
      </c>
      <c r="AA212" s="1" t="n">
        <f aca="false">AA163</f>
        <v>176.840319440061</v>
      </c>
      <c r="AB212" s="1" t="n">
        <f aca="false">AB163</f>
        <v>175.500288422227</v>
      </c>
      <c r="AC212" s="1" t="n">
        <f aca="false">AC163</f>
        <v>174.239082758384</v>
      </c>
      <c r="AD212" s="130"/>
    </row>
    <row r="213" customFormat="false" ht="12.8" hidden="false" customHeight="false" outlineLevel="0" collapsed="false">
      <c r="A213" s="1" t="s">
        <v>54</v>
      </c>
      <c r="B213" s="1" t="n">
        <f aca="false">B178</f>
        <v>185.810690917766</v>
      </c>
      <c r="C213" s="1" t="n">
        <f aca="false">C171</f>
        <v>185.810690917766</v>
      </c>
      <c r="D213" s="1" t="n">
        <f aca="false">D171</f>
        <v>116.961045170699</v>
      </c>
      <c r="E213" s="1" t="n">
        <f aca="false">E171</f>
        <v>88.3459560260187</v>
      </c>
      <c r="F213" s="1" t="n">
        <f aca="false">F171</f>
        <v>2.50068859197704</v>
      </c>
      <c r="G213" s="1" t="n">
        <f aca="false">G171</f>
        <v>2.50068859197704</v>
      </c>
      <c r="H213" s="1" t="n">
        <f aca="false">H171</f>
        <v>2.50068859197704</v>
      </c>
      <c r="I213" s="1" t="n">
        <f aca="false">I171</f>
        <v>2.50068859197704</v>
      </c>
      <c r="J213" s="1" t="n">
        <f aca="false">J171</f>
        <v>2.50068859197704</v>
      </c>
      <c r="K213" s="1" t="n">
        <f aca="false">K171</f>
        <v>2.50068859197704</v>
      </c>
      <c r="L213" s="1" t="n">
        <f aca="false">L171</f>
        <v>2.25061973277934</v>
      </c>
      <c r="M213" s="1" t="n">
        <f aca="false">M171</f>
        <v>2.25061973277934</v>
      </c>
      <c r="N213" s="1" t="n">
        <f aca="false">N171</f>
        <v>2.25061973277934</v>
      </c>
      <c r="O213" s="1" t="n">
        <f aca="false">O171</f>
        <v>2.25061973277934</v>
      </c>
      <c r="P213" s="1" t="n">
        <f aca="false">P171</f>
        <v>2.25061973277934</v>
      </c>
      <c r="Q213" s="1" t="n">
        <f aca="false">Q171</f>
        <v>2.25061973277934</v>
      </c>
      <c r="R213" s="1" t="n">
        <f aca="false">R171</f>
        <v>2.25061973277934</v>
      </c>
      <c r="S213" s="1" t="n">
        <f aca="false">S171</f>
        <v>2.0255577595014</v>
      </c>
      <c r="T213" s="1" t="n">
        <f aca="false">T171</f>
        <v>2.0255577595014</v>
      </c>
      <c r="U213" s="1" t="n">
        <f aca="false">U171</f>
        <v>2.0255577595014</v>
      </c>
      <c r="V213" s="1" t="n">
        <f aca="false">V171</f>
        <v>2.0255577595014</v>
      </c>
      <c r="W213" s="1" t="n">
        <f aca="false">W171</f>
        <v>2.0255577595014</v>
      </c>
      <c r="X213" s="1" t="n">
        <f aca="false">X171</f>
        <v>2.0255577595014</v>
      </c>
      <c r="Y213" s="1" t="n">
        <f aca="false">Y171</f>
        <v>2.0255577595014</v>
      </c>
      <c r="Z213" s="1" t="n">
        <f aca="false">Z171</f>
        <v>1.82300198355126</v>
      </c>
      <c r="AA213" s="1" t="n">
        <f aca="false">AA171</f>
        <v>1.82300198355126</v>
      </c>
      <c r="AB213" s="1" t="n">
        <f aca="false">AB171</f>
        <v>1.82300198355126</v>
      </c>
      <c r="AC213" s="1" t="n">
        <f aca="false">AC171</f>
        <v>1.82300198355126</v>
      </c>
    </row>
    <row r="215" customFormat="false" ht="12.8" hidden="false" customHeight="false" outlineLevel="0" collapsed="false">
      <c r="A215" s="1" t="s">
        <v>324</v>
      </c>
      <c r="B215" s="1" t="s">
        <v>575</v>
      </c>
      <c r="C215" s="1" t="n">
        <v>2024</v>
      </c>
      <c r="D215" s="1" t="n">
        <v>2025</v>
      </c>
      <c r="E215" s="1" t="n">
        <v>2026</v>
      </c>
      <c r="F215" s="1" t="n">
        <v>2027</v>
      </c>
      <c r="G215" s="1" t="n">
        <v>2028</v>
      </c>
      <c r="H215" s="1" t="n">
        <v>2029</v>
      </c>
      <c r="I215" s="1" t="n">
        <v>2030</v>
      </c>
      <c r="J215" s="1" t="n">
        <v>2031</v>
      </c>
      <c r="K215" s="1" t="n">
        <v>2032</v>
      </c>
      <c r="L215" s="1" t="n">
        <v>2033</v>
      </c>
      <c r="M215" s="1" t="n">
        <v>2034</v>
      </c>
      <c r="N215" s="1" t="n">
        <v>2035</v>
      </c>
      <c r="O215" s="1" t="n">
        <v>2036</v>
      </c>
      <c r="P215" s="1" t="n">
        <v>2037</v>
      </c>
      <c r="Q215" s="1" t="n">
        <v>2038</v>
      </c>
      <c r="R215" s="1" t="n">
        <v>2039</v>
      </c>
      <c r="S215" s="1" t="n">
        <v>2040</v>
      </c>
      <c r="T215" s="1" t="n">
        <v>2041</v>
      </c>
      <c r="U215" s="1" t="n">
        <v>2042</v>
      </c>
      <c r="V215" s="1" t="n">
        <v>2043</v>
      </c>
      <c r="W215" s="1" t="n">
        <v>2044</v>
      </c>
      <c r="X215" s="1" t="n">
        <v>2045</v>
      </c>
      <c r="Y215" s="1" t="n">
        <v>2046</v>
      </c>
      <c r="Z215" s="1" t="n">
        <v>2047</v>
      </c>
      <c r="AA215" s="1" t="n">
        <v>2048</v>
      </c>
      <c r="AB215" s="1" t="n">
        <v>2049</v>
      </c>
      <c r="AC215" s="1" t="n">
        <v>2050</v>
      </c>
    </row>
    <row r="216" customFormat="false" ht="12.8" hidden="false" customHeight="false" outlineLevel="0" collapsed="false">
      <c r="A216" s="1" t="s">
        <v>318</v>
      </c>
      <c r="B216" s="1" t="n">
        <f aca="false">B163</f>
        <v>185.810690917766</v>
      </c>
      <c r="C216" s="1" t="n">
        <f aca="false">C163</f>
        <v>185.810690917766</v>
      </c>
      <c r="D216" s="1" t="n">
        <f aca="false">D163</f>
        <v>185.810690917766</v>
      </c>
      <c r="E216" s="1" t="n">
        <f aca="false">E163</f>
        <v>185.810690917766</v>
      </c>
      <c r="F216" s="1" t="n">
        <f aca="false">F163</f>
        <v>185.810690917766</v>
      </c>
      <c r="G216" s="1" t="n">
        <f aca="false">G163</f>
        <v>185.810690917766</v>
      </c>
      <c r="H216" s="1" t="n">
        <f aca="false">H163</f>
        <v>185.810690917766</v>
      </c>
      <c r="I216" s="1" t="n">
        <f aca="false">I163</f>
        <v>185.479740118627</v>
      </c>
      <c r="J216" s="1" t="n">
        <f aca="false">J163</f>
        <v>185.392245383843</v>
      </c>
      <c r="K216" s="1" t="n">
        <f aca="false">K163</f>
        <v>185.290430236113</v>
      </c>
      <c r="L216" s="1" t="n">
        <f aca="false">L163</f>
        <v>185.171594029176</v>
      </c>
      <c r="M216" s="1" t="n">
        <f aca="false">M163</f>
        <v>185.03255014804</v>
      </c>
      <c r="N216" s="1" t="n">
        <f aca="false">N163</f>
        <v>184.869537236267</v>
      </c>
      <c r="O216" s="1" t="n">
        <f aca="false">O163</f>
        <v>184.678114285826</v>
      </c>
      <c r="P216" s="1" t="n">
        <f aca="false">P163</f>
        <v>184.453036651371</v>
      </c>
      <c r="Q216" s="1" t="n">
        <f aca="false">Q163</f>
        <v>184.188109516118</v>
      </c>
      <c r="R216" s="1" t="n">
        <f aca="false">R163</f>
        <v>183.876014704529</v>
      </c>
      <c r="S216" s="1" t="n">
        <f aca="false">S163</f>
        <v>183.508105989966</v>
      </c>
      <c r="T216" s="1" t="n">
        <f aca="false">T163</f>
        <v>183.074167162515</v>
      </c>
      <c r="U216" s="1" t="n">
        <f aca="false">U163</f>
        <v>182.562126078502</v>
      </c>
      <c r="V216" s="1" t="n">
        <f aca="false">V163</f>
        <v>181.957716679584</v>
      </c>
      <c r="W216" s="1" t="n">
        <f aca="false">W163</f>
        <v>181.244079511133</v>
      </c>
      <c r="X216" s="1" t="n">
        <f aca="false">X163</f>
        <v>180.401289546088</v>
      </c>
      <c r="Y216" s="1" t="n">
        <f aca="false">Y163</f>
        <v>179.40579808323</v>
      </c>
      <c r="Z216" s="1" t="n">
        <f aca="false">Z163</f>
        <v>178.229773080792</v>
      </c>
      <c r="AA216" s="1" t="n">
        <f aca="false">AA163</f>
        <v>176.840319440061</v>
      </c>
      <c r="AB216" s="1" t="n">
        <f aca="false">AB163</f>
        <v>175.500288422227</v>
      </c>
      <c r="AC216" s="1" t="n">
        <f aca="false">AC163</f>
        <v>174.239082758384</v>
      </c>
    </row>
    <row r="217" customFormat="false" ht="12.8" hidden="false" customHeight="false" outlineLevel="0" collapsed="false">
      <c r="A217" s="1" t="s">
        <v>54</v>
      </c>
      <c r="B217" s="1" t="n">
        <f aca="false">B178</f>
        <v>185.810690917766</v>
      </c>
      <c r="C217" s="1" t="n">
        <f aca="false">C178</f>
        <v>185.810690917766</v>
      </c>
      <c r="D217" s="1" t="n">
        <f aca="false">D178</f>
        <v>116.961045170699</v>
      </c>
      <c r="E217" s="1" t="n">
        <f aca="false">E178</f>
        <v>88.3459560260187</v>
      </c>
      <c r="F217" s="1" t="n">
        <f aca="false">F178</f>
        <v>2.50068859197704</v>
      </c>
      <c r="G217" s="1" t="n">
        <f aca="false">G178</f>
        <v>2.50068859197704</v>
      </c>
      <c r="H217" s="1" t="n">
        <f aca="false">H178</f>
        <v>2.50068859197704</v>
      </c>
      <c r="I217" s="1" t="n">
        <f aca="false">I178</f>
        <v>2.50068859197704</v>
      </c>
      <c r="J217" s="1" t="n">
        <f aca="false">J178</f>
        <v>2.50068859197704</v>
      </c>
      <c r="K217" s="1" t="n">
        <f aca="false">K178</f>
        <v>2.50068859197704</v>
      </c>
      <c r="L217" s="1" t="n">
        <f aca="false">L178</f>
        <v>2.25061973277934</v>
      </c>
      <c r="M217" s="1" t="n">
        <f aca="false">M178</f>
        <v>22.0256904333107</v>
      </c>
      <c r="N217" s="1" t="n">
        <f aca="false">N178</f>
        <v>22.0256904333107</v>
      </c>
      <c r="O217" s="1" t="n">
        <f aca="false">O178</f>
        <v>22.0256904333107</v>
      </c>
      <c r="P217" s="1" t="n">
        <f aca="false">P178</f>
        <v>22.0256904333107</v>
      </c>
      <c r="Q217" s="1" t="n">
        <f aca="false">Q178</f>
        <v>22.0256904333107</v>
      </c>
      <c r="R217" s="1" t="n">
        <f aca="false">R178</f>
        <v>22.0256904333107</v>
      </c>
      <c r="S217" s="1" t="n">
        <f aca="false">S178</f>
        <v>2.0255577595014</v>
      </c>
      <c r="T217" s="1" t="n">
        <f aca="false">T178</f>
        <v>19.8231213899797</v>
      </c>
      <c r="U217" s="1" t="n">
        <f aca="false">U178</f>
        <v>19.8231213899797</v>
      </c>
      <c r="V217" s="1" t="n">
        <f aca="false">V178</f>
        <v>19.8231213899797</v>
      </c>
      <c r="W217" s="1" t="n">
        <f aca="false">W178</f>
        <v>19.8231213899797</v>
      </c>
      <c r="X217" s="1" t="n">
        <f aca="false">X178</f>
        <v>19.8231213899797</v>
      </c>
      <c r="Y217" s="1" t="n">
        <f aca="false">Y178</f>
        <v>19.8231213899797</v>
      </c>
      <c r="Z217" s="1" t="n">
        <f aca="false">Z178</f>
        <v>1.82300198355126</v>
      </c>
      <c r="AA217" s="1" t="n">
        <f aca="false">AA178</f>
        <v>17.8408092509817</v>
      </c>
      <c r="AB217" s="1" t="n">
        <f aca="false">AB178</f>
        <v>1.82300198355126</v>
      </c>
      <c r="AC217" s="1" t="n">
        <f aca="false">AC178</f>
        <v>1.82300198355126</v>
      </c>
    </row>
    <row r="218" customFormat="false" ht="12.8" hidden="false" customHeight="false" outlineLevel="0" collapsed="false">
      <c r="A218" s="1" t="s">
        <v>325</v>
      </c>
      <c r="B218" s="1" t="n">
        <f aca="false">B216-B217</f>
        <v>0</v>
      </c>
      <c r="C218" s="1" t="n">
        <f aca="false">C216-C217</f>
        <v>0</v>
      </c>
      <c r="D218" s="1" t="n">
        <f aca="false">D216-D217</f>
        <v>68.8496457470668</v>
      </c>
      <c r="E218" s="1" t="n">
        <f aca="false">E216-E217</f>
        <v>97.4647348917474</v>
      </c>
      <c r="F218" s="1" t="n">
        <f aca="false">F216-F217</f>
        <v>183.310002325789</v>
      </c>
      <c r="G218" s="1" t="n">
        <f aca="false">G216-G217</f>
        <v>183.310002325789</v>
      </c>
      <c r="H218" s="1" t="n">
        <f aca="false">H216-H217</f>
        <v>183.310002325789</v>
      </c>
      <c r="I218" s="1" t="n">
        <f aca="false">I216-I217</f>
        <v>182.97905152665</v>
      </c>
      <c r="J218" s="1" t="n">
        <f aca="false">J216-J217</f>
        <v>182.891556791866</v>
      </c>
      <c r="K218" s="1" t="n">
        <f aca="false">K216-K217</f>
        <v>182.789741644136</v>
      </c>
      <c r="L218" s="1" t="n">
        <f aca="false">L216-L217</f>
        <v>182.920974296397</v>
      </c>
      <c r="M218" s="1" t="n">
        <f aca="false">M216-M217</f>
        <v>163.006859714729</v>
      </c>
      <c r="N218" s="1" t="n">
        <f aca="false">N216-N217</f>
        <v>162.843846802956</v>
      </c>
      <c r="O218" s="1" t="n">
        <f aca="false">O216-O217</f>
        <v>162.652423852516</v>
      </c>
      <c r="P218" s="1" t="n">
        <f aca="false">P216-P217</f>
        <v>162.42734621806</v>
      </c>
      <c r="Q218" s="1" t="n">
        <f aca="false">Q216-Q217</f>
        <v>162.162419082807</v>
      </c>
      <c r="R218" s="1" t="n">
        <f aca="false">R216-R217</f>
        <v>161.850324271219</v>
      </c>
      <c r="S218" s="1" t="n">
        <f aca="false">S216-S217</f>
        <v>181.482548230465</v>
      </c>
      <c r="T218" s="1" t="n">
        <f aca="false">T216-T217</f>
        <v>163.251045772535</v>
      </c>
      <c r="U218" s="1" t="n">
        <f aca="false">U216-U217</f>
        <v>162.739004688522</v>
      </c>
      <c r="V218" s="1" t="n">
        <f aca="false">V216-V217</f>
        <v>162.134595289605</v>
      </c>
      <c r="W218" s="1" t="n">
        <f aca="false">W216-W217</f>
        <v>161.420958121153</v>
      </c>
      <c r="X218" s="1" t="n">
        <f aca="false">X216-X217</f>
        <v>160.578168156108</v>
      </c>
      <c r="Y218" s="1" t="n">
        <f aca="false">Y216-Y217</f>
        <v>159.582676693251</v>
      </c>
      <c r="Z218" s="1" t="n">
        <f aca="false">Z216-Z217</f>
        <v>176.406771097241</v>
      </c>
      <c r="AA218" s="1" t="n">
        <f aca="false">AA216-AA217</f>
        <v>158.999510189079</v>
      </c>
      <c r="AB218" s="1" t="n">
        <f aca="false">AB216-AB217</f>
        <v>173.677286438676</v>
      </c>
      <c r="AC218" s="1" t="n">
        <f aca="false">AC216-AC217</f>
        <v>172.416080774833</v>
      </c>
    </row>
    <row r="219" customFormat="false" ht="12.8" hidden="false" customHeight="false" outlineLevel="0" collapsed="false">
      <c r="A219" s="130" t="s">
        <v>326</v>
      </c>
      <c r="B219" s="130" t="n">
        <f aca="false">B218/B216</f>
        <v>0</v>
      </c>
      <c r="C219" s="130" t="n">
        <f aca="false">C218/C216</f>
        <v>0</v>
      </c>
      <c r="D219" s="130" t="n">
        <f aca="false">D218/D216</f>
        <v>0.370536514379237</v>
      </c>
      <c r="E219" s="130" t="n">
        <f aca="false">E218/E216</f>
        <v>0.524537820780625</v>
      </c>
      <c r="F219" s="130" t="n">
        <f aca="false">F218/F216</f>
        <v>0.98654173998479</v>
      </c>
      <c r="G219" s="130" t="n">
        <f aca="false">G218/G216</f>
        <v>0.98654173998479</v>
      </c>
      <c r="H219" s="130" t="n">
        <f aca="false">H218/H216</f>
        <v>0.98654173998479</v>
      </c>
      <c r="I219" s="130" t="n">
        <f aca="false">I218/I216</f>
        <v>0.98651772646232</v>
      </c>
      <c r="J219" s="130" t="n">
        <f aca="false">J218/J216</f>
        <v>0.986511363585896</v>
      </c>
      <c r="K219" s="130" t="n">
        <f aca="false">K218/K216</f>
        <v>0.986503951721681</v>
      </c>
      <c r="L219" s="130" t="n">
        <f aca="false">L218/L216</f>
        <v>0.987845761416167</v>
      </c>
      <c r="M219" s="130" t="n">
        <f aca="false">M218/M216</f>
        <v>0.880963158019016</v>
      </c>
      <c r="N219" s="130" t="n">
        <f aca="false">N218/N216</f>
        <v>0.880858194580963</v>
      </c>
      <c r="O219" s="130" t="n">
        <f aca="false">O218/O216</f>
        <v>0.880734701464292</v>
      </c>
      <c r="P219" s="130" t="n">
        <f aca="false">P218/P216</f>
        <v>0.880589168749004</v>
      </c>
      <c r="Q219" s="130" t="n">
        <f aca="false">Q218/Q216</f>
        <v>0.880417414071003</v>
      </c>
      <c r="R219" s="130" t="n">
        <f aca="false">R218/R216</f>
        <v>0.880214445213511</v>
      </c>
      <c r="S219" s="130" t="n">
        <f aca="false">S218/S216</f>
        <v>0.988962025690505</v>
      </c>
      <c r="T219" s="130" t="n">
        <f aca="false">T218/T216</f>
        <v>0.891720816228634</v>
      </c>
      <c r="U219" s="130" t="n">
        <f aca="false">U218/U216</f>
        <v>0.891417120211145</v>
      </c>
      <c r="V219" s="130" t="n">
        <f aca="false">V218/V216</f>
        <v>0.891056440189965</v>
      </c>
      <c r="W219" s="130" t="n">
        <f aca="false">W218/W216</f>
        <v>0.890627481772379</v>
      </c>
      <c r="X219" s="130" t="n">
        <f aca="false">X218/X216</f>
        <v>0.890116520564475</v>
      </c>
      <c r="Y219" s="130" t="n">
        <f aca="false">Y218/Y216</f>
        <v>0.889506796314446</v>
      </c>
      <c r="Z219" s="130" t="n">
        <f aca="false">Z218/Z216</f>
        <v>0.989771619230392</v>
      </c>
      <c r="AA219" s="130" t="n">
        <f aca="false">AA218/AA216</f>
        <v>0.89911345270427</v>
      </c>
      <c r="AB219" s="130" t="n">
        <f aca="false">AB218/AB216</f>
        <v>0.989612541381326</v>
      </c>
      <c r="AC219" s="130" t="n">
        <f aca="false">AC218/AC216</f>
        <v>0.989537353189128</v>
      </c>
    </row>
    <row r="221" customFormat="false" ht="12.8" hidden="false" customHeight="false" outlineLevel="0" collapsed="false">
      <c r="A221" s="1" t="s">
        <v>327</v>
      </c>
      <c r="B221" s="1" t="s">
        <v>575</v>
      </c>
      <c r="C221" s="1" t="n">
        <v>2024</v>
      </c>
      <c r="D221" s="1" t="n">
        <v>2025</v>
      </c>
      <c r="E221" s="1" t="n">
        <v>2026</v>
      </c>
      <c r="F221" s="1" t="n">
        <v>2027</v>
      </c>
      <c r="G221" s="1" t="n">
        <v>2028</v>
      </c>
      <c r="H221" s="1" t="n">
        <v>2029</v>
      </c>
      <c r="I221" s="1" t="n">
        <v>2030</v>
      </c>
      <c r="J221" s="1" t="n">
        <v>2031</v>
      </c>
      <c r="K221" s="1" t="n">
        <v>2032</v>
      </c>
      <c r="L221" s="1" t="n">
        <v>2033</v>
      </c>
      <c r="M221" s="1" t="n">
        <v>2034</v>
      </c>
      <c r="N221" s="1" t="n">
        <v>2035</v>
      </c>
      <c r="O221" s="1" t="n">
        <v>2036</v>
      </c>
      <c r="P221" s="1" t="n">
        <v>2037</v>
      </c>
      <c r="Q221" s="1" t="n">
        <v>2038</v>
      </c>
      <c r="R221" s="1" t="n">
        <v>2039</v>
      </c>
      <c r="S221" s="1" t="n">
        <v>2040</v>
      </c>
      <c r="T221" s="1" t="n">
        <v>2041</v>
      </c>
      <c r="U221" s="1" t="n">
        <v>2042</v>
      </c>
      <c r="V221" s="1" t="n">
        <v>2043</v>
      </c>
      <c r="W221" s="1" t="n">
        <v>2044</v>
      </c>
      <c r="X221" s="1" t="n">
        <v>2045</v>
      </c>
      <c r="Y221" s="1" t="n">
        <v>2046</v>
      </c>
      <c r="Z221" s="1" t="n">
        <v>2047</v>
      </c>
      <c r="AA221" s="1" t="n">
        <v>2048</v>
      </c>
      <c r="AB221" s="1" t="n">
        <v>2049</v>
      </c>
      <c r="AC221" s="1" t="n">
        <v>2050</v>
      </c>
    </row>
    <row r="222" customFormat="false" ht="12.8" hidden="false" customHeight="false" outlineLevel="0" collapsed="false">
      <c r="A222" s="1" t="s">
        <v>318</v>
      </c>
      <c r="B222" s="1" t="n">
        <f aca="false">B166</f>
        <v>10298.1452863136</v>
      </c>
      <c r="C222" s="1" t="n">
        <f aca="false">C166</f>
        <v>10298.1452863136</v>
      </c>
      <c r="D222" s="1" t="n">
        <f aca="false">D166</f>
        <v>10293.7372916437</v>
      </c>
      <c r="E222" s="1" t="n">
        <f aca="false">E166</f>
        <v>10288.7863357481</v>
      </c>
      <c r="F222" s="1" t="n">
        <f aca="false">F166</f>
        <v>10283.1783471068</v>
      </c>
      <c r="G222" s="1" t="n">
        <f aca="false">G166</f>
        <v>10276.7793903939</v>
      </c>
      <c r="H222" s="1" t="n">
        <f aca="false">H166</f>
        <v>10269.4319984874</v>
      </c>
      <c r="I222" s="1" t="n">
        <f aca="false">I166</f>
        <v>10256.0005249586</v>
      </c>
      <c r="J222" s="1" t="n">
        <f aca="false">J166</f>
        <v>10245.1346140716</v>
      </c>
      <c r="K222" s="1" t="n">
        <f aca="false">K166</f>
        <v>10232.4591028133</v>
      </c>
      <c r="L222" s="1" t="n">
        <f aca="false">L166</f>
        <v>10217.6307660412</v>
      </c>
      <c r="M222" s="1" t="n">
        <f aca="false">M166</f>
        <v>10200.2439288234</v>
      </c>
      <c r="N222" s="1" t="n">
        <f aca="false">N166</f>
        <v>10179.8189397352</v>
      </c>
      <c r="O222" s="1" t="n">
        <f aca="false">O166</f>
        <v>10156.9623277352</v>
      </c>
      <c r="P222" s="1" t="n">
        <f aca="false">P166</f>
        <v>10130.1696350614</v>
      </c>
      <c r="Q222" s="1" t="n">
        <f aca="false">Q166</f>
        <v>10098.7244783553</v>
      </c>
      <c r="R222" s="1" t="n">
        <f aca="false">R166</f>
        <v>10061.7812769114</v>
      </c>
      <c r="S222" s="1" t="n">
        <f aca="false">S166</f>
        <v>10018.3417755972</v>
      </c>
      <c r="T222" s="1" t="n">
        <f aca="false">T166</f>
        <v>9967.22730236496</v>
      </c>
      <c r="U222" s="1" t="n">
        <f aca="false">U166</f>
        <v>9907.04598447463</v>
      </c>
      <c r="V222" s="1" t="n">
        <f aca="false">V166</f>
        <v>9836.1540063946</v>
      </c>
      <c r="W222" s="1" t="n">
        <f aca="false">W166</f>
        <v>9752.60982549916</v>
      </c>
      <c r="X222" s="1" t="n">
        <f aca="false">X166</f>
        <v>9654.12006447887</v>
      </c>
      <c r="Y222" s="1" t="n">
        <f aca="false">Y166</f>
        <v>9537.97556628676</v>
      </c>
      <c r="Z222" s="1" t="n">
        <f aca="false">Z166</f>
        <v>9400.9758219342</v>
      </c>
      <c r="AA222" s="1" t="n">
        <f aca="false">AA166</f>
        <v>9239.33965580394</v>
      </c>
      <c r="AB222" s="1" t="n">
        <f aca="false">AB166</f>
        <v>9083.11366543803</v>
      </c>
      <c r="AC222" s="1" t="n">
        <f aca="false">AC166</f>
        <v>8935.63925022007</v>
      </c>
    </row>
    <row r="223" customFormat="false" ht="12.8" hidden="false" customHeight="false" outlineLevel="0" collapsed="false">
      <c r="A223" s="1" t="s">
        <v>321</v>
      </c>
      <c r="B223" s="1" t="n">
        <f aca="false">B189</f>
        <v>10298.1452863136</v>
      </c>
      <c r="C223" s="1" t="n">
        <f aca="false">C189</f>
        <v>10298.1452863136</v>
      </c>
      <c r="D223" s="1" t="n">
        <f aca="false">D189</f>
        <v>10156.0380001496</v>
      </c>
      <c r="E223" s="1" t="n">
        <f aca="false">E189</f>
        <v>10093.8568659646</v>
      </c>
      <c r="F223" s="1" t="n">
        <f aca="false">F189</f>
        <v>9916.55834245525</v>
      </c>
      <c r="G223" s="1" t="n">
        <f aca="false">G189</f>
        <v>9910.15938574237</v>
      </c>
      <c r="H223" s="1" t="n">
        <f aca="false">H189</f>
        <v>9902.81199383581</v>
      </c>
      <c r="I223" s="1" t="n">
        <f aca="false">I189</f>
        <v>9890.04242190532</v>
      </c>
      <c r="J223" s="1" t="n">
        <f aca="false">J189</f>
        <v>9879.35150048783</v>
      </c>
      <c r="K223" s="1" t="n">
        <f aca="false">K189</f>
        <v>9866.87961952507</v>
      </c>
      <c r="L223" s="1" t="n">
        <f aca="false">L189</f>
        <v>9851.78881744838</v>
      </c>
      <c r="M223" s="1" t="n">
        <f aca="false">M189</f>
        <v>9874.23020939393</v>
      </c>
      <c r="N223" s="1" t="n">
        <f aca="false">N189</f>
        <v>9854.13124612931</v>
      </c>
      <c r="O223" s="1" t="n">
        <f aca="false">O189</f>
        <v>9831.6574800302</v>
      </c>
      <c r="P223" s="1" t="n">
        <f aca="false">P189</f>
        <v>9805.31494262526</v>
      </c>
      <c r="Q223" s="1" t="n">
        <f aca="false">Q189</f>
        <v>9774.39964018971</v>
      </c>
      <c r="R223" s="1" t="n">
        <f aca="false">R189</f>
        <v>9738.08062836897</v>
      </c>
      <c r="S223" s="1" t="n">
        <f aca="false">S189</f>
        <v>9655.37667913631</v>
      </c>
      <c r="T223" s="1" t="n">
        <f aca="false">T189</f>
        <v>9640.72521081989</v>
      </c>
      <c r="U223" s="1" t="n">
        <f aca="false">U189</f>
        <v>9581.56797509759</v>
      </c>
      <c r="V223" s="1" t="n">
        <f aca="false">V189</f>
        <v>9511.88481581539</v>
      </c>
      <c r="W223" s="1" t="n">
        <f aca="false">W189</f>
        <v>9429.76790925685</v>
      </c>
      <c r="X223" s="1" t="n">
        <f aca="false">X189</f>
        <v>9332.96372816666</v>
      </c>
      <c r="Y223" s="1" t="n">
        <f aca="false">Y189</f>
        <v>9218.81021290026</v>
      </c>
      <c r="Z223" s="1" t="n">
        <f aca="false">Z189</f>
        <v>9048.16227973972</v>
      </c>
      <c r="AA223" s="1" t="n">
        <f aca="false">AA189</f>
        <v>8921.34063542578</v>
      </c>
      <c r="AB223" s="1" t="n">
        <f aca="false">AB189</f>
        <v>8735.75909256068</v>
      </c>
      <c r="AC223" s="1" t="n">
        <f aca="false">AC189</f>
        <v>8590.8070886704</v>
      </c>
    </row>
    <row r="224" customFormat="false" ht="12.8" hidden="false" customHeight="false" outlineLevel="0" collapsed="false">
      <c r="A224" s="1" t="s">
        <v>325</v>
      </c>
      <c r="B224" s="1" t="n">
        <f aca="false">B222-B223</f>
        <v>0</v>
      </c>
      <c r="C224" s="1" t="n">
        <f aca="false">C222-C223</f>
        <v>0</v>
      </c>
      <c r="D224" s="1" t="n">
        <f aca="false">D222-D223</f>
        <v>137.699291494133</v>
      </c>
      <c r="E224" s="1" t="n">
        <f aca="false">E222-E223</f>
        <v>194.929469783496</v>
      </c>
      <c r="F224" s="1" t="n">
        <f aca="false">F222-F223</f>
        <v>366.620004651579</v>
      </c>
      <c r="G224" s="1" t="n">
        <f aca="false">G222-G223</f>
        <v>366.620004651577</v>
      </c>
      <c r="H224" s="1" t="n">
        <f aca="false">H222-H223</f>
        <v>366.620004651579</v>
      </c>
      <c r="I224" s="1" t="n">
        <f aca="false">I222-I223</f>
        <v>365.958103053301</v>
      </c>
      <c r="J224" s="1" t="n">
        <f aca="false">J222-J223</f>
        <v>365.783113583733</v>
      </c>
      <c r="K224" s="1" t="n">
        <f aca="false">K222-K223</f>
        <v>365.579483288273</v>
      </c>
      <c r="L224" s="1" t="n">
        <f aca="false">L222-L223</f>
        <v>365.841948592793</v>
      </c>
      <c r="M224" s="1" t="n">
        <f aca="false">M222-M223</f>
        <v>326.013719429458</v>
      </c>
      <c r="N224" s="1" t="n">
        <f aca="false">N222-N223</f>
        <v>325.687693605911</v>
      </c>
      <c r="O224" s="1" t="n">
        <f aca="false">O222-O223</f>
        <v>325.304847705031</v>
      </c>
      <c r="P224" s="1" t="n">
        <f aca="false">P222-P223</f>
        <v>324.85469243612</v>
      </c>
      <c r="Q224" s="1" t="n">
        <f aca="false">Q222-Q223</f>
        <v>324.324838165616</v>
      </c>
      <c r="R224" s="1" t="n">
        <f aca="false">R222-R223</f>
        <v>323.700648542437</v>
      </c>
      <c r="S224" s="1" t="n">
        <f aca="false">S222-S223</f>
        <v>362.96509646093</v>
      </c>
      <c r="T224" s="1" t="n">
        <f aca="false">T222-T223</f>
        <v>326.50209154507</v>
      </c>
      <c r="U224" s="1" t="n">
        <f aca="false">U222-U223</f>
        <v>325.478009377044</v>
      </c>
      <c r="V224" s="1" t="n">
        <f aca="false">V222-V223</f>
        <v>324.269190579209</v>
      </c>
      <c r="W224" s="1" t="n">
        <f aca="false">W222-W223</f>
        <v>322.841916242305</v>
      </c>
      <c r="X224" s="1" t="n">
        <f aca="false">X222-X223</f>
        <v>321.156336312215</v>
      </c>
      <c r="Y224" s="1" t="n">
        <f aca="false">Y222-Y223</f>
        <v>319.165353386501</v>
      </c>
      <c r="Z224" s="1" t="n">
        <f aca="false">Z222-Z223</f>
        <v>352.813542194483</v>
      </c>
      <c r="AA224" s="1" t="n">
        <f aca="false">AA222-AA223</f>
        <v>317.999020378158</v>
      </c>
      <c r="AB224" s="1" t="n">
        <f aca="false">AB222-AB223</f>
        <v>347.354572877353</v>
      </c>
      <c r="AC224" s="1" t="n">
        <f aca="false">AC222-AC223</f>
        <v>344.832161549666</v>
      </c>
    </row>
    <row r="225" customFormat="false" ht="12.8" hidden="false" customHeight="false" outlineLevel="0" collapsed="false">
      <c r="A225" s="130" t="s">
        <v>326</v>
      </c>
      <c r="B225" s="130" t="n">
        <f aca="false">B224/B222</f>
        <v>0</v>
      </c>
      <c r="C225" s="130" t="n">
        <f aca="false">C224/C222</f>
        <v>0</v>
      </c>
      <c r="D225" s="130" t="n">
        <f aca="false">D224/D222</f>
        <v>0.0133769968664262</v>
      </c>
      <c r="E225" s="130" t="n">
        <f aca="false">E224/E222</f>
        <v>0.0189458176525854</v>
      </c>
      <c r="F225" s="130" t="n">
        <f aca="false">F224/F222</f>
        <v>0.035652401648244</v>
      </c>
      <c r="G225" s="130" t="n">
        <f aca="false">G224/G222</f>
        <v>0.0356746010325248</v>
      </c>
      <c r="H225" s="130" t="n">
        <f aca="false">H224/H222</f>
        <v>0.0357001248662613</v>
      </c>
      <c r="I225" s="130" t="n">
        <f aca="false">I224/I222</f>
        <v>0.0356823405149716</v>
      </c>
      <c r="J225" s="130" t="n">
        <f aca="false">J224/J222</f>
        <v>0.035703104679692</v>
      </c>
      <c r="K225" s="130" t="n">
        <f aca="false">K224/K222</f>
        <v>0.0357274316579247</v>
      </c>
      <c r="L225" s="130" t="n">
        <f aca="false">L224/L222</f>
        <v>0.0358049685851526</v>
      </c>
      <c r="M225" s="130" t="n">
        <f aca="false">M224/M222</f>
        <v>0.0319613650128722</v>
      </c>
      <c r="N225" s="130" t="n">
        <f aca="false">N224/N222</f>
        <v>0.0319934662427682</v>
      </c>
      <c r="O225" s="130" t="n">
        <f aca="false">O224/O222</f>
        <v>0.032027769446061</v>
      </c>
      <c r="P225" s="130" t="n">
        <f aca="false">P224/P222</f>
        <v>0.0320680407277456</v>
      </c>
      <c r="Q225" s="130" t="n">
        <f aca="false">Q224/Q222</f>
        <v>0.0321154259491626</v>
      </c>
      <c r="R225" s="130" t="n">
        <f aca="false">R224/R222</f>
        <v>0.0321713064152197</v>
      </c>
      <c r="S225" s="130" t="n">
        <f aca="false">S224/S222</f>
        <v>0.0362300572880278</v>
      </c>
      <c r="T225" s="130" t="n">
        <f aca="false">T224/T222</f>
        <v>0.032757564530268</v>
      </c>
      <c r="U225" s="130" t="n">
        <f aca="false">U224/U222</f>
        <v>0.032853184479723</v>
      </c>
      <c r="V225" s="130" t="n">
        <f aca="false">V224/V222</f>
        <v>0.0329670713134827</v>
      </c>
      <c r="W225" s="130" t="n">
        <f aca="false">W224/W222</f>
        <v>0.0331031305485228</v>
      </c>
      <c r="X225" s="130" t="n">
        <f aca="false">X224/X222</f>
        <v>0.0332662463453163</v>
      </c>
      <c r="Y225" s="130" t="n">
        <f aca="false">Y224/Y222</f>
        <v>0.0334625886980287</v>
      </c>
      <c r="Z225" s="130" t="n">
        <f aca="false">Z224/Z222</f>
        <v>0.0375294595877275</v>
      </c>
      <c r="AA225" s="130" t="n">
        <f aca="false">AA224/AA222</f>
        <v>0.0344179381021455</v>
      </c>
      <c r="AB225" s="130" t="n">
        <f aca="false">AB224/AB222</f>
        <v>0.0382417952336174</v>
      </c>
      <c r="AC225" s="130" t="n">
        <f aca="false">AC224/AC222</f>
        <v>0.0385906538853584</v>
      </c>
    </row>
    <row r="227" customFormat="false" ht="12.8" hidden="false" customHeight="false" outlineLevel="0" collapsed="false">
      <c r="A227" s="1" t="s">
        <v>577</v>
      </c>
    </row>
    <row r="228" customFormat="false" ht="12.8" hidden="false" customHeight="false" outlineLevel="0" collapsed="false">
      <c r="A228" s="1" t="s">
        <v>318</v>
      </c>
      <c r="B228" s="1" t="n">
        <f aca="false">B166</f>
        <v>10298.1452863136</v>
      </c>
      <c r="C228" s="1" t="n">
        <f aca="false">C166</f>
        <v>10298.1452863136</v>
      </c>
      <c r="D228" s="1" t="n">
        <f aca="false">D166</f>
        <v>10293.7372916437</v>
      </c>
      <c r="E228" s="1" t="n">
        <f aca="false">E166</f>
        <v>10288.7863357481</v>
      </c>
      <c r="F228" s="1" t="n">
        <f aca="false">F166</f>
        <v>10283.1783471068</v>
      </c>
      <c r="G228" s="1" t="n">
        <f aca="false">G166</f>
        <v>10276.7793903939</v>
      </c>
      <c r="H228" s="1" t="n">
        <f aca="false">H166</f>
        <v>10269.4319984874</v>
      </c>
      <c r="I228" s="1" t="n">
        <f aca="false">I166</f>
        <v>10256.0005249586</v>
      </c>
      <c r="J228" s="1" t="n">
        <f aca="false">J166</f>
        <v>10245.1346140716</v>
      </c>
      <c r="K228" s="1" t="n">
        <f aca="false">K166</f>
        <v>10232.4591028133</v>
      </c>
      <c r="L228" s="1" t="n">
        <f aca="false">L166</f>
        <v>10217.6307660412</v>
      </c>
      <c r="M228" s="1" t="n">
        <f aca="false">M166</f>
        <v>10200.2439288234</v>
      </c>
      <c r="N228" s="1" t="n">
        <f aca="false">N166</f>
        <v>10179.8189397352</v>
      </c>
      <c r="O228" s="1" t="n">
        <f aca="false">O166</f>
        <v>10156.9623277352</v>
      </c>
      <c r="P228" s="1" t="n">
        <f aca="false">P166</f>
        <v>10130.1696350614</v>
      </c>
      <c r="Q228" s="1" t="n">
        <f aca="false">Q166</f>
        <v>10098.7244783553</v>
      </c>
      <c r="R228" s="1" t="n">
        <f aca="false">R166</f>
        <v>10061.7812769114</v>
      </c>
      <c r="S228" s="1" t="n">
        <f aca="false">S166</f>
        <v>10018.3417755972</v>
      </c>
      <c r="T228" s="1" t="n">
        <f aca="false">T166</f>
        <v>9967.22730236496</v>
      </c>
      <c r="U228" s="1" t="n">
        <f aca="false">U166</f>
        <v>9907.04598447463</v>
      </c>
      <c r="V228" s="1" t="n">
        <f aca="false">V166</f>
        <v>9836.1540063946</v>
      </c>
      <c r="W228" s="1" t="n">
        <f aca="false">W166</f>
        <v>9752.60982549916</v>
      </c>
      <c r="X228" s="1" t="n">
        <f aca="false">X166</f>
        <v>9654.12006447887</v>
      </c>
      <c r="Y228" s="1" t="n">
        <f aca="false">Y166</f>
        <v>9537.97556628676</v>
      </c>
      <c r="Z228" s="1" t="n">
        <f aca="false">Z166</f>
        <v>9400.9758219342</v>
      </c>
      <c r="AA228" s="1" t="n">
        <f aca="false">AA166</f>
        <v>9239.33965580394</v>
      </c>
      <c r="AB228" s="1" t="n">
        <f aca="false">AB166</f>
        <v>9083.11366543803</v>
      </c>
      <c r="AC228" s="1" t="n">
        <f aca="false">AC166</f>
        <v>8935.63925022007</v>
      </c>
    </row>
    <row r="229" customFormat="false" ht="12.8" hidden="false" customHeight="false" outlineLevel="0" collapsed="false">
      <c r="A229" s="1" t="s">
        <v>322</v>
      </c>
      <c r="B229" s="1" t="n">
        <f aca="false">B197</f>
        <v>10298.1452863136</v>
      </c>
      <c r="C229" s="1" t="n">
        <f aca="false">C197</f>
        <v>10298.1452863136</v>
      </c>
      <c r="D229" s="1" t="n">
        <f aca="false">D197</f>
        <v>10114.0411948126</v>
      </c>
      <c r="E229" s="1" t="n">
        <f aca="false">E197</f>
        <v>10011.4164945785</v>
      </c>
      <c r="F229" s="1" t="n">
        <f aca="false">F197</f>
        <v>9785.69011018117</v>
      </c>
      <c r="G229" s="1" t="n">
        <f aca="false">G197</f>
        <v>9721.32635406985</v>
      </c>
      <c r="H229" s="1" t="n">
        <f aca="false">H197</f>
        <v>9644.60699778821</v>
      </c>
      <c r="I229" s="1" t="n">
        <f aca="false">I197</f>
        <v>9553.09090313783</v>
      </c>
      <c r="J229" s="1" t="n">
        <f aca="false">J197</f>
        <v>9443.83491907795</v>
      </c>
      <c r="K229" s="1" t="n">
        <f aca="false">K197</f>
        <v>9321.33696216479</v>
      </c>
      <c r="L229" s="1" t="n">
        <f aca="false">L197</f>
        <v>9169.21718483724</v>
      </c>
      <c r="M229" s="1" t="n">
        <f aca="false">M197</f>
        <v>9026.10671297579</v>
      </c>
      <c r="N229" s="1" t="n">
        <f aca="false">N197</f>
        <v>8805.37022924501</v>
      </c>
      <c r="O229" s="1" t="n">
        <f aca="false">O197</f>
        <v>8537.68568721853</v>
      </c>
      <c r="P229" s="1" t="n">
        <f aca="false">P197</f>
        <v>8266.1491311649</v>
      </c>
      <c r="Q229" s="1" t="n">
        <f aca="false">Q197</f>
        <v>7984.67362629859</v>
      </c>
      <c r="R229" s="1" t="n">
        <f aca="false">R197</f>
        <v>7687.49552352217</v>
      </c>
      <c r="S229" s="1" t="n">
        <f aca="false">S197</f>
        <v>7319.83794541146</v>
      </c>
      <c r="T229" s="1" t="n">
        <f aca="false">T197</f>
        <v>7004.67378605209</v>
      </c>
      <c r="U229" s="1" t="n">
        <f aca="false">U197</f>
        <v>6682.76975981202</v>
      </c>
      <c r="V229" s="1" t="n">
        <f aca="false">V197</f>
        <v>6393.92666316532</v>
      </c>
      <c r="W229" s="1" t="n">
        <f aca="false">W197</f>
        <v>6142.60908565954</v>
      </c>
      <c r="X229" s="1" t="n">
        <f aca="false">X197</f>
        <v>5933.37831161876</v>
      </c>
      <c r="Y229" s="1" t="n">
        <f aca="false">Y197</f>
        <v>5778.15059305922</v>
      </c>
      <c r="Z229" s="1" t="n">
        <f aca="false">Z197</f>
        <v>5633.95678537649</v>
      </c>
      <c r="AA229" s="1" t="n">
        <f aca="false">AA197</f>
        <v>5600.48711620951</v>
      </c>
      <c r="AB229" s="1" t="n">
        <f aca="false">AB197</f>
        <v>5497.05074243965</v>
      </c>
      <c r="AC229" s="1" t="n">
        <f aca="false">AC197</f>
        <v>5419.2239148735</v>
      </c>
    </row>
    <row r="230" customFormat="false" ht="12.8" hidden="false" customHeight="false" outlineLevel="0" collapsed="false">
      <c r="A230" s="1" t="s">
        <v>325</v>
      </c>
      <c r="B230" s="1" t="n">
        <f aca="false">B228-B229</f>
        <v>0</v>
      </c>
      <c r="C230" s="1" t="n">
        <f aca="false">C228-C229</f>
        <v>0</v>
      </c>
      <c r="D230" s="1" t="n">
        <f aca="false">D228-D229</f>
        <v>179.696096831136</v>
      </c>
      <c r="E230" s="1" t="n">
        <f aca="false">E228-E229</f>
        <v>277.369841169591</v>
      </c>
      <c r="F230" s="1" t="n">
        <f aca="false">F228-F229</f>
        <v>497.488236925667</v>
      </c>
      <c r="G230" s="1" t="n">
        <f aca="false">G228-G229</f>
        <v>555.453036324096</v>
      </c>
      <c r="H230" s="1" t="n">
        <f aca="false">H228-H229</f>
        <v>624.825000699177</v>
      </c>
      <c r="I230" s="1" t="n">
        <f aca="false">I228-I229</f>
        <v>702.909621820792</v>
      </c>
      <c r="J230" s="1" t="n">
        <f aca="false">J228-J229</f>
        <v>801.29969499361</v>
      </c>
      <c r="K230" s="1" t="n">
        <f aca="false">K228-K229</f>
        <v>911.12214064856</v>
      </c>
      <c r="L230" s="1" t="n">
        <f aca="false">L228-L229</f>
        <v>1048.41358120394</v>
      </c>
      <c r="M230" s="1" t="n">
        <f aca="false">M228-M229</f>
        <v>1174.1372158476</v>
      </c>
      <c r="N230" s="1" t="n">
        <f aca="false">N228-N229</f>
        <v>1374.44871049021</v>
      </c>
      <c r="O230" s="1" t="n">
        <f aca="false">O228-O229</f>
        <v>1619.2766405167</v>
      </c>
      <c r="P230" s="1" t="n">
        <f aca="false">P228-P229</f>
        <v>1864.02050389647</v>
      </c>
      <c r="Q230" s="1" t="n">
        <f aca="false">Q228-Q229</f>
        <v>2114.05085205674</v>
      </c>
      <c r="R230" s="1" t="n">
        <f aca="false">R228-R229</f>
        <v>2374.28575338924</v>
      </c>
      <c r="S230" s="1" t="n">
        <f aca="false">S228-S229</f>
        <v>2698.50383018579</v>
      </c>
      <c r="T230" s="1" t="n">
        <f aca="false">T228-T229</f>
        <v>2962.55351631288</v>
      </c>
      <c r="U230" s="1" t="n">
        <f aca="false">U228-U229</f>
        <v>3224.27622466261</v>
      </c>
      <c r="V230" s="1" t="n">
        <f aca="false">V228-V229</f>
        <v>3442.22734322928</v>
      </c>
      <c r="W230" s="1" t="n">
        <f aca="false">W228-W229</f>
        <v>3610.00073983962</v>
      </c>
      <c r="X230" s="1" t="n">
        <f aca="false">X228-X229</f>
        <v>3720.74175286012</v>
      </c>
      <c r="Y230" s="1" t="n">
        <f aca="false">Y228-Y229</f>
        <v>3759.82497322754</v>
      </c>
      <c r="Z230" s="1" t="n">
        <f aca="false">Z228-Z229</f>
        <v>3767.01903655772</v>
      </c>
      <c r="AA230" s="1" t="n">
        <f aca="false">AA228-AA229</f>
        <v>3638.85253959443</v>
      </c>
      <c r="AB230" s="1" t="n">
        <f aca="false">AB228-AB229</f>
        <v>3586.06292299838</v>
      </c>
      <c r="AC230" s="1" t="n">
        <f aca="false">AC228-AC229</f>
        <v>3516.41533534657</v>
      </c>
    </row>
    <row r="231" customFormat="false" ht="12.8" hidden="false" customHeight="false" outlineLevel="0" collapsed="false">
      <c r="A231" s="130" t="s">
        <v>326</v>
      </c>
      <c r="B231" s="130" t="n">
        <f aca="false">B230/B228</f>
        <v>0</v>
      </c>
      <c r="C231" s="130" t="n">
        <f aca="false">C230/C228</f>
        <v>0</v>
      </c>
      <c r="D231" s="130" t="n">
        <f aca="false">D230/D228</f>
        <v>0.0174568372729902</v>
      </c>
      <c r="E231" s="130" t="n">
        <f aca="false">E230/E228</f>
        <v>0.0269584606112266</v>
      </c>
      <c r="F231" s="130" t="n">
        <f aca="false">F230/F228</f>
        <v>0.0483788397062699</v>
      </c>
      <c r="G231" s="130" t="n">
        <f aca="false">G230/G228</f>
        <v>0.0540493295830887</v>
      </c>
      <c r="H231" s="130" t="n">
        <f aca="false">H230/H228</f>
        <v>0.06084318984645</v>
      </c>
      <c r="I231" s="130" t="n">
        <f aca="false">I230/I228</f>
        <v>0.0685364260766385</v>
      </c>
      <c r="J231" s="130" t="n">
        <f aca="false">J230/J228</f>
        <v>0.0782127053648505</v>
      </c>
      <c r="K231" s="130" t="n">
        <f aca="false">K230/K228</f>
        <v>0.0890423437312399</v>
      </c>
      <c r="L231" s="130" t="n">
        <f aca="false">L230/L228</f>
        <v>0.102608286129148</v>
      </c>
      <c r="M231" s="130" t="n">
        <f aca="false">M230/M228</f>
        <v>0.115108738971406</v>
      </c>
      <c r="N231" s="130" t="n">
        <f aca="false">N230/N228</f>
        <v>0.135017009499577</v>
      </c>
      <c r="O231" s="130" t="n">
        <f aca="false">O230/O228</f>
        <v>0.15942528762709</v>
      </c>
      <c r="P231" s="130" t="n">
        <f aca="false">P230/P228</f>
        <v>0.184006840067608</v>
      </c>
      <c r="Q231" s="130" t="n">
        <f aca="false">Q230/Q228</f>
        <v>0.209338402744604</v>
      </c>
      <c r="R231" s="130" t="n">
        <f aca="false">R230/R228</f>
        <v>0.235970718111063</v>
      </c>
      <c r="S231" s="130" t="n">
        <f aca="false">S230/S228</f>
        <v>0.269356335672119</v>
      </c>
      <c r="T231" s="130" t="n">
        <f aca="false">T230/T228</f>
        <v>0.297229452729541</v>
      </c>
      <c r="U231" s="130" t="n">
        <f aca="false">U230/U228</f>
        <v>0.325452837275146</v>
      </c>
      <c r="V231" s="130" t="n">
        <f aca="false">V230/V228</f>
        <v>0.349956633557328</v>
      </c>
      <c r="W231" s="130" t="n">
        <f aca="false">W230/W228</f>
        <v>0.370157404472485</v>
      </c>
      <c r="X231" s="130" t="n">
        <f aca="false">X230/X228</f>
        <v>0.385404545210715</v>
      </c>
      <c r="Y231" s="130" t="n">
        <f aca="false">Y230/Y228</f>
        <v>0.394195282541627</v>
      </c>
      <c r="Z231" s="130" t="n">
        <f aca="false">Z230/Z228</f>
        <v>0.400705108481246</v>
      </c>
      <c r="AA231" s="130" t="n">
        <f aca="false">AA230/AA228</f>
        <v>0.393843356252044</v>
      </c>
      <c r="AB231" s="130" t="n">
        <f aca="false">AB230/AB228</f>
        <v>0.394805465954217</v>
      </c>
      <c r="AC231" s="130" t="n">
        <f aca="false">AC230/AC228</f>
        <v>0.393527003147532</v>
      </c>
    </row>
    <row r="233" customFormat="false" ht="12.8" hidden="false" customHeight="false" outlineLevel="0" collapsed="false">
      <c r="A233" s="1" t="s">
        <v>578</v>
      </c>
    </row>
    <row r="234" customFormat="false" ht="12.8" hidden="false" customHeight="false" outlineLevel="0" collapsed="false">
      <c r="A234" s="1" t="s">
        <v>318</v>
      </c>
      <c r="B234" s="1" t="n">
        <f aca="false">B166</f>
        <v>10298.1452863136</v>
      </c>
      <c r="C234" s="1" t="n">
        <f aca="false">C166</f>
        <v>10298.1452863136</v>
      </c>
      <c r="D234" s="1" t="n">
        <f aca="false">D166</f>
        <v>10293.7372916437</v>
      </c>
      <c r="E234" s="1" t="n">
        <f aca="false">E166</f>
        <v>10288.7863357481</v>
      </c>
      <c r="F234" s="1" t="n">
        <f aca="false">F166</f>
        <v>10283.1783471068</v>
      </c>
      <c r="G234" s="1" t="n">
        <f aca="false">G166</f>
        <v>10276.7793903939</v>
      </c>
      <c r="H234" s="1" t="n">
        <f aca="false">H166</f>
        <v>10269.4319984874</v>
      </c>
      <c r="I234" s="1" t="n">
        <f aca="false">I166</f>
        <v>10256.0005249586</v>
      </c>
      <c r="J234" s="1" t="n">
        <f aca="false">J166</f>
        <v>10245.1346140716</v>
      </c>
      <c r="K234" s="1" t="n">
        <f aca="false">K166</f>
        <v>10232.4591028133</v>
      </c>
      <c r="L234" s="1" t="n">
        <f aca="false">L166</f>
        <v>10217.6307660412</v>
      </c>
      <c r="M234" s="1" t="n">
        <f aca="false">M166</f>
        <v>10200.2439288234</v>
      </c>
      <c r="N234" s="1" t="n">
        <f aca="false">N166</f>
        <v>10179.8189397352</v>
      </c>
      <c r="O234" s="1" t="n">
        <f aca="false">O166</f>
        <v>10156.9623277352</v>
      </c>
      <c r="P234" s="1" t="n">
        <f aca="false">P166</f>
        <v>10130.1696350614</v>
      </c>
      <c r="Q234" s="1" t="n">
        <f aca="false">Q166</f>
        <v>10098.7244783553</v>
      </c>
      <c r="R234" s="1" t="n">
        <f aca="false">R166</f>
        <v>10061.7812769114</v>
      </c>
      <c r="S234" s="1" t="n">
        <f aca="false">S166</f>
        <v>10018.3417755972</v>
      </c>
      <c r="T234" s="1" t="n">
        <f aca="false">T166</f>
        <v>9967.22730236496</v>
      </c>
      <c r="U234" s="1" t="n">
        <f aca="false">U166</f>
        <v>9907.04598447463</v>
      </c>
      <c r="V234" s="1" t="n">
        <f aca="false">V166</f>
        <v>9836.1540063946</v>
      </c>
      <c r="W234" s="1" t="n">
        <f aca="false">W166</f>
        <v>9752.60982549916</v>
      </c>
      <c r="X234" s="1" t="n">
        <f aca="false">X166</f>
        <v>9654.12006447887</v>
      </c>
      <c r="Y234" s="1" t="n">
        <f aca="false">Y166</f>
        <v>9537.97556628676</v>
      </c>
      <c r="Z234" s="1" t="n">
        <f aca="false">Z166</f>
        <v>9400.9758219342</v>
      </c>
      <c r="AA234" s="1" t="n">
        <f aca="false">AA166</f>
        <v>9239.33965580394</v>
      </c>
      <c r="AB234" s="1" t="n">
        <f aca="false">AB166</f>
        <v>9083.11366543803</v>
      </c>
      <c r="AC234" s="1" t="n">
        <f aca="false">AC166</f>
        <v>8935.63925022007</v>
      </c>
    </row>
    <row r="235" customFormat="false" ht="12.8" hidden="false" customHeight="false" outlineLevel="0" collapsed="false">
      <c r="A235" s="1" t="s">
        <v>42</v>
      </c>
      <c r="B235" s="1" t="n">
        <f aca="false">B209</f>
        <v>10298.1452863136</v>
      </c>
      <c r="C235" s="1" t="n">
        <f aca="false">C209</f>
        <v>10298.1452863136</v>
      </c>
      <c r="D235" s="1" t="n">
        <f aca="false">D209</f>
        <v>10071.2100726831</v>
      </c>
      <c r="E235" s="1" t="n">
        <f aca="false">E209</f>
        <v>9924.26295386741</v>
      </c>
      <c r="F235" s="1" t="n">
        <f aca="false">F209</f>
        <v>9645.89445431297</v>
      </c>
      <c r="G235" s="1" t="n">
        <f aca="false">G209</f>
        <v>9518.97879677413</v>
      </c>
      <c r="H235" s="1" t="n">
        <f aca="false">H209</f>
        <v>9363.96981015156</v>
      </c>
      <c r="I235" s="1" t="n">
        <f aca="false">I209</f>
        <v>9177.32599051444</v>
      </c>
      <c r="J235" s="1" t="n">
        <f aca="false">J209</f>
        <v>8951.92051927441</v>
      </c>
      <c r="K235" s="1" t="n">
        <f aca="false">K209</f>
        <v>8710.98884320287</v>
      </c>
      <c r="L235" s="1" t="n">
        <f aca="false">L209</f>
        <v>8423.24272169833</v>
      </c>
      <c r="M235" s="1" t="n">
        <f aca="false">M209</f>
        <v>8119.79754412873</v>
      </c>
      <c r="N235" s="1" t="n">
        <f aca="false">N209</f>
        <v>7709.49044486689</v>
      </c>
      <c r="O235" s="1" t="n">
        <f aca="false">O209</f>
        <v>7240.20824870148</v>
      </c>
      <c r="P235" s="1" t="n">
        <f aca="false">P209</f>
        <v>6689.25629470532</v>
      </c>
      <c r="Q235" s="1" t="n">
        <f aca="false">Q209</f>
        <v>6168.27245758005</v>
      </c>
      <c r="R235" s="1" t="n">
        <f aca="false">R209</f>
        <v>5721.87140941132</v>
      </c>
      <c r="S235" s="1" t="n">
        <f aca="false">S209</f>
        <v>5277.5379664953</v>
      </c>
      <c r="T235" s="1" t="n">
        <f aca="false">T209</f>
        <v>4955.772661183</v>
      </c>
      <c r="U235" s="1" t="n">
        <f aca="false">U209</f>
        <v>4726.5548926257</v>
      </c>
      <c r="V235" s="1" t="n">
        <f aca="false">V209</f>
        <v>4682.42812865814</v>
      </c>
      <c r="W235" s="1" t="n">
        <f aca="false">W209</f>
        <v>4682.42812865814</v>
      </c>
      <c r="X235" s="1" t="n">
        <f aca="false">X209</f>
        <v>4682.42812865814</v>
      </c>
      <c r="Y235" s="1" t="n">
        <f aca="false">Y209</f>
        <v>4682.42812865814</v>
      </c>
      <c r="Z235" s="1" t="n">
        <f aca="false">Z209</f>
        <v>4646.42788984528</v>
      </c>
      <c r="AA235" s="1" t="n">
        <f aca="false">AA209</f>
        <v>4678.46350438014</v>
      </c>
      <c r="AB235" s="1" t="n">
        <f aca="false">AB209</f>
        <v>4646.42788984528</v>
      </c>
      <c r="AC235" s="1" t="n">
        <f aca="false">AC209</f>
        <v>4646.42788984528</v>
      </c>
    </row>
    <row r="236" customFormat="false" ht="12.8" hidden="false" customHeight="false" outlineLevel="0" collapsed="false">
      <c r="A236" s="1" t="s">
        <v>325</v>
      </c>
      <c r="B236" s="1" t="n">
        <f aca="false">B234-B235</f>
        <v>0</v>
      </c>
      <c r="C236" s="1" t="n">
        <f aca="false">C234-C235</f>
        <v>0</v>
      </c>
      <c r="D236" s="1" t="n">
        <f aca="false">D234-D235</f>
        <v>222.527218960677</v>
      </c>
      <c r="E236" s="1" t="n">
        <f aca="false">E234-E235</f>
        <v>364.523381880679</v>
      </c>
      <c r="F236" s="1" t="n">
        <f aca="false">F234-F235</f>
        <v>637.283892793859</v>
      </c>
      <c r="G236" s="1" t="n">
        <f aca="false">G234-G235</f>
        <v>757.800593619812</v>
      </c>
      <c r="H236" s="1" t="n">
        <f aca="false">H234-H235</f>
        <v>905.46218833582</v>
      </c>
      <c r="I236" s="1" t="n">
        <f aca="false">I234-I235</f>
        <v>1078.67453444418</v>
      </c>
      <c r="J236" s="1" t="n">
        <f aca="false">J234-J235</f>
        <v>1293.21409479715</v>
      </c>
      <c r="K236" s="1" t="n">
        <f aca="false">K234-K235</f>
        <v>1521.47025961047</v>
      </c>
      <c r="L236" s="1" t="n">
        <f aca="false">L234-L235</f>
        <v>1794.38804434285</v>
      </c>
      <c r="M236" s="1" t="n">
        <f aca="false">M234-M235</f>
        <v>2080.44638469466</v>
      </c>
      <c r="N236" s="1" t="n">
        <f aca="false">N234-N235</f>
        <v>2470.32849486833</v>
      </c>
      <c r="O236" s="1" t="n">
        <f aca="false">O234-O235</f>
        <v>2916.75407903375</v>
      </c>
      <c r="P236" s="1" t="n">
        <f aca="false">P234-P235</f>
        <v>3440.91334035605</v>
      </c>
      <c r="Q236" s="1" t="n">
        <f aca="false">Q234-Q235</f>
        <v>3930.45202077527</v>
      </c>
      <c r="R236" s="1" t="n">
        <f aca="false">R234-R235</f>
        <v>4339.90986750009</v>
      </c>
      <c r="S236" s="1" t="n">
        <f aca="false">S234-S235</f>
        <v>4740.80380910195</v>
      </c>
      <c r="T236" s="1" t="n">
        <f aca="false">T234-T235</f>
        <v>5011.45464118196</v>
      </c>
      <c r="U236" s="1" t="n">
        <f aca="false">U234-U235</f>
        <v>5180.49109184893</v>
      </c>
      <c r="V236" s="1" t="n">
        <f aca="false">V234-V235</f>
        <v>5153.72587773646</v>
      </c>
      <c r="W236" s="1" t="n">
        <f aca="false">W234-W235</f>
        <v>5070.18169684102</v>
      </c>
      <c r="X236" s="1" t="n">
        <f aca="false">X234-X235</f>
        <v>4971.69193582074</v>
      </c>
      <c r="Y236" s="1" t="n">
        <f aca="false">Y234-Y235</f>
        <v>4855.54743762862</v>
      </c>
      <c r="Z236" s="1" t="n">
        <f aca="false">Z234-Z235</f>
        <v>4754.54793208892</v>
      </c>
      <c r="AA236" s="1" t="n">
        <f aca="false">AA234-AA235</f>
        <v>4560.8761514238</v>
      </c>
      <c r="AB236" s="1" t="n">
        <f aca="false">AB234-AB235</f>
        <v>4436.68577559275</v>
      </c>
      <c r="AC236" s="1" t="n">
        <f aca="false">AC234-AC235</f>
        <v>4289.21136037479</v>
      </c>
    </row>
    <row r="237" customFormat="false" ht="12.8" hidden="false" customHeight="false" outlineLevel="0" collapsed="false">
      <c r="A237" s="130" t="s">
        <v>326</v>
      </c>
      <c r="B237" s="130" t="n">
        <f aca="false">B236/B234</f>
        <v>0</v>
      </c>
      <c r="C237" s="130" t="n">
        <f aca="false">C236/C234</f>
        <v>0</v>
      </c>
      <c r="D237" s="130" t="n">
        <f aca="false">D236/D234</f>
        <v>0.0216177285912785</v>
      </c>
      <c r="E237" s="130" t="n">
        <f aca="false">E236/E234</f>
        <v>0.0354291915475155</v>
      </c>
      <c r="F237" s="130" t="n">
        <f aca="false">F236/F234</f>
        <v>0.061973435768831</v>
      </c>
      <c r="G237" s="130" t="n">
        <f aca="false">G236/G234</f>
        <v>0.0737391126959632</v>
      </c>
      <c r="H237" s="130" t="n">
        <f aca="false">H236/H234</f>
        <v>0.0881706201929365</v>
      </c>
      <c r="I237" s="130" t="n">
        <f aca="false">I236/I234</f>
        <v>0.105174968723837</v>
      </c>
      <c r="J237" s="130" t="n">
        <f aca="false">J236/J234</f>
        <v>0.126227145226666</v>
      </c>
      <c r="K237" s="130" t="n">
        <f aca="false">K236/K234</f>
        <v>0.148690578122336</v>
      </c>
      <c r="L237" s="130" t="n">
        <f aca="false">L236/L234</f>
        <v>0.175616841656344</v>
      </c>
      <c r="M237" s="130" t="n">
        <f aca="false">M236/M234</f>
        <v>0.203960454202064</v>
      </c>
      <c r="N237" s="130" t="n">
        <f aca="false">N236/N234</f>
        <v>0.242669197703097</v>
      </c>
      <c r="O237" s="130" t="n">
        <f aca="false">O236/O234</f>
        <v>0.287167952870031</v>
      </c>
      <c r="P237" s="130" t="n">
        <f aca="false">P236/P234</f>
        <v>0.339669863814201</v>
      </c>
      <c r="Q237" s="130" t="n">
        <f aca="false">Q236/Q234</f>
        <v>0.389202817563688</v>
      </c>
      <c r="R237" s="130" t="n">
        <f aca="false">R236/R234</f>
        <v>0.431326198419638</v>
      </c>
      <c r="S237" s="130" t="n">
        <f aca="false">S236/S234</f>
        <v>0.473212425298729</v>
      </c>
      <c r="T237" s="130" t="n">
        <f aca="false">T236/T234</f>
        <v>0.502793253244348</v>
      </c>
      <c r="U237" s="130" t="n">
        <f aca="false">U236/U234</f>
        <v>0.522909765430311</v>
      </c>
      <c r="V237" s="130" t="n">
        <f aca="false">V236/V234</f>
        <v>0.523957420185365</v>
      </c>
      <c r="W237" s="130" t="n">
        <f aca="false">W236/W234</f>
        <v>0.519879477141035</v>
      </c>
      <c r="X237" s="130" t="n">
        <f aca="false">X236/X234</f>
        <v>0.514981365739738</v>
      </c>
      <c r="Y237" s="130" t="n">
        <f aca="false">Y236/Y234</f>
        <v>0.509075264859264</v>
      </c>
      <c r="Z237" s="130" t="n">
        <f aca="false">Z236/Z234</f>
        <v>0.505750469115737</v>
      </c>
      <c r="AA237" s="130" t="n">
        <f aca="false">AA236/AA234</f>
        <v>0.493636593234102</v>
      </c>
      <c r="AB237" s="130" t="n">
        <f aca="false">AB236/AB234</f>
        <v>0.488454283300967</v>
      </c>
      <c r="AC237" s="130" t="n">
        <f aca="false">AC236/AC234</f>
        <v>0.480011697010838</v>
      </c>
    </row>
    <row r="239" customFormat="false" ht="12.8" hidden="false" customHeight="false" outlineLevel="0" collapsed="false">
      <c r="A239" s="1" t="s">
        <v>330</v>
      </c>
      <c r="B239" s="1" t="s">
        <v>1</v>
      </c>
      <c r="C239" s="1" t="s">
        <v>2</v>
      </c>
      <c r="D239" s="1" t="s">
        <v>331</v>
      </c>
      <c r="E239" s="1" t="s">
        <v>3</v>
      </c>
    </row>
    <row r="240" customFormat="false" ht="12.8" hidden="false" customHeight="false" outlineLevel="0" collapsed="false">
      <c r="A240" s="1" t="s">
        <v>332</v>
      </c>
      <c r="B240" s="1" t="n">
        <f aca="false">B217-(SUM(D217:I217)/6)</f>
        <v>149.925731656995</v>
      </c>
      <c r="C240" s="1" t="n">
        <f aca="false">B217-SUM(D217:N217)/11</f>
        <v>161.573133340677</v>
      </c>
      <c r="D240" s="1" t="n">
        <f aca="false">B217-(SUM(N217:AC217)/21)</f>
        <v>173.696283609787</v>
      </c>
    </row>
    <row r="241" customFormat="false" ht="12.8" hidden="false" customHeight="false" outlineLevel="0" collapsed="false">
      <c r="A241" s="1" t="s">
        <v>333</v>
      </c>
    </row>
    <row r="242" customFormat="false" ht="12.8" hidden="false" customHeight="false" outlineLevel="0" collapsed="false">
      <c r="A242" s="1" t="s">
        <v>334</v>
      </c>
      <c r="B242" s="1" t="n">
        <f aca="false">B222-(AVERAGE(D222:I222))</f>
        <v>20.1596382571479</v>
      </c>
      <c r="C242" s="1" t="n">
        <f aca="false">B222-AVERAGE(D222:N222)</f>
        <v>48.7633554205549</v>
      </c>
      <c r="D242" s="1" t="n">
        <f aca="false">B223-(AVERAGE(N222:AC222))</f>
        <v>550.645312795392</v>
      </c>
    </row>
    <row r="243" customFormat="false" ht="12.8" hidden="false" customHeight="false" outlineLevel="0" collapsed="false">
      <c r="A243" s="1" t="s">
        <v>335</v>
      </c>
      <c r="B243" s="1" t="n">
        <f aca="false">B223-(AVERAGE(D223:I223))</f>
        <v>319.90078463809</v>
      </c>
      <c r="C243" s="1" t="n">
        <f aca="false">B223-AVERAGE(D223:N223)</f>
        <v>371.249976946539</v>
      </c>
      <c r="D243" s="1" t="n">
        <f aca="false">B223-(AVERAGE(N223:AC223))</f>
        <v>881.223438505271</v>
      </c>
    </row>
    <row r="244" customFormat="false" ht="12.8" hidden="false" customHeight="false" outlineLevel="0" collapsed="false">
      <c r="A244" s="1" t="s">
        <v>336</v>
      </c>
      <c r="B244" s="1" t="n">
        <f aca="false">B229-AVERAGE(D229:I229)</f>
        <v>493.116610552224</v>
      </c>
      <c r="C244" s="1" t="n">
        <f aca="false">B229-AVERAGE(D229:N229)</f>
        <v>789.414553325498</v>
      </c>
      <c r="D244" s="1" t="n">
        <f aca="false">B229-(AVERAGE(N229:AC229))</f>
        <v>3505.18035499316</v>
      </c>
    </row>
    <row r="245" customFormat="false" ht="12.8" hidden="false" customHeight="false" outlineLevel="0" collapsed="false">
      <c r="A245" s="1" t="s">
        <v>337</v>
      </c>
      <c r="B245" s="1" t="n">
        <f aca="false">B235-(AVERAGE(D235:I235))</f>
        <v>681.204939929652</v>
      </c>
      <c r="C245" s="1" t="n">
        <f aca="false">B235-AVERAGE(D235:N235)</f>
        <v>1242.04690890678</v>
      </c>
      <c r="D245" s="1" t="n">
        <f aca="false">B235-(AVERAGE(N235:AC235))</f>
        <v>4933.36878230623</v>
      </c>
    </row>
    <row r="246" customFormat="false" ht="12.8" hidden="false" customHeight="false" outlineLevel="0" collapsed="false">
      <c r="A246" s="1" t="s">
        <v>338</v>
      </c>
    </row>
    <row r="247" customFormat="false" ht="12.8" hidden="false" customHeight="false" outlineLevel="0" collapsed="false">
      <c r="A247" s="1" t="s">
        <v>332</v>
      </c>
      <c r="B247" s="130" t="n">
        <f aca="false">B240/$B$217</f>
        <v>0.806873549183171</v>
      </c>
      <c r="C247" s="130" t="n">
        <f aca="false">C240/$B$217</f>
        <v>0.869557787781888</v>
      </c>
      <c r="D247" s="130" t="n">
        <f aca="false">D240/$B$217</f>
        <v>0.934802420419711</v>
      </c>
    </row>
    <row r="248" customFormat="false" ht="12.8" hidden="false" customHeight="false" outlineLevel="0" collapsed="false">
      <c r="B248" s="130"/>
      <c r="C248" s="130"/>
      <c r="D248" s="130"/>
    </row>
    <row r="249" customFormat="false" ht="12.8" hidden="false" customHeight="false" outlineLevel="0" collapsed="false">
      <c r="A249" s="1" t="s">
        <v>335</v>
      </c>
      <c r="B249" s="130" t="n">
        <f aca="false">B243/$B$229</f>
        <v>0.0310639222640648</v>
      </c>
      <c r="C249" s="130" t="n">
        <f aca="false">C243/$B$229</f>
        <v>0.0360501786122533</v>
      </c>
      <c r="D249" s="130" t="n">
        <f aca="false">D243/$B$229</f>
        <v>0.0855710823653296</v>
      </c>
    </row>
    <row r="250" customFormat="false" ht="12.8" hidden="false" customHeight="false" outlineLevel="0" collapsed="false">
      <c r="A250" s="1" t="s">
        <v>336</v>
      </c>
      <c r="B250" s="130" t="n">
        <f aca="false">B244/$B$229</f>
        <v>0.0478840215244958</v>
      </c>
      <c r="C250" s="130" t="n">
        <f aca="false">C244/$B$229</f>
        <v>0.0766559930334877</v>
      </c>
      <c r="D250" s="130" t="n">
        <f aca="false">D244/$B$229</f>
        <v>0.34037006252491</v>
      </c>
    </row>
    <row r="251" customFormat="false" ht="12.8" hidden="false" customHeight="false" outlineLevel="0" collapsed="false">
      <c r="A251" s="1" t="s">
        <v>337</v>
      </c>
      <c r="B251" s="130" t="n">
        <f aca="false">B245/$B$229</f>
        <v>0.0661483132147092</v>
      </c>
      <c r="C251" s="130" t="n">
        <f aca="false">C245/$B$229</f>
        <v>0.120608796474981</v>
      </c>
      <c r="D251" s="130" t="n">
        <f aca="false">D245/$B$229</f>
        <v>0.479054105875042</v>
      </c>
    </row>
    <row r="253" customFormat="false" ht="12.8" hidden="false" customHeight="false" outlineLevel="0" collapsed="false">
      <c r="A253" s="1" t="s">
        <v>339</v>
      </c>
      <c r="B253" s="1" t="s">
        <v>1</v>
      </c>
      <c r="C253" s="1" t="s">
        <v>2</v>
      </c>
      <c r="D253" s="1" t="s">
        <v>331</v>
      </c>
    </row>
    <row r="254" customFormat="false" ht="12.8" hidden="false" customHeight="false" outlineLevel="0" collapsed="false">
      <c r="A254" s="1" t="s">
        <v>332</v>
      </c>
      <c r="B254" s="1" t="n">
        <f aca="false">(SUM(D218:I218)/6)</f>
        <v>149.870573190472</v>
      </c>
      <c r="C254" s="1" t="n">
        <f aca="false">SUM(D218:N218)/11</f>
        <v>161.243310762992</v>
      </c>
      <c r="D254" s="1" t="n">
        <f aca="false">(SUM(N218:AC218)/21)</f>
        <v>125.934524079954</v>
      </c>
    </row>
    <row r="255" customFormat="false" ht="12.8" hidden="false" customHeight="false" outlineLevel="0" collapsed="false">
      <c r="A255" s="1" t="s">
        <v>335</v>
      </c>
      <c r="B255" s="1" t="n">
        <f aca="false">(SUM(D224:I224)/6)</f>
        <v>299.741146380944</v>
      </c>
      <c r="C255" s="1" t="n">
        <f aca="false">SUM(D224:N224)/11</f>
        <v>322.486621525985</v>
      </c>
      <c r="D255" s="1" t="n">
        <f aca="false">(SUM(N224:AC224)/21)</f>
        <v>251.869048159907</v>
      </c>
    </row>
    <row r="256" customFormat="false" ht="12.8" hidden="false" customHeight="false" outlineLevel="0" collapsed="false">
      <c r="A256" s="1" t="s">
        <v>336</v>
      </c>
      <c r="B256" s="1" t="n">
        <f aca="false">(SUM(D230:I230)/6)</f>
        <v>472.956972295076</v>
      </c>
      <c r="C256" s="1" t="n">
        <f aca="false">SUM(D230:N230)/11</f>
        <v>740.651197904944</v>
      </c>
      <c r="D256" s="1" t="n">
        <f aca="false">(SUM(N230:AC230)/21)</f>
        <v>2251.07431786497</v>
      </c>
    </row>
    <row r="257" customFormat="false" ht="12.8" hidden="false" customHeight="false" outlineLevel="0" collapsed="false">
      <c r="A257" s="1" t="s">
        <v>337</v>
      </c>
      <c r="B257" s="1" t="n">
        <f aca="false">(SUM(D236:I236)/6)</f>
        <v>661.045301672505</v>
      </c>
      <c r="C257" s="1" t="n">
        <f aca="false">SUM(D236:N236)/11</f>
        <v>1193.28355348623</v>
      </c>
      <c r="D257" s="1" t="n">
        <f aca="false">(SUM(N236:AC236)/21)</f>
        <v>3339.21788153207</v>
      </c>
    </row>
    <row r="258" customFormat="false" ht="12.8" hidden="false" customHeight="false" outlineLevel="0" collapsed="false">
      <c r="A258" s="1" t="s">
        <v>338</v>
      </c>
    </row>
    <row r="259" customFormat="false" ht="12.8" hidden="false" customHeight="false" outlineLevel="0" collapsed="false">
      <c r="A259" s="1" t="s">
        <v>332</v>
      </c>
      <c r="B259" s="130" t="n">
        <f aca="false">B254/$B$217</f>
        <v>0.806576696153613</v>
      </c>
      <c r="C259" s="130" t="n">
        <f aca="false">C254/$B$217</f>
        <v>0.867782741491196</v>
      </c>
      <c r="D259" s="130" t="n">
        <f aca="false">D254/$B$217</f>
        <v>0.677757148729877</v>
      </c>
    </row>
    <row r="260" customFormat="false" ht="12.8" hidden="false" customHeight="false" outlineLevel="0" collapsed="false">
      <c r="A260" s="1" t="s">
        <v>335</v>
      </c>
      <c r="B260" s="130" t="n">
        <f aca="false">B255/$B$229</f>
        <v>0.0291063233278817</v>
      </c>
      <c r="C260" s="130" t="n">
        <f aca="false">C255/$B$229</f>
        <v>0.0313150196040228</v>
      </c>
      <c r="D260" s="130" t="n">
        <f aca="false">D255/$B$229</f>
        <v>0.0244577097290175</v>
      </c>
    </row>
    <row r="261" customFormat="false" ht="12.8" hidden="false" customHeight="false" outlineLevel="0" collapsed="false">
      <c r="A261" s="1" t="s">
        <v>336</v>
      </c>
      <c r="B261" s="130" t="n">
        <f aca="false">B256/$B$229</f>
        <v>0.0459264225883125</v>
      </c>
      <c r="C261" s="130" t="n">
        <f aca="false">C256/$B$229</f>
        <v>0.0719208340252572</v>
      </c>
      <c r="D261" s="130" t="n">
        <f aca="false">D256/$B$229</f>
        <v>0.218590266041079</v>
      </c>
    </row>
    <row r="262" customFormat="false" ht="12.8" hidden="false" customHeight="false" outlineLevel="0" collapsed="false">
      <c r="A262" s="1" t="s">
        <v>337</v>
      </c>
      <c r="B262" s="130" t="n">
        <f aca="false">B257/$B$229</f>
        <v>0.064190714278526</v>
      </c>
      <c r="C262" s="130" t="n">
        <f aca="false">C257/$B$229</f>
        <v>0.115873637466751</v>
      </c>
      <c r="D262" s="130" t="n">
        <f aca="false">D257/$B$229</f>
        <v>0.324254299069751</v>
      </c>
    </row>
    <row r="264" customFormat="false" ht="12.8" hidden="false" customHeight="false" outlineLevel="0" collapsed="false">
      <c r="A264" s="125" t="s">
        <v>340</v>
      </c>
      <c r="B264" s="142" t="s">
        <v>575</v>
      </c>
      <c r="C264" s="142" t="n">
        <v>2024</v>
      </c>
      <c r="D264" s="142" t="n">
        <v>2025</v>
      </c>
      <c r="E264" s="142" t="n">
        <v>2026</v>
      </c>
      <c r="F264" s="142" t="n">
        <v>2027</v>
      </c>
      <c r="G264" s="142" t="n">
        <v>2028</v>
      </c>
      <c r="H264" s="142" t="n">
        <v>2029</v>
      </c>
      <c r="I264" s="143" t="n">
        <v>2030</v>
      </c>
      <c r="J264" s="143" t="n">
        <v>2031</v>
      </c>
      <c r="K264" s="143" t="n">
        <v>2032</v>
      </c>
      <c r="L264" s="143" t="n">
        <v>2033</v>
      </c>
      <c r="M264" s="143" t="n">
        <v>2034</v>
      </c>
      <c r="N264" s="143" t="n">
        <v>2035</v>
      </c>
      <c r="O264" s="143" t="n">
        <v>2036</v>
      </c>
      <c r="P264" s="143" t="n">
        <v>2037</v>
      </c>
      <c r="Q264" s="143" t="n">
        <v>2038</v>
      </c>
      <c r="R264" s="143" t="n">
        <v>2039</v>
      </c>
      <c r="S264" s="143" t="n">
        <v>2040</v>
      </c>
      <c r="T264" s="143" t="n">
        <v>2041</v>
      </c>
      <c r="U264" s="143" t="n">
        <v>2042</v>
      </c>
      <c r="V264" s="143" t="n">
        <v>2043</v>
      </c>
      <c r="W264" s="143" t="n">
        <v>2044</v>
      </c>
      <c r="X264" s="143" t="n">
        <v>2045</v>
      </c>
      <c r="Y264" s="143" t="n">
        <v>2046</v>
      </c>
      <c r="Z264" s="143" t="n">
        <v>2047</v>
      </c>
      <c r="AA264" s="143" t="n">
        <v>2048</v>
      </c>
      <c r="AB264" s="143" t="n">
        <v>2049</v>
      </c>
      <c r="AC264" s="143" t="n">
        <v>2050</v>
      </c>
    </row>
    <row r="265" customFormat="false" ht="12.8" hidden="false" customHeight="false" outlineLevel="0" collapsed="false">
      <c r="A265" s="51" t="s">
        <v>341</v>
      </c>
      <c r="B265" s="1" t="n">
        <f aca="false">($B$30*$B$28)+($B$39*$B$42)</f>
        <v>71.3503343390438</v>
      </c>
      <c r="C265" s="1" t="n">
        <f aca="false">($B$30*$B$28)+($B$39*$B$42)</f>
        <v>71.3503343390438</v>
      </c>
      <c r="D265" s="1" t="n">
        <f aca="false">($B$30*$B$33)+($B$44*$B$47)</f>
        <v>2.50068859197704</v>
      </c>
      <c r="E265" s="1" t="n">
        <f aca="false">($B$30*$B$33)+($B$44*$B$47)</f>
        <v>2.50068859197704</v>
      </c>
      <c r="F265" s="1" t="n">
        <f aca="false">($B$30*$B$33)+($B$44*$B$47)</f>
        <v>2.50068859197704</v>
      </c>
      <c r="G265" s="1" t="n">
        <f aca="false">($B$30*$B$33)+($B$44*$B$47)</f>
        <v>2.50068859197704</v>
      </c>
      <c r="H265" s="1" t="n">
        <f aca="false">($B$30*$B$33)+($B$44*$B$47)</f>
        <v>2.50068859197704</v>
      </c>
      <c r="I265" s="52" t="n">
        <f aca="false">($B$30*$B$33)+($B$44*$B$47)</f>
        <v>2.50068859197704</v>
      </c>
      <c r="J265" s="52" t="n">
        <f aca="false">($B$30*$B$33)+($B$44*$B$47)</f>
        <v>2.50068859197704</v>
      </c>
      <c r="K265" s="52" t="n">
        <f aca="false">($B$30*$B$33)+($B$44*$B$47)</f>
        <v>2.50068859197704</v>
      </c>
      <c r="L265" s="52" t="n">
        <f aca="false">L$169</f>
        <v>2.25061973277934</v>
      </c>
      <c r="M265" s="52" t="n">
        <f aca="false">M$169</f>
        <v>2.25061973277934</v>
      </c>
      <c r="N265" s="52" t="n">
        <f aca="false">N$169</f>
        <v>2.25061973277934</v>
      </c>
      <c r="O265" s="52" t="n">
        <f aca="false">O$169</f>
        <v>2.25061973277934</v>
      </c>
      <c r="P265" s="52" t="n">
        <f aca="false">P$169</f>
        <v>2.25061973277934</v>
      </c>
      <c r="Q265" s="52" t="n">
        <f aca="false">Q$169</f>
        <v>2.25061973277934</v>
      </c>
      <c r="R265" s="52" t="n">
        <f aca="false">R$169</f>
        <v>2.25061973277934</v>
      </c>
      <c r="S265" s="52" t="n">
        <f aca="false">S$169</f>
        <v>2.0255577595014</v>
      </c>
      <c r="T265" s="52" t="n">
        <f aca="false">T$169</f>
        <v>2.0255577595014</v>
      </c>
      <c r="U265" s="52" t="n">
        <f aca="false">U$169</f>
        <v>2.0255577595014</v>
      </c>
      <c r="V265" s="52" t="n">
        <f aca="false">V$169</f>
        <v>2.0255577595014</v>
      </c>
      <c r="W265" s="52" t="n">
        <f aca="false">W$169</f>
        <v>2.0255577595014</v>
      </c>
      <c r="X265" s="52" t="n">
        <f aca="false">X$169</f>
        <v>2.0255577595014</v>
      </c>
      <c r="Y265" s="52" t="n">
        <f aca="false">Y$169</f>
        <v>2.0255577595014</v>
      </c>
      <c r="Z265" s="52" t="n">
        <f aca="false">Z$169</f>
        <v>1.82300198355126</v>
      </c>
      <c r="AA265" s="52" t="n">
        <f aca="false">AA$169</f>
        <v>1.82300198355126</v>
      </c>
      <c r="AB265" s="52" t="n">
        <f aca="false">AB$169</f>
        <v>1.82300198355126</v>
      </c>
      <c r="AC265" s="52" t="n">
        <f aca="false">AC$169</f>
        <v>1.82300198355126</v>
      </c>
    </row>
    <row r="266" customFormat="false" ht="12.8" hidden="false" customHeight="false" outlineLevel="0" collapsed="false">
      <c r="A266" s="51" t="s">
        <v>18</v>
      </c>
      <c r="B266" s="1" t="n">
        <f aca="false">$B$10</f>
        <v>114.460356578722</v>
      </c>
      <c r="C266" s="1" t="n">
        <f aca="false">$B$10</f>
        <v>114.460356578722</v>
      </c>
      <c r="D266" s="1" t="n">
        <f aca="false">$B$10</f>
        <v>114.460356578722</v>
      </c>
      <c r="E266" s="1" t="n">
        <f aca="false">($H$2*0.25)+($B$10*0.75)</f>
        <v>92.5595723601755</v>
      </c>
      <c r="F266" s="141" t="n">
        <f aca="false">($H$2)</f>
        <v>26.8572197045354</v>
      </c>
      <c r="G266" s="141" t="n">
        <f aca="false">($H$2)</f>
        <v>26.8572197045354</v>
      </c>
      <c r="H266" s="141" t="n">
        <f aca="false">($H$2)</f>
        <v>26.8572197045354</v>
      </c>
      <c r="I266" s="144" t="n">
        <f aca="false">($H$2)</f>
        <v>26.8572197045354</v>
      </c>
      <c r="J266" s="144" t="n">
        <f aca="false">($H$2)</f>
        <v>26.8572197045354</v>
      </c>
      <c r="K266" s="144" t="n">
        <f aca="false">($H$2)</f>
        <v>26.8572197045354</v>
      </c>
      <c r="L266" s="144" t="n">
        <f aca="false">($H$2)</f>
        <v>26.8572197045354</v>
      </c>
      <c r="M266" s="144" t="n">
        <f aca="false">($H$2)</f>
        <v>26.8572197045354</v>
      </c>
      <c r="N266" s="144" t="n">
        <f aca="false">($H$2)</f>
        <v>26.8572197045354</v>
      </c>
      <c r="O266" s="144" t="n">
        <f aca="false">($H$2)</f>
        <v>26.8572197045354</v>
      </c>
      <c r="P266" s="144" t="n">
        <f aca="false">($H$2)</f>
        <v>26.8572197045354</v>
      </c>
      <c r="Q266" s="144" t="n">
        <f aca="false">($H$2)</f>
        <v>26.8572197045354</v>
      </c>
      <c r="R266" s="144" t="n">
        <f aca="false">($H$2)</f>
        <v>26.8572197045354</v>
      </c>
      <c r="S266" s="144" t="n">
        <f aca="false">($H$2)</f>
        <v>26.8572197045354</v>
      </c>
      <c r="T266" s="144" t="n">
        <f aca="false">($H$2)</f>
        <v>26.8572197045354</v>
      </c>
      <c r="U266" s="144" t="n">
        <f aca="false">($H$2)</f>
        <v>26.8572197045354</v>
      </c>
      <c r="V266" s="144" t="n">
        <f aca="false">($H$2)</f>
        <v>26.8572197045354</v>
      </c>
      <c r="W266" s="144" t="n">
        <f aca="false">($H$2)</f>
        <v>26.8572197045354</v>
      </c>
      <c r="X266" s="144" t="n">
        <f aca="false">($H$2)</f>
        <v>26.8572197045354</v>
      </c>
      <c r="Y266" s="144" t="n">
        <f aca="false">($H$2)</f>
        <v>26.8572197045354</v>
      </c>
      <c r="Z266" s="144" t="n">
        <f aca="false">($H$2)</f>
        <v>26.8572197045354</v>
      </c>
      <c r="AA266" s="144" t="n">
        <f aca="false">($H$2)</f>
        <v>26.8572197045354</v>
      </c>
      <c r="AB266" s="144" t="n">
        <f aca="false">($H$2)</f>
        <v>26.8572197045354</v>
      </c>
      <c r="AC266" s="144" t="n">
        <f aca="false">($H$2)</f>
        <v>26.8572197045354</v>
      </c>
    </row>
    <row r="267" customFormat="false" ht="12.8" hidden="false" customHeight="false" outlineLevel="0" collapsed="false">
      <c r="A267" s="49" t="s">
        <v>39</v>
      </c>
      <c r="B267" s="1" t="n">
        <f aca="false">SUM(B265:B266)</f>
        <v>185.810690917766</v>
      </c>
      <c r="C267" s="1" t="n">
        <f aca="false">SUM(C265:C266)</f>
        <v>185.810690917766</v>
      </c>
      <c r="D267" s="1" t="n">
        <f aca="false">SUM(D265:D266)</f>
        <v>116.961045170699</v>
      </c>
      <c r="E267" s="1" t="n">
        <f aca="false">SUM(E265:E266)</f>
        <v>95.0602609521526</v>
      </c>
      <c r="F267" s="1" t="n">
        <f aca="false">SUM(F265:F266)</f>
        <v>29.3579082965124</v>
      </c>
      <c r="G267" s="1" t="n">
        <f aca="false">SUM(G265:G266)</f>
        <v>29.3579082965124</v>
      </c>
      <c r="H267" s="1" t="n">
        <f aca="false">SUM(H265:H266)</f>
        <v>29.3579082965124</v>
      </c>
      <c r="I267" s="52" t="n">
        <f aca="false">SUM(I265:I266)</f>
        <v>29.3579082965124</v>
      </c>
      <c r="J267" s="52" t="n">
        <f aca="false">SUM(J265:J266)</f>
        <v>29.3579082965124</v>
      </c>
      <c r="K267" s="52" t="n">
        <f aca="false">SUM(K265:K266)</f>
        <v>29.3579082965124</v>
      </c>
      <c r="L267" s="52" t="n">
        <f aca="false">SUM(L265:L266)</f>
        <v>29.1078394373147</v>
      </c>
      <c r="M267" s="52" t="n">
        <f aca="false">SUM(M265:M266)</f>
        <v>29.1078394373147</v>
      </c>
      <c r="N267" s="52" t="n">
        <f aca="false">SUM(N265:N266)</f>
        <v>29.1078394373147</v>
      </c>
      <c r="O267" s="52" t="n">
        <f aca="false">SUM(O265:O266)</f>
        <v>29.1078394373147</v>
      </c>
      <c r="P267" s="52" t="n">
        <f aca="false">SUM(P265:P266)</f>
        <v>29.1078394373147</v>
      </c>
      <c r="Q267" s="52" t="n">
        <f aca="false">SUM(Q265:Q266)</f>
        <v>29.1078394373147</v>
      </c>
      <c r="R267" s="52" t="n">
        <f aca="false">SUM(R265:R266)</f>
        <v>29.1078394373147</v>
      </c>
      <c r="S267" s="52" t="n">
        <f aca="false">SUM(S265:S266)</f>
        <v>28.8827774640368</v>
      </c>
      <c r="T267" s="52" t="n">
        <f aca="false">SUM(T265:T266)</f>
        <v>28.8827774640368</v>
      </c>
      <c r="U267" s="52" t="n">
        <f aca="false">SUM(U265:U266)</f>
        <v>28.8827774640368</v>
      </c>
      <c r="V267" s="52" t="n">
        <f aca="false">SUM(V265:V266)</f>
        <v>28.8827774640368</v>
      </c>
      <c r="W267" s="52" t="n">
        <f aca="false">SUM(W265:W266)</f>
        <v>28.8827774640368</v>
      </c>
      <c r="X267" s="52" t="n">
        <f aca="false">SUM(X265:X266)</f>
        <v>28.8827774640368</v>
      </c>
      <c r="Y267" s="52" t="n">
        <f aca="false">SUM(Y265:Y266)</f>
        <v>28.8827774640368</v>
      </c>
      <c r="Z267" s="52" t="n">
        <f aca="false">SUM(Z265:Z266)</f>
        <v>28.6802216880867</v>
      </c>
      <c r="AA267" s="52" t="n">
        <f aca="false">SUM(AA265:AA266)</f>
        <v>28.6802216880867</v>
      </c>
      <c r="AB267" s="52" t="n">
        <f aca="false">SUM(AB265:AB266)</f>
        <v>28.6802216880867</v>
      </c>
      <c r="AC267" s="52" t="n">
        <f aca="false">SUM(AC265:AC266)</f>
        <v>28.6802216880867</v>
      </c>
    </row>
    <row r="268" customFormat="false" ht="12.8" hidden="false" customHeight="false" outlineLevel="0" collapsed="false">
      <c r="A268" s="51" t="s">
        <v>342</v>
      </c>
      <c r="B268" s="1" t="n">
        <f aca="false">($B267-B267)</f>
        <v>0</v>
      </c>
      <c r="C268" s="1" t="n">
        <f aca="false">($B267-C267)</f>
        <v>0</v>
      </c>
      <c r="D268" s="1" t="n">
        <f aca="false">($B267-D267)</f>
        <v>68.8496457470668</v>
      </c>
      <c r="E268" s="1" t="n">
        <f aca="false">($B267-E267)</f>
        <v>90.7504299656135</v>
      </c>
      <c r="F268" s="1" t="n">
        <f aca="false">($B267-F267)</f>
        <v>156.452782621254</v>
      </c>
      <c r="G268" s="1" t="n">
        <f aca="false">($B267-G267)</f>
        <v>156.452782621254</v>
      </c>
      <c r="H268" s="1" t="n">
        <f aca="false">($B267-H267)</f>
        <v>156.452782621254</v>
      </c>
      <c r="I268" s="52" t="n">
        <f aca="false">($B267-I267)</f>
        <v>156.452782621254</v>
      </c>
      <c r="J268" s="52" t="n">
        <f aca="false">($B267-J267)</f>
        <v>156.452782621254</v>
      </c>
      <c r="K268" s="52" t="n">
        <f aca="false">($B267-K267)</f>
        <v>156.452782621254</v>
      </c>
      <c r="L268" s="52" t="n">
        <f aca="false">($B267-L267)</f>
        <v>156.702851480451</v>
      </c>
      <c r="M268" s="52" t="n">
        <f aca="false">($B267-M267)</f>
        <v>156.702851480451</v>
      </c>
      <c r="N268" s="52" t="n">
        <f aca="false">($B267-N267)</f>
        <v>156.702851480451</v>
      </c>
      <c r="O268" s="52" t="n">
        <f aca="false">($B267-O267)</f>
        <v>156.702851480451</v>
      </c>
      <c r="P268" s="52" t="n">
        <f aca="false">($B267-P267)</f>
        <v>156.702851480451</v>
      </c>
      <c r="Q268" s="52" t="n">
        <f aca="false">($B267-Q267)</f>
        <v>156.702851480451</v>
      </c>
      <c r="R268" s="52" t="n">
        <f aca="false">($B267-R267)</f>
        <v>156.702851480451</v>
      </c>
      <c r="S268" s="52" t="n">
        <f aca="false">($B267-S267)</f>
        <v>156.927913453729</v>
      </c>
      <c r="T268" s="52" t="n">
        <f aca="false">($B267-T267)</f>
        <v>156.927913453729</v>
      </c>
      <c r="U268" s="52" t="n">
        <f aca="false">($B267-U267)</f>
        <v>156.927913453729</v>
      </c>
      <c r="V268" s="52" t="n">
        <f aca="false">($B267-V267)</f>
        <v>156.927913453729</v>
      </c>
      <c r="W268" s="52" t="n">
        <f aca="false">($B267-W267)</f>
        <v>156.927913453729</v>
      </c>
      <c r="X268" s="52" t="n">
        <f aca="false">($B267-X267)</f>
        <v>156.927913453729</v>
      </c>
      <c r="Y268" s="52" t="n">
        <f aca="false">($B267-Y267)</f>
        <v>156.927913453729</v>
      </c>
      <c r="Z268" s="52" t="n">
        <f aca="false">($B267-Z267)</f>
        <v>157.130469229679</v>
      </c>
      <c r="AA268" s="52" t="n">
        <f aca="false">($B267-AA267)</f>
        <v>157.130469229679</v>
      </c>
      <c r="AB268" s="52" t="n">
        <f aca="false">($B267-AB267)</f>
        <v>157.130469229679</v>
      </c>
      <c r="AC268" s="52" t="n">
        <f aca="false">($B267-AC267)</f>
        <v>157.130469229679</v>
      </c>
    </row>
    <row r="269" customFormat="false" ht="12.8" hidden="false" customHeight="false" outlineLevel="0" collapsed="false">
      <c r="A269" s="51" t="s">
        <v>343</v>
      </c>
      <c r="B269" s="130" t="n">
        <f aca="false">($B267-B267)/$B267</f>
        <v>0</v>
      </c>
      <c r="C269" s="130" t="n">
        <f aca="false">($B267-C267)/$B267</f>
        <v>0</v>
      </c>
      <c r="D269" s="130" t="n">
        <f aca="false">($B267-D267)/$B267</f>
        <v>0.370536514379237</v>
      </c>
      <c r="E269" s="130" t="n">
        <f aca="false">($B267-E267)/$B267</f>
        <v>0.488402629134923</v>
      </c>
      <c r="F269" s="130" t="n">
        <f aca="false">($B267-F267)/$B267</f>
        <v>0.842000973401981</v>
      </c>
      <c r="G269" s="130" t="n">
        <f aca="false">($B267-G267)/$B267</f>
        <v>0.842000973401981</v>
      </c>
      <c r="H269" s="130" t="n">
        <f aca="false">($B267-H267)/$B267</f>
        <v>0.842000973401981</v>
      </c>
      <c r="I269" s="145" t="n">
        <f aca="false">($B267-I267)/$B267</f>
        <v>0.842000973401981</v>
      </c>
      <c r="J269" s="145" t="n">
        <f aca="false">($B267-J267)/$B267</f>
        <v>0.842000973401981</v>
      </c>
      <c r="K269" s="145" t="n">
        <f aca="false">($B267-K267)/$B267</f>
        <v>0.842000973401981</v>
      </c>
      <c r="L269" s="145" t="n">
        <f aca="false">($B267-L267)/$B267</f>
        <v>0.843346799403502</v>
      </c>
      <c r="M269" s="145" t="n">
        <f aca="false">($B267-M267)/$B267</f>
        <v>0.843346799403502</v>
      </c>
      <c r="N269" s="145" t="n">
        <f aca="false">($B267-N267)/$B267</f>
        <v>0.843346799403502</v>
      </c>
      <c r="O269" s="145" t="n">
        <f aca="false">($B267-O267)/$B267</f>
        <v>0.843346799403502</v>
      </c>
      <c r="P269" s="145" t="n">
        <f aca="false">($B267-P267)/$B267</f>
        <v>0.843346799403502</v>
      </c>
      <c r="Q269" s="145" t="n">
        <f aca="false">($B267-Q267)/$B267</f>
        <v>0.843346799403502</v>
      </c>
      <c r="R269" s="145" t="n">
        <f aca="false">($B267-R267)/$B267</f>
        <v>0.843346799403502</v>
      </c>
      <c r="S269" s="145" t="n">
        <f aca="false">($B267-S267)/$B267</f>
        <v>0.844558042804871</v>
      </c>
      <c r="T269" s="145" t="n">
        <f aca="false">($B267-T267)/$B267</f>
        <v>0.844558042804871</v>
      </c>
      <c r="U269" s="145" t="n">
        <f aca="false">($B267-U267)/$B267</f>
        <v>0.844558042804871</v>
      </c>
      <c r="V269" s="145" t="n">
        <f aca="false">($B267-V267)/$B267</f>
        <v>0.844558042804871</v>
      </c>
      <c r="W269" s="145" t="n">
        <f aca="false">($B267-W267)/$B267</f>
        <v>0.844558042804871</v>
      </c>
      <c r="X269" s="145" t="n">
        <f aca="false">($B267-X267)/$B267</f>
        <v>0.844558042804871</v>
      </c>
      <c r="Y269" s="145" t="n">
        <f aca="false">($B267-Y267)/$B267</f>
        <v>0.844558042804871</v>
      </c>
      <c r="Z269" s="145" t="n">
        <f aca="false">($B267-Z267)/$B267</f>
        <v>0.845648161866103</v>
      </c>
      <c r="AA269" s="145" t="n">
        <f aca="false">($B267-AA267)/$B267</f>
        <v>0.845648161866103</v>
      </c>
      <c r="AB269" s="145" t="n">
        <f aca="false">($B267-AB267)/$B267</f>
        <v>0.845648161866103</v>
      </c>
      <c r="AC269" s="145" t="n">
        <f aca="false">($B267-AC267)/$B267</f>
        <v>0.845648161866103</v>
      </c>
    </row>
    <row r="270" customFormat="false" ht="12.8" hidden="false" customHeight="false" outlineLevel="0" collapsed="false">
      <c r="A270" s="51"/>
      <c r="B270" s="1" t="s">
        <v>1</v>
      </c>
      <c r="C270" s="1" t="s">
        <v>2</v>
      </c>
      <c r="D270" s="1" t="s">
        <v>3</v>
      </c>
      <c r="F270" s="130"/>
      <c r="G270" s="130"/>
      <c r="H270" s="130"/>
      <c r="I270" s="145"/>
      <c r="J270" s="145"/>
      <c r="K270" s="145"/>
      <c r="L270" s="145"/>
      <c r="M270" s="145"/>
      <c r="N270" s="145"/>
      <c r="O270" s="145"/>
      <c r="P270" s="145"/>
      <c r="Q270" s="145"/>
      <c r="R270" s="145"/>
      <c r="S270" s="145"/>
      <c r="T270" s="145"/>
      <c r="U270" s="145"/>
      <c r="V270" s="145"/>
      <c r="W270" s="145"/>
      <c r="X270" s="145"/>
      <c r="Y270" s="145"/>
      <c r="Z270" s="145"/>
      <c r="AA270" s="145"/>
      <c r="AB270" s="145"/>
      <c r="AC270" s="145"/>
    </row>
    <row r="271" customFormat="false" ht="12.8" hidden="false" customHeight="false" outlineLevel="0" collapsed="false">
      <c r="A271" s="51" t="s">
        <v>20</v>
      </c>
      <c r="B271" s="4" t="n">
        <f aca="false">($B267*6)-(SUM(D267:I267))</f>
        <v>785.411206197695</v>
      </c>
      <c r="C271" s="4" t="n">
        <f aca="false">($B267*11)-(SUM(E267:N267))</f>
        <v>1685.38637105226</v>
      </c>
      <c r="D271" s="4" t="n">
        <f aca="false">($B267*26)-(SUM(D267:AC267))</f>
        <v>3922.25400289819</v>
      </c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  <c r="AB271" s="57"/>
      <c r="AC271" s="57"/>
    </row>
    <row r="272" customFormat="false" ht="12.8" hidden="false" customHeight="false" outlineLevel="0" collapsed="false">
      <c r="A272" s="51" t="s">
        <v>17</v>
      </c>
      <c r="B272" s="4" t="n">
        <f aca="false">$B265*6-SUM(D265:I265)</f>
        <v>413.097874482401</v>
      </c>
      <c r="C272" s="4" t="n">
        <f aca="false">$B265*11-SUM(E265:N265)</f>
        <v>760.596998387305</v>
      </c>
      <c r="D272" s="4" t="n">
        <f aca="false">$B265*26-SUM(D265:AC265)</f>
        <v>1797.87793369915</v>
      </c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  <c r="AB272" s="57"/>
      <c r="AC272" s="57"/>
    </row>
    <row r="273" customFormat="false" ht="12.8" hidden="false" customHeight="false" outlineLevel="0" collapsed="false">
      <c r="A273" s="51" t="s">
        <v>18</v>
      </c>
      <c r="B273" s="4" t="n">
        <f aca="false">$B266*6-SUM(D266:I266)</f>
        <v>372.313331715294</v>
      </c>
      <c r="C273" s="4" t="n">
        <f aca="false">$B266*11-SUM(E266:N266)</f>
        <v>924.789372664951</v>
      </c>
      <c r="D273" s="4" t="n">
        <f aca="false">$B266*26-SUM(D266:AC266)</f>
        <v>2124.37606919903</v>
      </c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  <c r="AB273" s="57"/>
      <c r="AC273" s="57"/>
    </row>
    <row r="274" customFormat="false" ht="12.8" hidden="false" customHeight="false" outlineLevel="0" collapsed="false">
      <c r="A274" s="51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  <c r="AB274" s="57"/>
      <c r="AC274" s="57"/>
    </row>
    <row r="275" customFormat="false" ht="12.8" hidden="false" customHeight="false" outlineLevel="0" collapsed="false">
      <c r="A275" s="51" t="s">
        <v>344</v>
      </c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  <c r="AB275" s="57"/>
      <c r="AC275" s="57"/>
    </row>
    <row r="276" customFormat="false" ht="15.8" hidden="false" customHeight="false" outlineLevel="0" collapsed="false">
      <c r="A276" s="51" t="s">
        <v>345</v>
      </c>
      <c r="B276" s="1" t="s">
        <v>575</v>
      </c>
      <c r="C276" s="1" t="n">
        <v>2024</v>
      </c>
      <c r="D276" s="1" t="n">
        <v>2025</v>
      </c>
      <c r="E276" s="1" t="n">
        <v>2026</v>
      </c>
      <c r="F276" s="1" t="n">
        <v>2027</v>
      </c>
      <c r="G276" s="1" t="n">
        <v>2028</v>
      </c>
      <c r="H276" s="1" t="n">
        <v>2029</v>
      </c>
      <c r="I276" s="52" t="n">
        <v>2030</v>
      </c>
      <c r="J276" s="52" t="n">
        <v>2031</v>
      </c>
      <c r="K276" s="52" t="n">
        <v>2032</v>
      </c>
      <c r="L276" s="52" t="n">
        <v>2033</v>
      </c>
      <c r="M276" s="52" t="n">
        <v>2034</v>
      </c>
      <c r="N276" s="52" t="n">
        <v>2035</v>
      </c>
      <c r="O276" s="52" t="n">
        <v>2036</v>
      </c>
      <c r="P276" s="52" t="n">
        <v>2037</v>
      </c>
      <c r="Q276" s="52" t="n">
        <v>2038</v>
      </c>
      <c r="R276" s="52" t="n">
        <v>2039</v>
      </c>
      <c r="S276" s="52" t="n">
        <v>2040</v>
      </c>
      <c r="T276" s="52" t="n">
        <v>2041</v>
      </c>
      <c r="U276" s="52" t="n">
        <v>2042</v>
      </c>
      <c r="V276" s="52" t="n">
        <v>2043</v>
      </c>
      <c r="W276" s="52" t="n">
        <v>2044</v>
      </c>
      <c r="X276" s="52" t="n">
        <v>2045</v>
      </c>
      <c r="Y276" s="52" t="n">
        <v>2046</v>
      </c>
      <c r="Z276" s="52" t="n">
        <v>2047</v>
      </c>
      <c r="AA276" s="52" t="n">
        <v>2048</v>
      </c>
      <c r="AB276" s="52" t="n">
        <v>2049</v>
      </c>
      <c r="AC276" s="52" t="n">
        <v>2050</v>
      </c>
    </row>
    <row r="277" customFormat="false" ht="12.8" hidden="false" customHeight="false" outlineLevel="0" collapsed="false">
      <c r="A277" s="51" t="s">
        <v>341</v>
      </c>
      <c r="B277" s="1" t="n">
        <f aca="false">($B$30*$B$28)+($B$39*$B$42)</f>
        <v>71.3503343390438</v>
      </c>
      <c r="C277" s="1" t="n">
        <f aca="false">($B$30*$B$28)+($B$39*$B$42)</f>
        <v>71.3503343390438</v>
      </c>
      <c r="D277" s="1" t="n">
        <f aca="false">($B$30*$B$33)+($B$44*$B$47)</f>
        <v>2.50068859197704</v>
      </c>
      <c r="E277" s="1" t="n">
        <f aca="false">($B$30*$B$33)+($B$44*$B$47)</f>
        <v>2.50068859197704</v>
      </c>
      <c r="F277" s="1" t="n">
        <f aca="false">($B$30*$B$33)+($B$44*$B$47)</f>
        <v>2.50068859197704</v>
      </c>
      <c r="G277" s="1" t="n">
        <f aca="false">($B$30*$B$33)+($B$44*$B$47)</f>
        <v>2.50068859197704</v>
      </c>
      <c r="H277" s="1" t="n">
        <f aca="false">($B$30*$B$33)+($B$44*$B$47)</f>
        <v>2.50068859197704</v>
      </c>
      <c r="I277" s="52" t="n">
        <f aca="false">($B$30*$B$33)+($B$44*$B$47)</f>
        <v>2.50068859197704</v>
      </c>
      <c r="J277" s="52" t="n">
        <f aca="false">($B$30*$B$33)+($B$44*$B$47)</f>
        <v>2.50068859197704</v>
      </c>
      <c r="K277" s="52" t="n">
        <f aca="false">($B$30*$B$33)+($B$44*$B$47)</f>
        <v>2.50068859197704</v>
      </c>
      <c r="L277" s="52" t="n">
        <f aca="false">L$169</f>
        <v>2.25061973277934</v>
      </c>
      <c r="M277" s="52" t="n">
        <f aca="false">M$169</f>
        <v>2.25061973277934</v>
      </c>
      <c r="N277" s="52" t="n">
        <f aca="false">N$169</f>
        <v>2.25061973277934</v>
      </c>
      <c r="O277" s="52" t="n">
        <f aca="false">O$169</f>
        <v>2.25061973277934</v>
      </c>
      <c r="P277" s="52" t="n">
        <f aca="false">P$169</f>
        <v>2.25061973277934</v>
      </c>
      <c r="Q277" s="52" t="n">
        <f aca="false">Q$169</f>
        <v>2.25061973277934</v>
      </c>
      <c r="R277" s="52" t="n">
        <f aca="false">R$169</f>
        <v>2.25061973277934</v>
      </c>
      <c r="S277" s="52" t="n">
        <f aca="false">S$169</f>
        <v>2.0255577595014</v>
      </c>
      <c r="T277" s="52" t="n">
        <f aca="false">T$169</f>
        <v>2.0255577595014</v>
      </c>
      <c r="U277" s="52" t="n">
        <f aca="false">U$169</f>
        <v>2.0255577595014</v>
      </c>
      <c r="V277" s="52" t="n">
        <f aca="false">V$169</f>
        <v>2.0255577595014</v>
      </c>
      <c r="W277" s="52" t="n">
        <f aca="false">W$169</f>
        <v>2.0255577595014</v>
      </c>
      <c r="X277" s="52" t="n">
        <f aca="false">X$169</f>
        <v>2.0255577595014</v>
      </c>
      <c r="Y277" s="52" t="n">
        <f aca="false">Y$169</f>
        <v>2.0255577595014</v>
      </c>
      <c r="Z277" s="52" t="n">
        <f aca="false">Z$169</f>
        <v>1.82300198355126</v>
      </c>
      <c r="AA277" s="52" t="n">
        <f aca="false">AA$169</f>
        <v>1.82300198355126</v>
      </c>
      <c r="AB277" s="52" t="n">
        <f aca="false">AB$169</f>
        <v>1.82300198355126</v>
      </c>
      <c r="AC277" s="52" t="n">
        <f aca="false">AC$169</f>
        <v>1.82300198355126</v>
      </c>
    </row>
    <row r="278" customFormat="false" ht="12.8" hidden="false" customHeight="false" outlineLevel="0" collapsed="false">
      <c r="A278" s="51" t="s">
        <v>18</v>
      </c>
      <c r="B278" s="1" t="n">
        <f aca="false">$B$10</f>
        <v>114.460356578722</v>
      </c>
      <c r="C278" s="1" t="n">
        <f aca="false">$B$10</f>
        <v>114.460356578722</v>
      </c>
      <c r="D278" s="1" t="n">
        <f aca="false">$B$10</f>
        <v>114.460356578722</v>
      </c>
      <c r="E278" s="4" t="n">
        <f aca="false">(H3*0.25)+($B$10*0.75)</f>
        <v>86.5222663995502</v>
      </c>
      <c r="F278" s="146" t="n">
        <f aca="false">$H$3</f>
        <v>2.70799586203393</v>
      </c>
      <c r="G278" s="146" t="n">
        <f aca="false">$H$3</f>
        <v>2.70799586203393</v>
      </c>
      <c r="H278" s="146" t="n">
        <f aca="false">$H$3</f>
        <v>2.70799586203393</v>
      </c>
      <c r="I278" s="147" t="n">
        <f aca="false">$H$3</f>
        <v>2.70799586203393</v>
      </c>
      <c r="J278" s="147" t="n">
        <f aca="false">$H$3</f>
        <v>2.70799586203393</v>
      </c>
      <c r="K278" s="147" t="n">
        <f aca="false">$H$3</f>
        <v>2.70799586203393</v>
      </c>
      <c r="L278" s="147" t="n">
        <f aca="false">$H$3</f>
        <v>2.70799586203393</v>
      </c>
      <c r="M278" s="147" t="n">
        <f aca="false">$H$3</f>
        <v>2.70799586203393</v>
      </c>
      <c r="N278" s="147" t="n">
        <f aca="false">$H$3</f>
        <v>2.70799586203393</v>
      </c>
      <c r="O278" s="147" t="n">
        <f aca="false">$H$3</f>
        <v>2.70799586203393</v>
      </c>
      <c r="P278" s="147" t="n">
        <f aca="false">$H$3</f>
        <v>2.70799586203393</v>
      </c>
      <c r="Q278" s="147" t="n">
        <f aca="false">$H$3</f>
        <v>2.70799586203393</v>
      </c>
      <c r="R278" s="147" t="n">
        <f aca="false">$H$3</f>
        <v>2.70799586203393</v>
      </c>
      <c r="S278" s="147" t="n">
        <f aca="false">$H$3</f>
        <v>2.70799586203393</v>
      </c>
      <c r="T278" s="147" t="n">
        <f aca="false">$H$3</f>
        <v>2.70799586203393</v>
      </c>
      <c r="U278" s="147" t="n">
        <f aca="false">$H$3</f>
        <v>2.70799586203393</v>
      </c>
      <c r="V278" s="147" t="n">
        <f aca="false">$H$3</f>
        <v>2.70799586203393</v>
      </c>
      <c r="W278" s="147" t="n">
        <f aca="false">$H$3</f>
        <v>2.70799586203393</v>
      </c>
      <c r="X278" s="147" t="n">
        <f aca="false">$H$3</f>
        <v>2.70799586203393</v>
      </c>
      <c r="Y278" s="147" t="n">
        <f aca="false">$H$3</f>
        <v>2.70799586203393</v>
      </c>
      <c r="Z278" s="147" t="n">
        <f aca="false">$H$3</f>
        <v>2.70799586203393</v>
      </c>
      <c r="AA278" s="147" t="n">
        <f aca="false">$H$3</f>
        <v>2.70799586203393</v>
      </c>
      <c r="AB278" s="147" t="n">
        <f aca="false">$H$3</f>
        <v>2.70799586203393</v>
      </c>
      <c r="AC278" s="147" t="n">
        <f aca="false">$H$3</f>
        <v>2.70799586203393</v>
      </c>
    </row>
    <row r="279" customFormat="false" ht="12.8" hidden="false" customHeight="false" outlineLevel="0" collapsed="false">
      <c r="A279" s="49" t="s">
        <v>39</v>
      </c>
      <c r="B279" s="1" t="n">
        <f aca="false">SUM(B277:B278)</f>
        <v>185.810690917766</v>
      </c>
      <c r="C279" s="1" t="n">
        <f aca="false">SUM(C277:C278)</f>
        <v>185.810690917766</v>
      </c>
      <c r="D279" s="1" t="n">
        <f aca="false">SUM(D277:D278)</f>
        <v>116.961045170699</v>
      </c>
      <c r="E279" s="4" t="n">
        <f aca="false">SUM(E277:E278)</f>
        <v>89.0229549915272</v>
      </c>
      <c r="F279" s="4" t="n">
        <f aca="false">SUM(F277:F278)</f>
        <v>5.20868445401097</v>
      </c>
      <c r="G279" s="4" t="n">
        <f aca="false">SUM(G277:G278)</f>
        <v>5.20868445401097</v>
      </c>
      <c r="H279" s="4" t="n">
        <f aca="false">SUM(H277:H278)</f>
        <v>5.20868445401097</v>
      </c>
      <c r="I279" s="148" t="n">
        <f aca="false">SUM(I277:I278)</f>
        <v>5.20868445401097</v>
      </c>
      <c r="J279" s="148" t="n">
        <f aca="false">SUM(J277:J278)</f>
        <v>5.20868445401097</v>
      </c>
      <c r="K279" s="148" t="n">
        <f aca="false">SUM(K277:K278)</f>
        <v>5.20868445401097</v>
      </c>
      <c r="L279" s="148" t="n">
        <f aca="false">SUM(L277:L278)</f>
        <v>4.95861559481327</v>
      </c>
      <c r="M279" s="148" t="n">
        <f aca="false">SUM(M277:M278)</f>
        <v>4.95861559481327</v>
      </c>
      <c r="N279" s="148" t="n">
        <f aca="false">SUM(N277:N278)</f>
        <v>4.95861559481327</v>
      </c>
      <c r="O279" s="148" t="n">
        <f aca="false">SUM(O277:O278)</f>
        <v>4.95861559481327</v>
      </c>
      <c r="P279" s="148" t="n">
        <f aca="false">SUM(P277:P278)</f>
        <v>4.95861559481327</v>
      </c>
      <c r="Q279" s="148" t="n">
        <f aca="false">SUM(Q277:Q278)</f>
        <v>4.95861559481327</v>
      </c>
      <c r="R279" s="148" t="n">
        <f aca="false">SUM(R277:R278)</f>
        <v>4.95861559481327</v>
      </c>
      <c r="S279" s="148" t="n">
        <f aca="false">SUM(S277:S278)</f>
        <v>4.73355362153533</v>
      </c>
      <c r="T279" s="148" t="n">
        <f aca="false">SUM(T277:T278)</f>
        <v>4.73355362153533</v>
      </c>
      <c r="U279" s="148" t="n">
        <f aca="false">SUM(U277:U278)</f>
        <v>4.73355362153533</v>
      </c>
      <c r="V279" s="148" t="n">
        <f aca="false">SUM(V277:V278)</f>
        <v>4.73355362153533</v>
      </c>
      <c r="W279" s="148" t="n">
        <f aca="false">SUM(W277:W278)</f>
        <v>4.73355362153533</v>
      </c>
      <c r="X279" s="148" t="n">
        <f aca="false">SUM(X277:X278)</f>
        <v>4.73355362153533</v>
      </c>
      <c r="Y279" s="148" t="n">
        <f aca="false">SUM(Y277:Y278)</f>
        <v>4.73355362153533</v>
      </c>
      <c r="Z279" s="148" t="n">
        <f aca="false">SUM(Z277:Z278)</f>
        <v>4.53099784558519</v>
      </c>
      <c r="AA279" s="148" t="n">
        <f aca="false">SUM(AA277:AA278)</f>
        <v>4.53099784558519</v>
      </c>
      <c r="AB279" s="148" t="n">
        <f aca="false">SUM(AB277:AB278)</f>
        <v>4.53099784558519</v>
      </c>
      <c r="AC279" s="148" t="n">
        <f aca="false">SUM(AC277:AC278)</f>
        <v>4.53099784558519</v>
      </c>
    </row>
    <row r="280" customFormat="false" ht="12.8" hidden="false" customHeight="false" outlineLevel="0" collapsed="false">
      <c r="A280" s="51" t="s">
        <v>342</v>
      </c>
      <c r="B280" s="1" t="n">
        <f aca="false">($B279-B279)</f>
        <v>0</v>
      </c>
      <c r="C280" s="1" t="n">
        <f aca="false">($B279-C279)</f>
        <v>0</v>
      </c>
      <c r="D280" s="1" t="n">
        <f aca="false">($B279-D279)</f>
        <v>68.8496457470668</v>
      </c>
      <c r="E280" s="4" t="n">
        <f aca="false">($B279-E279)</f>
        <v>96.7877359262389</v>
      </c>
      <c r="F280" s="4" t="n">
        <f aca="false">($B279-F279)</f>
        <v>180.602006463755</v>
      </c>
      <c r="G280" s="4" t="n">
        <f aca="false">($B279-G279)</f>
        <v>180.602006463755</v>
      </c>
      <c r="H280" s="4" t="n">
        <f aca="false">($B279-H279)</f>
        <v>180.602006463755</v>
      </c>
      <c r="I280" s="148" t="n">
        <f aca="false">($B279-I279)</f>
        <v>180.602006463755</v>
      </c>
      <c r="J280" s="148" t="n">
        <f aca="false">($B279-J279)</f>
        <v>180.602006463755</v>
      </c>
      <c r="K280" s="148" t="n">
        <f aca="false">($B279-K279)</f>
        <v>180.602006463755</v>
      </c>
      <c r="L280" s="148" t="n">
        <f aca="false">($B279-L279)</f>
        <v>180.852075322953</v>
      </c>
      <c r="M280" s="148" t="n">
        <f aca="false">($B279-M279)</f>
        <v>180.852075322953</v>
      </c>
      <c r="N280" s="148" t="n">
        <f aca="false">($B279-N279)</f>
        <v>180.852075322953</v>
      </c>
      <c r="O280" s="148" t="n">
        <f aca="false">($B279-O279)</f>
        <v>180.852075322953</v>
      </c>
      <c r="P280" s="148" t="n">
        <f aca="false">($B279-P279)</f>
        <v>180.852075322953</v>
      </c>
      <c r="Q280" s="148" t="n">
        <f aca="false">($B279-Q279)</f>
        <v>180.852075322953</v>
      </c>
      <c r="R280" s="148" t="n">
        <f aca="false">($B279-R279)</f>
        <v>180.852075322953</v>
      </c>
      <c r="S280" s="148" t="n">
        <f aca="false">($B279-S279)</f>
        <v>181.077137296231</v>
      </c>
      <c r="T280" s="148" t="n">
        <f aca="false">($B279-T279)</f>
        <v>181.077137296231</v>
      </c>
      <c r="U280" s="148" t="n">
        <f aca="false">($B279-U279)</f>
        <v>181.077137296231</v>
      </c>
      <c r="V280" s="148" t="n">
        <f aca="false">($B279-V279)</f>
        <v>181.077137296231</v>
      </c>
      <c r="W280" s="148" t="n">
        <f aca="false">($B279-W279)</f>
        <v>181.077137296231</v>
      </c>
      <c r="X280" s="148" t="n">
        <f aca="false">($B279-X279)</f>
        <v>181.077137296231</v>
      </c>
      <c r="Y280" s="148" t="n">
        <f aca="false">($B279-Y279)</f>
        <v>181.077137296231</v>
      </c>
      <c r="Z280" s="148" t="n">
        <f aca="false">($B279-Z279)</f>
        <v>181.279693072181</v>
      </c>
      <c r="AA280" s="148" t="n">
        <f aca="false">($B279-AA279)</f>
        <v>181.279693072181</v>
      </c>
      <c r="AB280" s="148" t="n">
        <f aca="false">($B279-AB279)</f>
        <v>181.279693072181</v>
      </c>
      <c r="AC280" s="148" t="n">
        <f aca="false">($B279-AC279)</f>
        <v>181.279693072181</v>
      </c>
    </row>
    <row r="281" customFormat="false" ht="12.8" hidden="false" customHeight="false" outlineLevel="0" collapsed="false">
      <c r="A281" s="51" t="s">
        <v>343</v>
      </c>
      <c r="B281" s="130" t="n">
        <f aca="false">($B279-B279)/$B279</f>
        <v>0</v>
      </c>
      <c r="C281" s="130" t="n">
        <f aca="false">($B279-C279)/$B279</f>
        <v>0</v>
      </c>
      <c r="D281" s="130" t="n">
        <f aca="false">($B279-D279)/$B279</f>
        <v>0.370536514379237</v>
      </c>
      <c r="E281" s="130" t="n">
        <f aca="false">($B279-E279)/$B279</f>
        <v>0.520894333088046</v>
      </c>
      <c r="F281" s="130" t="n">
        <f aca="false">($B279-F279)/$B279</f>
        <v>0.971967789214474</v>
      </c>
      <c r="G281" s="130" t="n">
        <f aca="false">($B279-G279)/$B279</f>
        <v>0.971967789214474</v>
      </c>
      <c r="H281" s="130" t="n">
        <f aca="false">($B279-H279)/$B279</f>
        <v>0.971967789214474</v>
      </c>
      <c r="I281" s="145" t="n">
        <f aca="false">($B279-I279)/$B279</f>
        <v>0.971967789214474</v>
      </c>
      <c r="J281" s="145" t="n">
        <f aca="false">($B279-J279)/$B279</f>
        <v>0.971967789214474</v>
      </c>
      <c r="K281" s="145" t="n">
        <f aca="false">($B279-K279)/$B279</f>
        <v>0.971967789214474</v>
      </c>
      <c r="L281" s="145" t="n">
        <f aca="false">($B279-L279)/$B279</f>
        <v>0.973313615215995</v>
      </c>
      <c r="M281" s="145" t="n">
        <f aca="false">($B279-M279)/$B279</f>
        <v>0.973313615215995</v>
      </c>
      <c r="N281" s="145" t="n">
        <f aca="false">($B279-N279)/$B279</f>
        <v>0.973313615215995</v>
      </c>
      <c r="O281" s="145" t="n">
        <f aca="false">($B279-O279)/$B279</f>
        <v>0.973313615215995</v>
      </c>
      <c r="P281" s="145" t="n">
        <f aca="false">($B279-P279)/$B279</f>
        <v>0.973313615215995</v>
      </c>
      <c r="Q281" s="145" t="n">
        <f aca="false">($B279-Q279)/$B279</f>
        <v>0.973313615215995</v>
      </c>
      <c r="R281" s="145" t="n">
        <f aca="false">($B279-R279)/$B279</f>
        <v>0.973313615215995</v>
      </c>
      <c r="S281" s="145" t="n">
        <f aca="false">($B279-S279)/$B279</f>
        <v>0.974524858617364</v>
      </c>
      <c r="T281" s="145" t="n">
        <f aca="false">($B279-T279)/$B279</f>
        <v>0.974524858617364</v>
      </c>
      <c r="U281" s="145" t="n">
        <f aca="false">($B279-U279)/$B279</f>
        <v>0.974524858617364</v>
      </c>
      <c r="V281" s="145" t="n">
        <f aca="false">($B279-V279)/$B279</f>
        <v>0.974524858617364</v>
      </c>
      <c r="W281" s="145" t="n">
        <f aca="false">($B279-W279)/$B279</f>
        <v>0.974524858617364</v>
      </c>
      <c r="X281" s="145" t="n">
        <f aca="false">($B279-X279)/$B279</f>
        <v>0.974524858617364</v>
      </c>
      <c r="Y281" s="145" t="n">
        <f aca="false">($B279-Y279)/$B279</f>
        <v>0.974524858617364</v>
      </c>
      <c r="Z281" s="145" t="n">
        <f aca="false">($B279-Z279)/$B279</f>
        <v>0.975614977678596</v>
      </c>
      <c r="AA281" s="145" t="n">
        <f aca="false">($B279-AA279)/$B279</f>
        <v>0.975614977678596</v>
      </c>
      <c r="AB281" s="145" t="n">
        <f aca="false">($B279-AB279)/$B279</f>
        <v>0.975614977678596</v>
      </c>
      <c r="AC281" s="145" t="n">
        <f aca="false">($B279-AC279)/$B279</f>
        <v>0.975614977678596</v>
      </c>
    </row>
    <row r="282" customFormat="false" ht="12.8" hidden="false" customHeight="false" outlineLevel="0" collapsed="false">
      <c r="A282" s="51"/>
      <c r="B282" s="1" t="s">
        <v>1</v>
      </c>
      <c r="C282" s="1" t="s">
        <v>2</v>
      </c>
      <c r="D282" s="1" t="s">
        <v>331</v>
      </c>
      <c r="E282" s="1" t="s">
        <v>3</v>
      </c>
      <c r="F282" s="130"/>
      <c r="G282" s="130"/>
      <c r="H282" s="130"/>
      <c r="I282" s="145"/>
      <c r="J282" s="145"/>
      <c r="K282" s="145"/>
      <c r="L282" s="145"/>
      <c r="M282" s="145"/>
      <c r="N282" s="145"/>
      <c r="O282" s="145"/>
      <c r="P282" s="145"/>
      <c r="Q282" s="145"/>
      <c r="R282" s="145"/>
      <c r="S282" s="145"/>
      <c r="T282" s="145"/>
      <c r="U282" s="145"/>
      <c r="V282" s="145"/>
      <c r="W282" s="145"/>
      <c r="X282" s="145"/>
      <c r="Y282" s="145"/>
      <c r="Z282" s="145"/>
      <c r="AA282" s="145"/>
      <c r="AB282" s="145"/>
      <c r="AC282" s="145"/>
    </row>
    <row r="283" customFormat="false" ht="12.8" hidden="false" customHeight="false" outlineLevel="0" collapsed="false">
      <c r="A283" s="51" t="s">
        <v>20</v>
      </c>
      <c r="B283" s="4" t="n">
        <f aca="false">($B279*6)-(SUM(D279:I279))</f>
        <v>888.045407528326</v>
      </c>
      <c r="C283" s="4" t="n">
        <f aca="false">($B279*11)-(SUM(E279:N279))</f>
        <v>1908.76669159539</v>
      </c>
      <c r="D283" s="4" t="n">
        <f aca="false">($B279*26)-(SUM(D279:AC279))</f>
        <v>4507.87268107885</v>
      </c>
      <c r="E283" s="130"/>
      <c r="F283" s="130"/>
      <c r="G283" s="130"/>
      <c r="H283" s="130"/>
      <c r="I283" s="145"/>
      <c r="J283" s="145"/>
      <c r="K283" s="145"/>
      <c r="L283" s="145"/>
      <c r="M283" s="145"/>
      <c r="N283" s="145"/>
      <c r="O283" s="145"/>
      <c r="P283" s="145"/>
      <c r="Q283" s="145"/>
      <c r="R283" s="145"/>
      <c r="S283" s="145"/>
      <c r="T283" s="145"/>
      <c r="U283" s="145"/>
      <c r="V283" s="145"/>
      <c r="W283" s="145"/>
      <c r="X283" s="145"/>
      <c r="Y283" s="145"/>
      <c r="Z283" s="145"/>
      <c r="AA283" s="145"/>
      <c r="AB283" s="145"/>
      <c r="AC283" s="145"/>
    </row>
    <row r="284" customFormat="false" ht="12.8" hidden="false" customHeight="false" outlineLevel="0" collapsed="false">
      <c r="A284" s="51" t="s">
        <v>17</v>
      </c>
      <c r="B284" s="4" t="n">
        <f aca="false">$B277*6-SUM(D277:I277)</f>
        <v>413.097874482401</v>
      </c>
      <c r="C284" s="4" t="n">
        <f aca="false">$B277*11-SUM(E277:N277)</f>
        <v>760.596998387305</v>
      </c>
      <c r="D284" s="4" t="n">
        <f aca="false">$B277*26-SUM(D277:AC277)</f>
        <v>1797.87793369915</v>
      </c>
      <c r="E284" s="130"/>
      <c r="F284" s="130"/>
      <c r="G284" s="130"/>
      <c r="H284" s="130"/>
      <c r="I284" s="145"/>
      <c r="J284" s="145"/>
      <c r="K284" s="145"/>
      <c r="L284" s="145"/>
      <c r="M284" s="145"/>
      <c r="N284" s="145"/>
      <c r="O284" s="145"/>
      <c r="P284" s="145"/>
      <c r="Q284" s="145"/>
      <c r="R284" s="145"/>
      <c r="S284" s="145"/>
      <c r="T284" s="145"/>
      <c r="U284" s="145"/>
      <c r="V284" s="145"/>
      <c r="W284" s="145"/>
      <c r="X284" s="145"/>
      <c r="Y284" s="145"/>
      <c r="Z284" s="145"/>
      <c r="AA284" s="145"/>
      <c r="AB284" s="145"/>
      <c r="AC284" s="145"/>
    </row>
    <row r="285" customFormat="false" ht="12.8" hidden="false" customHeight="false" outlineLevel="0" collapsed="false">
      <c r="A285" s="51" t="s">
        <v>18</v>
      </c>
      <c r="B285" s="4" t="n">
        <f aca="false">$B278*6-SUM(D278:I278)</f>
        <v>474.947533045925</v>
      </c>
      <c r="C285" s="4" t="n">
        <f aca="false">$B278*11-SUM(E278:N278)</f>
        <v>1148.16969320809</v>
      </c>
      <c r="D285" s="4" t="n">
        <f aca="false">$B278*26-SUM(D278:AC278)</f>
        <v>2709.99474737969</v>
      </c>
      <c r="E285" s="130"/>
      <c r="F285" s="130"/>
      <c r="G285" s="130"/>
      <c r="H285" s="130"/>
      <c r="I285" s="145"/>
      <c r="J285" s="145"/>
      <c r="K285" s="145"/>
      <c r="L285" s="145"/>
      <c r="M285" s="145"/>
      <c r="N285" s="145"/>
      <c r="O285" s="145"/>
      <c r="P285" s="145"/>
      <c r="Q285" s="145"/>
      <c r="R285" s="145"/>
      <c r="S285" s="145"/>
      <c r="T285" s="145"/>
      <c r="U285" s="145"/>
      <c r="V285" s="145"/>
      <c r="W285" s="145"/>
      <c r="X285" s="145"/>
      <c r="Y285" s="145"/>
      <c r="Z285" s="145"/>
      <c r="AA285" s="145"/>
      <c r="AB285" s="145"/>
      <c r="AC285" s="145"/>
    </row>
    <row r="286" customFormat="false" ht="12.8" hidden="false" customHeight="false" outlineLevel="0" collapsed="false">
      <c r="A286" s="51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  <c r="AB286" s="57"/>
      <c r="AC286" s="57"/>
    </row>
    <row r="287" customFormat="false" ht="12.8" hidden="false" customHeight="false" outlineLevel="0" collapsed="false">
      <c r="A287" s="51" t="s">
        <v>346</v>
      </c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  <c r="AB287" s="57"/>
      <c r="AC287" s="57"/>
    </row>
    <row r="288" customFormat="false" ht="12.8" hidden="false" customHeight="false" outlineLevel="0" collapsed="false">
      <c r="A288" s="51" t="s">
        <v>345</v>
      </c>
      <c r="B288" s="1" t="s">
        <v>575</v>
      </c>
      <c r="C288" s="1" t="n">
        <v>2024</v>
      </c>
      <c r="D288" s="1" t="n">
        <v>2025</v>
      </c>
      <c r="E288" s="1" t="n">
        <v>2026</v>
      </c>
      <c r="F288" s="1" t="n">
        <v>2027</v>
      </c>
      <c r="G288" s="1" t="n">
        <v>2028</v>
      </c>
      <c r="H288" s="1" t="n">
        <v>2029</v>
      </c>
      <c r="I288" s="52" t="n">
        <v>2030</v>
      </c>
      <c r="J288" s="52" t="n">
        <v>2031</v>
      </c>
      <c r="K288" s="52" t="n">
        <v>2032</v>
      </c>
      <c r="L288" s="52" t="n">
        <v>2033</v>
      </c>
      <c r="M288" s="52" t="n">
        <v>2034</v>
      </c>
      <c r="N288" s="52" t="n">
        <v>2035</v>
      </c>
      <c r="O288" s="52" t="n">
        <v>2036</v>
      </c>
      <c r="P288" s="52" t="n">
        <v>2037</v>
      </c>
      <c r="Q288" s="52" t="n">
        <v>2038</v>
      </c>
      <c r="R288" s="52" t="n">
        <v>2039</v>
      </c>
      <c r="S288" s="52" t="n">
        <v>2040</v>
      </c>
      <c r="T288" s="52" t="n">
        <v>2041</v>
      </c>
      <c r="U288" s="52" t="n">
        <v>2042</v>
      </c>
      <c r="V288" s="52" t="n">
        <v>2043</v>
      </c>
      <c r="W288" s="52" t="n">
        <v>2044</v>
      </c>
      <c r="X288" s="52" t="n">
        <v>2045</v>
      </c>
      <c r="Y288" s="52" t="n">
        <v>2046</v>
      </c>
      <c r="Z288" s="52" t="n">
        <v>2047</v>
      </c>
      <c r="AA288" s="52" t="n">
        <v>2048</v>
      </c>
      <c r="AB288" s="52" t="n">
        <v>2049</v>
      </c>
      <c r="AC288" s="52" t="n">
        <v>2050</v>
      </c>
    </row>
    <row r="289" customFormat="false" ht="12.8" hidden="false" customHeight="false" outlineLevel="0" collapsed="false">
      <c r="A289" s="51" t="s">
        <v>341</v>
      </c>
      <c r="B289" s="1" t="n">
        <f aca="false">($B$30*$B$28)+($B$39*$B$42)</f>
        <v>71.3503343390438</v>
      </c>
      <c r="C289" s="1" t="n">
        <f aca="false">($B$30*$B$28)+($B$39*$B$42)</f>
        <v>71.3503343390438</v>
      </c>
      <c r="D289" s="1" t="n">
        <f aca="false">($B$30*$B$33)+($B$44*$B$47)</f>
        <v>2.50068859197704</v>
      </c>
      <c r="E289" s="1" t="n">
        <f aca="false">($B$30*$B$33)+($B$44*$B$47)</f>
        <v>2.50068859197704</v>
      </c>
      <c r="F289" s="1" t="n">
        <f aca="false">($B$30*$B$33)+($B$44*$B$47)</f>
        <v>2.50068859197704</v>
      </c>
      <c r="G289" s="1" t="n">
        <f aca="false">($B$30*$B$33)+($B$44*$B$47)</f>
        <v>2.50068859197704</v>
      </c>
      <c r="H289" s="1" t="n">
        <f aca="false">($B$30*$B$33)+($B$44*$B$47)</f>
        <v>2.50068859197704</v>
      </c>
      <c r="I289" s="52" t="n">
        <f aca="false">($B$30*$B$33)+($B$44*$B$47)</f>
        <v>2.50068859197704</v>
      </c>
      <c r="J289" s="52" t="n">
        <f aca="false">($B$30*$B$33)+($B$44*$B$47)</f>
        <v>2.50068859197704</v>
      </c>
      <c r="K289" s="52" t="n">
        <f aca="false">($B$30*$B$33)+($B$44*$B$47)</f>
        <v>2.50068859197704</v>
      </c>
      <c r="L289" s="52" t="n">
        <f aca="false">L$169</f>
        <v>2.25061973277934</v>
      </c>
      <c r="M289" s="52" t="n">
        <f aca="false">M$169</f>
        <v>2.25061973277934</v>
      </c>
      <c r="N289" s="52" t="n">
        <f aca="false">N$169</f>
        <v>2.25061973277934</v>
      </c>
      <c r="O289" s="52" t="n">
        <f aca="false">O$169</f>
        <v>2.25061973277934</v>
      </c>
      <c r="P289" s="52" t="n">
        <f aca="false">P$169</f>
        <v>2.25061973277934</v>
      </c>
      <c r="Q289" s="52" t="n">
        <f aca="false">Q$169</f>
        <v>2.25061973277934</v>
      </c>
      <c r="R289" s="52" t="n">
        <f aca="false">R$169</f>
        <v>2.25061973277934</v>
      </c>
      <c r="S289" s="52" t="n">
        <f aca="false">S$169</f>
        <v>2.0255577595014</v>
      </c>
      <c r="T289" s="52" t="n">
        <f aca="false">T$169</f>
        <v>2.0255577595014</v>
      </c>
      <c r="U289" s="52" t="n">
        <f aca="false">U$169</f>
        <v>2.0255577595014</v>
      </c>
      <c r="V289" s="52" t="n">
        <f aca="false">V$169</f>
        <v>2.0255577595014</v>
      </c>
      <c r="W289" s="52" t="n">
        <f aca="false">W$169</f>
        <v>2.0255577595014</v>
      </c>
      <c r="X289" s="52" t="n">
        <f aca="false">X$169</f>
        <v>2.0255577595014</v>
      </c>
      <c r="Y289" s="52" t="n">
        <f aca="false">Y$169</f>
        <v>2.0255577595014</v>
      </c>
      <c r="Z289" s="52" t="n">
        <f aca="false">Z$169</f>
        <v>1.82300198355126</v>
      </c>
      <c r="AA289" s="52" t="n">
        <f aca="false">AA$169</f>
        <v>1.82300198355126</v>
      </c>
      <c r="AB289" s="52" t="n">
        <f aca="false">AB$169</f>
        <v>1.82300198355126</v>
      </c>
      <c r="AC289" s="52" t="n">
        <f aca="false">AC$169</f>
        <v>1.82300198355126</v>
      </c>
    </row>
    <row r="290" customFormat="false" ht="12.8" hidden="false" customHeight="false" outlineLevel="0" collapsed="false">
      <c r="A290" s="51" t="s">
        <v>18</v>
      </c>
      <c r="B290" s="1" t="n">
        <f aca="false">$B$10</f>
        <v>114.460356578722</v>
      </c>
      <c r="C290" s="1" t="n">
        <f aca="false">$B$10</f>
        <v>114.460356578722</v>
      </c>
      <c r="D290" s="1" t="n">
        <f aca="false">$B$10</f>
        <v>114.460356578722</v>
      </c>
      <c r="E290" s="1" t="n">
        <f aca="false">(0*0.25)+($B$10*0.75)</f>
        <v>85.8452674340417</v>
      </c>
      <c r="F290" s="141" t="n">
        <v>0</v>
      </c>
      <c r="G290" s="141" t="n">
        <v>0</v>
      </c>
      <c r="H290" s="141" t="n">
        <v>0</v>
      </c>
      <c r="I290" s="144" t="n">
        <v>0</v>
      </c>
      <c r="J290" s="141" t="n">
        <v>0</v>
      </c>
      <c r="K290" s="141" t="n">
        <v>0</v>
      </c>
      <c r="L290" s="144" t="n">
        <v>0</v>
      </c>
      <c r="M290" s="141" t="n">
        <v>0</v>
      </c>
      <c r="N290" s="141" t="n">
        <v>0</v>
      </c>
      <c r="O290" s="144" t="n">
        <v>0</v>
      </c>
      <c r="P290" s="141" t="n">
        <v>0</v>
      </c>
      <c r="Q290" s="141" t="n">
        <v>0</v>
      </c>
      <c r="R290" s="144" t="n">
        <v>0</v>
      </c>
      <c r="S290" s="141" t="n">
        <v>0</v>
      </c>
      <c r="T290" s="141" t="n">
        <v>0</v>
      </c>
      <c r="U290" s="144" t="n">
        <v>0</v>
      </c>
      <c r="V290" s="141" t="n">
        <v>0</v>
      </c>
      <c r="W290" s="141" t="n">
        <v>0</v>
      </c>
      <c r="X290" s="144" t="n">
        <v>0</v>
      </c>
      <c r="Y290" s="141" t="n">
        <v>0</v>
      </c>
      <c r="Z290" s="141" t="n">
        <v>0</v>
      </c>
      <c r="AA290" s="144" t="n">
        <v>0</v>
      </c>
      <c r="AB290" s="141" t="n">
        <v>0</v>
      </c>
      <c r="AC290" s="141" t="n">
        <v>0</v>
      </c>
    </row>
    <row r="291" customFormat="false" ht="12.8" hidden="false" customHeight="false" outlineLevel="0" collapsed="false">
      <c r="A291" s="49" t="s">
        <v>39</v>
      </c>
      <c r="B291" s="1" t="n">
        <f aca="false">SUM(B289:B290)</f>
        <v>185.810690917766</v>
      </c>
      <c r="C291" s="1" t="n">
        <f aca="false">SUM(C289:C290)</f>
        <v>185.810690917766</v>
      </c>
      <c r="D291" s="1" t="n">
        <f aca="false">SUM(D289:D290)</f>
        <v>116.961045170699</v>
      </c>
      <c r="E291" s="1" t="n">
        <f aca="false">SUM(E289:E290)</f>
        <v>88.3459560260187</v>
      </c>
      <c r="F291" s="1" t="n">
        <f aca="false">SUM(F289:F290)</f>
        <v>2.50068859197704</v>
      </c>
      <c r="G291" s="1" t="n">
        <f aca="false">SUM(G289:G290)</f>
        <v>2.50068859197704</v>
      </c>
      <c r="H291" s="1" t="n">
        <f aca="false">SUM(H289:H290)</f>
        <v>2.50068859197704</v>
      </c>
      <c r="I291" s="52" t="n">
        <f aca="false">SUM(I289:I290)</f>
        <v>2.50068859197704</v>
      </c>
      <c r="J291" s="52" t="n">
        <f aca="false">SUM(J289:J290)</f>
        <v>2.50068859197704</v>
      </c>
      <c r="K291" s="52" t="n">
        <f aca="false">SUM(K289:K290)</f>
        <v>2.50068859197704</v>
      </c>
      <c r="L291" s="52" t="n">
        <f aca="false">SUM(L289:L290)</f>
        <v>2.25061973277934</v>
      </c>
      <c r="M291" s="52" t="n">
        <f aca="false">SUM(M289:M290)</f>
        <v>2.25061973277934</v>
      </c>
      <c r="N291" s="52" t="n">
        <f aca="false">SUM(N289:N290)</f>
        <v>2.25061973277934</v>
      </c>
      <c r="O291" s="52" t="n">
        <f aca="false">SUM(O289:O290)</f>
        <v>2.25061973277934</v>
      </c>
      <c r="P291" s="52" t="n">
        <f aca="false">SUM(P289:P290)</f>
        <v>2.25061973277934</v>
      </c>
      <c r="Q291" s="52" t="n">
        <f aca="false">SUM(Q289:Q290)</f>
        <v>2.25061973277934</v>
      </c>
      <c r="R291" s="52" t="n">
        <f aca="false">SUM(R289:R290)</f>
        <v>2.25061973277934</v>
      </c>
      <c r="S291" s="52" t="n">
        <f aca="false">SUM(S289:S290)</f>
        <v>2.0255577595014</v>
      </c>
      <c r="T291" s="52" t="n">
        <f aca="false">SUM(T289:T290)</f>
        <v>2.0255577595014</v>
      </c>
      <c r="U291" s="52" t="n">
        <f aca="false">SUM(U289:U290)</f>
        <v>2.0255577595014</v>
      </c>
      <c r="V291" s="52" t="n">
        <f aca="false">SUM(V289:V290)</f>
        <v>2.0255577595014</v>
      </c>
      <c r="W291" s="52" t="n">
        <f aca="false">SUM(W289:W290)</f>
        <v>2.0255577595014</v>
      </c>
      <c r="X291" s="52" t="n">
        <f aca="false">SUM(X289:X290)</f>
        <v>2.0255577595014</v>
      </c>
      <c r="Y291" s="52" t="n">
        <f aca="false">SUM(Y289:Y290)</f>
        <v>2.0255577595014</v>
      </c>
      <c r="Z291" s="52" t="n">
        <f aca="false">SUM(Z289:Z290)</f>
        <v>1.82300198355126</v>
      </c>
      <c r="AA291" s="52" t="n">
        <f aca="false">SUM(AA289:AA290)</f>
        <v>1.82300198355126</v>
      </c>
      <c r="AB291" s="52" t="n">
        <f aca="false">SUM(AB289:AB290)</f>
        <v>1.82300198355126</v>
      </c>
      <c r="AC291" s="52" t="n">
        <f aca="false">SUM(AC289:AC290)</f>
        <v>1.82300198355126</v>
      </c>
    </row>
    <row r="292" customFormat="false" ht="12.8" hidden="false" customHeight="false" outlineLevel="0" collapsed="false">
      <c r="A292" s="51" t="s">
        <v>342</v>
      </c>
      <c r="B292" s="1" t="n">
        <f aca="false">($B291-B291)</f>
        <v>0</v>
      </c>
      <c r="C292" s="1" t="n">
        <f aca="false">($B291-C291)</f>
        <v>0</v>
      </c>
      <c r="D292" s="1" t="n">
        <f aca="false">($B291-D291)</f>
        <v>68.8496457470668</v>
      </c>
      <c r="E292" s="1" t="n">
        <f aca="false">($B291-E291)</f>
        <v>97.4647348917474</v>
      </c>
      <c r="F292" s="1" t="n">
        <f aca="false">($B291-F291)</f>
        <v>183.310002325789</v>
      </c>
      <c r="G292" s="1" t="n">
        <f aca="false">($B291-G291)</f>
        <v>183.310002325789</v>
      </c>
      <c r="H292" s="1" t="n">
        <f aca="false">($B291-H291)</f>
        <v>183.310002325789</v>
      </c>
      <c r="I292" s="52" t="n">
        <f aca="false">($B291-I291)</f>
        <v>183.310002325789</v>
      </c>
      <c r="J292" s="52" t="n">
        <f aca="false">($B291-J291)</f>
        <v>183.310002325789</v>
      </c>
      <c r="K292" s="52" t="n">
        <f aca="false">($B291-K291)</f>
        <v>183.310002325789</v>
      </c>
      <c r="L292" s="52" t="n">
        <f aca="false">($B291-L291)</f>
        <v>183.560071184987</v>
      </c>
      <c r="M292" s="52" t="n">
        <f aca="false">($B291-M291)</f>
        <v>183.560071184987</v>
      </c>
      <c r="N292" s="52" t="n">
        <f aca="false">($B291-N291)</f>
        <v>183.560071184987</v>
      </c>
      <c r="O292" s="52" t="n">
        <f aca="false">($B291-O291)</f>
        <v>183.560071184987</v>
      </c>
      <c r="P292" s="52" t="n">
        <f aca="false">($B291-P291)</f>
        <v>183.560071184987</v>
      </c>
      <c r="Q292" s="52" t="n">
        <f aca="false">($B291-Q291)</f>
        <v>183.560071184987</v>
      </c>
      <c r="R292" s="52" t="n">
        <f aca="false">($B291-R291)</f>
        <v>183.560071184987</v>
      </c>
      <c r="S292" s="52" t="n">
        <f aca="false">($B291-S291)</f>
        <v>183.785133158265</v>
      </c>
      <c r="T292" s="52" t="n">
        <f aca="false">($B291-T291)</f>
        <v>183.785133158265</v>
      </c>
      <c r="U292" s="52" t="n">
        <f aca="false">($B291-U291)</f>
        <v>183.785133158265</v>
      </c>
      <c r="V292" s="52" t="n">
        <f aca="false">($B291-V291)</f>
        <v>183.785133158265</v>
      </c>
      <c r="W292" s="52" t="n">
        <f aca="false">($B291-W291)</f>
        <v>183.785133158265</v>
      </c>
      <c r="X292" s="52" t="n">
        <f aca="false">($B291-X291)</f>
        <v>183.785133158265</v>
      </c>
      <c r="Y292" s="52" t="n">
        <f aca="false">($B291-Y291)</f>
        <v>183.785133158265</v>
      </c>
      <c r="Z292" s="52" t="n">
        <f aca="false">($B291-Z291)</f>
        <v>183.987688934215</v>
      </c>
      <c r="AA292" s="52" t="n">
        <f aca="false">($B291-AA291)</f>
        <v>183.987688934215</v>
      </c>
      <c r="AB292" s="52" t="n">
        <f aca="false">($B291-AB291)</f>
        <v>183.987688934215</v>
      </c>
      <c r="AC292" s="52" t="n">
        <f aca="false">($B291-AC291)</f>
        <v>183.987688934215</v>
      </c>
    </row>
    <row r="293" customFormat="false" ht="12.65" hidden="false" customHeight="true" outlineLevel="0" collapsed="false">
      <c r="A293" s="51" t="s">
        <v>343</v>
      </c>
      <c r="B293" s="149" t="n">
        <f aca="false">($B291-B291)/$B291</f>
        <v>0</v>
      </c>
      <c r="C293" s="149" t="n">
        <f aca="false">($B291-C291)/$B291</f>
        <v>0</v>
      </c>
      <c r="D293" s="149" t="n">
        <f aca="false">($B291-D291)/$B291</f>
        <v>0.370536514379237</v>
      </c>
      <c r="E293" s="149" t="n">
        <f aca="false">($B291-E291)/$B291</f>
        <v>0.524537820780625</v>
      </c>
      <c r="F293" s="149" t="n">
        <f aca="false">($B291-F291)/$B291</f>
        <v>0.98654173998479</v>
      </c>
      <c r="G293" s="149" t="n">
        <f aca="false">($B291-G291)/$B291</f>
        <v>0.98654173998479</v>
      </c>
      <c r="H293" s="149" t="n">
        <f aca="false">($B291-H291)/$B291</f>
        <v>0.98654173998479</v>
      </c>
      <c r="I293" s="145" t="n">
        <f aca="false">($B291-I291)/$B291</f>
        <v>0.98654173998479</v>
      </c>
      <c r="J293" s="145" t="n">
        <f aca="false">($B291-J291)/$B291</f>
        <v>0.98654173998479</v>
      </c>
      <c r="K293" s="145" t="n">
        <f aca="false">($B291-K291)/$B291</f>
        <v>0.98654173998479</v>
      </c>
      <c r="L293" s="145" t="n">
        <f aca="false">($B291-L291)/$B291</f>
        <v>0.987887565986311</v>
      </c>
      <c r="M293" s="145" t="n">
        <f aca="false">($B291-M291)/$B291</f>
        <v>0.987887565986311</v>
      </c>
      <c r="N293" s="145" t="n">
        <f aca="false">($B291-N291)/$B291</f>
        <v>0.987887565986311</v>
      </c>
      <c r="O293" s="145" t="n">
        <f aca="false">($B291-O291)/$B291</f>
        <v>0.987887565986311</v>
      </c>
      <c r="P293" s="145" t="n">
        <f aca="false">($B291-P291)/$B291</f>
        <v>0.987887565986311</v>
      </c>
      <c r="Q293" s="145" t="n">
        <f aca="false">($B291-Q291)/$B291</f>
        <v>0.987887565986311</v>
      </c>
      <c r="R293" s="145" t="n">
        <f aca="false">($B291-R291)/$B291</f>
        <v>0.987887565986311</v>
      </c>
      <c r="S293" s="145" t="n">
        <f aca="false">($B291-S291)/$B291</f>
        <v>0.98909880938768</v>
      </c>
      <c r="T293" s="145" t="n">
        <f aca="false">($B291-T291)/$B291</f>
        <v>0.98909880938768</v>
      </c>
      <c r="U293" s="145" t="n">
        <f aca="false">($B291-U291)/$B291</f>
        <v>0.98909880938768</v>
      </c>
      <c r="V293" s="145" t="n">
        <f aca="false">($B291-V291)/$B291</f>
        <v>0.98909880938768</v>
      </c>
      <c r="W293" s="145" t="n">
        <f aca="false">($B291-W291)/$B291</f>
        <v>0.98909880938768</v>
      </c>
      <c r="X293" s="145" t="n">
        <f aca="false">($B291-X291)/$B291</f>
        <v>0.98909880938768</v>
      </c>
      <c r="Y293" s="145" t="n">
        <f aca="false">($B291-Y291)/$B291</f>
        <v>0.98909880938768</v>
      </c>
      <c r="Z293" s="145" t="n">
        <f aca="false">($B291-Z291)/$B291</f>
        <v>0.990188928448912</v>
      </c>
      <c r="AA293" s="145" t="n">
        <f aca="false">($B291-AA291)/$B291</f>
        <v>0.990188928448912</v>
      </c>
      <c r="AB293" s="145" t="n">
        <f aca="false">($B291-AB291)/$B291</f>
        <v>0.990188928448912</v>
      </c>
      <c r="AC293" s="145" t="n">
        <f aca="false">($B291-AC291)/$B291</f>
        <v>0.990188928448912</v>
      </c>
    </row>
    <row r="294" customFormat="false" ht="12.65" hidden="false" customHeight="true" outlineLevel="0" collapsed="false">
      <c r="A294" s="51"/>
      <c r="B294" s="1" t="s">
        <v>1</v>
      </c>
      <c r="C294" s="1" t="s">
        <v>2</v>
      </c>
      <c r="D294" s="1" t="s">
        <v>331</v>
      </c>
      <c r="E294" s="1" t="s">
        <v>3</v>
      </c>
      <c r="F294" s="149"/>
      <c r="G294" s="149"/>
      <c r="H294" s="149"/>
      <c r="I294" s="145"/>
      <c r="J294" s="145"/>
      <c r="K294" s="145"/>
      <c r="L294" s="145"/>
      <c r="M294" s="145"/>
      <c r="N294" s="145"/>
      <c r="O294" s="145"/>
      <c r="P294" s="145"/>
      <c r="Q294" s="145"/>
      <c r="R294" s="145"/>
      <c r="S294" s="145"/>
      <c r="T294" s="145"/>
      <c r="U294" s="145"/>
      <c r="V294" s="145"/>
      <c r="W294" s="145"/>
      <c r="X294" s="145"/>
      <c r="Y294" s="145"/>
      <c r="Z294" s="145"/>
      <c r="AA294" s="145"/>
      <c r="AB294" s="145"/>
      <c r="AC294" s="145"/>
    </row>
    <row r="295" customFormat="false" ht="12.8" hidden="false" customHeight="false" outlineLevel="0" collapsed="false">
      <c r="A295" s="51" t="s">
        <v>20</v>
      </c>
      <c r="B295" s="4" t="n">
        <f aca="false">($B291*6)-(SUM(D291:I291))</f>
        <v>899.55438994197</v>
      </c>
      <c r="C295" s="4" t="n">
        <f aca="false">($B291*11)-(SUM(E291:N291))</f>
        <v>1933.81565331921</v>
      </c>
      <c r="D295" s="4" t="n">
        <f aca="false">($B291*26)-(SUM(D291:AC291))</f>
        <v>4573.54158073317</v>
      </c>
      <c r="E295" s="149"/>
      <c r="F295" s="149"/>
      <c r="G295" s="149"/>
      <c r="H295" s="149"/>
      <c r="I295" s="145"/>
    </row>
    <row r="296" customFormat="false" ht="12.8" hidden="false" customHeight="false" outlineLevel="0" collapsed="false">
      <c r="A296" s="51" t="s">
        <v>17</v>
      </c>
      <c r="B296" s="4" t="n">
        <f aca="false">$B289*6-SUM(D289:I289)</f>
        <v>413.097874482401</v>
      </c>
      <c r="C296" s="4" t="n">
        <f aca="false">$B289*11-SUM(E289:N289)</f>
        <v>760.596998387305</v>
      </c>
      <c r="D296" s="4" t="n">
        <f aca="false">$B289*26-SUM(D289:AC289)</f>
        <v>1797.87793369915</v>
      </c>
      <c r="E296" s="149"/>
      <c r="F296" s="149"/>
      <c r="G296" s="149"/>
      <c r="H296" s="149"/>
      <c r="I296" s="145"/>
    </row>
    <row r="297" customFormat="false" ht="12.8" hidden="false" customHeight="false" outlineLevel="0" collapsed="false">
      <c r="A297" s="83" t="s">
        <v>18</v>
      </c>
      <c r="B297" s="4" t="n">
        <f aca="false">$B290*6-SUM(D290:I290)</f>
        <v>486.45651545957</v>
      </c>
      <c r="C297" s="4" t="n">
        <f aca="false">$B290*11-SUM(E290:N290)</f>
        <v>1173.2186549319</v>
      </c>
      <c r="D297" s="4" t="n">
        <f aca="false">$B290*26-SUM(D290:AC290)</f>
        <v>2775.66364703401</v>
      </c>
      <c r="E297" s="150"/>
      <c r="F297" s="150"/>
      <c r="G297" s="150"/>
      <c r="H297" s="150"/>
      <c r="I297" s="151"/>
    </row>
    <row r="299" customFormat="false" ht="12.8" hidden="false" customHeight="false" outlineLevel="0" collapsed="false">
      <c r="A299" s="1" t="s">
        <v>579</v>
      </c>
    </row>
    <row r="300" customFormat="false" ht="12.8" hidden="false" customHeight="false" outlineLevel="0" collapsed="false">
      <c r="A300" s="1" t="s">
        <v>348</v>
      </c>
      <c r="B300" s="1" t="s">
        <v>1</v>
      </c>
      <c r="C300" s="1" t="s">
        <v>2</v>
      </c>
      <c r="D300" s="1" t="s">
        <v>331</v>
      </c>
      <c r="E300" s="1" t="s">
        <v>3</v>
      </c>
    </row>
    <row r="301" customFormat="false" ht="12.8" hidden="false" customHeight="false" outlineLevel="0" collapsed="false">
      <c r="A301" s="1" t="s">
        <v>334</v>
      </c>
      <c r="B301" s="4" t="n">
        <f aca="false">B242*6</f>
        <v>120.957829542887</v>
      </c>
      <c r="C301" s="4" t="n">
        <f aca="false">C242*11</f>
        <v>536.396909626104</v>
      </c>
      <c r="D301" s="4" t="n">
        <f aca="false">D242*16</f>
        <v>8810.32500472627</v>
      </c>
    </row>
    <row r="302" customFormat="false" ht="12.8" hidden="false" customHeight="false" outlineLevel="0" collapsed="false">
      <c r="A302" s="1" t="s">
        <v>335</v>
      </c>
      <c r="B302" s="4" t="n">
        <f aca="false">B243*6</f>
        <v>1919.40470782854</v>
      </c>
      <c r="C302" s="4" t="n">
        <f aca="false">C243*11</f>
        <v>4083.74974641193</v>
      </c>
      <c r="D302" s="4" t="n">
        <f aca="false">D243*16</f>
        <v>14099.5750160843</v>
      </c>
    </row>
    <row r="303" customFormat="false" ht="12.8" hidden="false" customHeight="false" outlineLevel="0" collapsed="false">
      <c r="A303" s="1" t="s">
        <v>336</v>
      </c>
      <c r="B303" s="4" t="n">
        <f aca="false">B244*6</f>
        <v>2958.69966331335</v>
      </c>
      <c r="C303" s="4" t="n">
        <f aca="false">C244*11</f>
        <v>8683.56008658048</v>
      </c>
      <c r="D303" s="4" t="n">
        <f aca="false">D244*16</f>
        <v>56082.8856798906</v>
      </c>
    </row>
    <row r="304" customFormat="false" ht="12.8" hidden="false" customHeight="false" outlineLevel="0" collapsed="false">
      <c r="A304" s="1" t="s">
        <v>337</v>
      </c>
      <c r="B304" s="4" t="n">
        <f aca="false">B245*6</f>
        <v>4087.22963957791</v>
      </c>
      <c r="C304" s="4" t="n">
        <f aca="false">C245*11</f>
        <v>13662.5159979746</v>
      </c>
      <c r="D304" s="4" t="n">
        <f aca="false">D245*16</f>
        <v>78933.9005168997</v>
      </c>
    </row>
    <row r="305" customFormat="false" ht="12.8" hidden="false" customHeight="false" outlineLevel="0" collapsed="false">
      <c r="B305" s="4"/>
      <c r="C305" s="4"/>
      <c r="D305" s="4"/>
    </row>
    <row r="306" customFormat="false" ht="12.8" hidden="false" customHeight="false" outlineLevel="0" collapsed="false">
      <c r="A306" s="1" t="s">
        <v>349</v>
      </c>
      <c r="B306" s="4"/>
      <c r="C306" s="4"/>
      <c r="D306" s="4"/>
    </row>
    <row r="307" customFormat="false" ht="12.8" hidden="false" customHeight="false" outlineLevel="0" collapsed="false">
      <c r="A307" s="1" t="s">
        <v>334</v>
      </c>
      <c r="B307" s="4" t="n">
        <f aca="false">B216-(SUM(D216:I216)/6)</f>
        <v>0.0551584665231246</v>
      </c>
      <c r="C307" s="4" t="n">
        <f aca="false">B216-SUM(D216:N216)/11</f>
        <v>0.32982257768461</v>
      </c>
      <c r="D307" s="4" t="n">
        <f aca="false">B216-(AVERAGE(N216:AC216))</f>
        <v>4.62146847110401</v>
      </c>
    </row>
    <row r="308" customFormat="false" ht="12.8" hidden="false" customHeight="false" outlineLevel="0" collapsed="false">
      <c r="A308" s="1" t="s">
        <v>350</v>
      </c>
      <c r="B308" s="4" t="n">
        <f aca="false">B240*6</f>
        <v>899.55438994197</v>
      </c>
      <c r="C308" s="4" t="n">
        <f aca="false">C240*11</f>
        <v>1777.30446674745</v>
      </c>
      <c r="D308" s="4" t="n">
        <f aca="false">D240*16</f>
        <v>2779.14053775659</v>
      </c>
    </row>
    <row r="310" customFormat="false" ht="12.8" hidden="false" customHeight="false" outlineLevel="0" collapsed="false">
      <c r="A310" s="1" t="s">
        <v>580</v>
      </c>
    </row>
    <row r="311" customFormat="false" ht="12.8" hidden="false" customHeight="false" outlineLevel="0" collapsed="false">
      <c r="A311" s="1" t="e">
        <f aca="false">#REF!</f>
        <v>#REF!</v>
      </c>
      <c r="B311" s="1" t="e">
        <f aca="false">#REF!</f>
        <v>#REF!</v>
      </c>
      <c r="C311" s="1" t="e">
        <f aca="false">#REF!</f>
        <v>#REF!</v>
      </c>
      <c r="D311" s="1" t="e">
        <f aca="false">#REF!</f>
        <v>#REF!</v>
      </c>
      <c r="E311" s="1" t="s">
        <v>3</v>
      </c>
    </row>
    <row r="312" customFormat="false" ht="12.8" hidden="false" customHeight="false" outlineLevel="0" collapsed="false">
      <c r="A312" s="1" t="e">
        <f aca="false">#REF!</f>
        <v>#REF!</v>
      </c>
      <c r="B312" s="4" t="e">
        <f aca="false">#REF!</f>
        <v>#REF!</v>
      </c>
      <c r="C312" s="4" t="e">
        <f aca="false">#REF!</f>
        <v>#REF!</v>
      </c>
      <c r="D312" s="4" t="e">
        <f aca="false">#REF!</f>
        <v>#REF!</v>
      </c>
    </row>
    <row r="313" customFormat="false" ht="12.8" hidden="false" customHeight="false" outlineLevel="0" collapsed="false">
      <c r="A313" s="1" t="e">
        <f aca="false">#REF!</f>
        <v>#REF!</v>
      </c>
      <c r="B313" s="4" t="e">
        <f aca="false">#REF!</f>
        <v>#REF!</v>
      </c>
      <c r="C313" s="4" t="e">
        <f aca="false">#REF!</f>
        <v>#REF!</v>
      </c>
      <c r="D313" s="4" t="e">
        <f aca="false">#REF!</f>
        <v>#REF!</v>
      </c>
    </row>
    <row r="314" customFormat="false" ht="12.8" hidden="false" customHeight="false" outlineLevel="0" collapsed="false">
      <c r="A314" s="1" t="e">
        <f aca="false">#REF!</f>
        <v>#REF!</v>
      </c>
      <c r="B314" s="4" t="e">
        <f aca="false">#REF!</f>
        <v>#REF!</v>
      </c>
      <c r="C314" s="4" t="e">
        <f aca="false">#REF!</f>
        <v>#REF!</v>
      </c>
      <c r="D314" s="4" t="e">
        <f aca="false">#REF!</f>
        <v>#REF!</v>
      </c>
    </row>
    <row r="315" customFormat="false" ht="12.8" hidden="false" customHeight="false" outlineLevel="0" collapsed="false">
      <c r="A315" s="1" t="e">
        <f aca="false">#REF!</f>
        <v>#REF!</v>
      </c>
      <c r="B315" s="4" t="e">
        <f aca="false">#REF!</f>
        <v>#REF!</v>
      </c>
      <c r="C315" s="4" t="e">
        <f aca="false">#REF!</f>
        <v>#REF!</v>
      </c>
      <c r="D315" s="4" t="e">
        <f aca="false">#REF!</f>
        <v>#REF!</v>
      </c>
    </row>
    <row r="316" customFormat="false" ht="12.8" hidden="false" customHeight="false" outlineLevel="0" collapsed="false">
      <c r="B316" s="4"/>
      <c r="C316" s="4"/>
      <c r="D316" s="4"/>
    </row>
    <row r="317" customFormat="false" ht="12.8" hidden="false" customHeight="false" outlineLevel="0" collapsed="false">
      <c r="A317" s="1" t="e">
        <f aca="false">#REF!</f>
        <v>#REF!</v>
      </c>
      <c r="B317" s="4"/>
      <c r="C317" s="4"/>
      <c r="D317" s="4"/>
      <c r="E317" s="1" t="s">
        <v>3</v>
      </c>
    </row>
    <row r="318" customFormat="false" ht="12.8" hidden="false" customHeight="false" outlineLevel="0" collapsed="false">
      <c r="A318" s="1" t="e">
        <f aca="false">#REF!</f>
        <v>#REF!</v>
      </c>
      <c r="B318" s="4" t="e">
        <f aca="false">#REF!</f>
        <v>#REF!</v>
      </c>
      <c r="C318" s="4" t="e">
        <f aca="false">#REF!</f>
        <v>#REF!</v>
      </c>
      <c r="D318" s="4" t="e">
        <f aca="false">#REF!</f>
        <v>#REF!</v>
      </c>
    </row>
    <row r="319" customFormat="false" ht="12.8" hidden="false" customHeight="false" outlineLevel="0" collapsed="false">
      <c r="A319" s="1" t="e">
        <f aca="false">#REF!</f>
        <v>#REF!</v>
      </c>
      <c r="B319" s="4" t="e">
        <f aca="false">#REF!</f>
        <v>#REF!</v>
      </c>
      <c r="C319" s="4" t="e">
        <f aca="false">#REF!</f>
        <v>#REF!</v>
      </c>
      <c r="D319" s="4" t="e">
        <f aca="false">#REF!</f>
        <v>#REF!</v>
      </c>
    </row>
    <row r="322" customFormat="false" ht="12.8" hidden="false" customHeight="false" outlineLevel="0" collapsed="false">
      <c r="A322" s="4" t="s">
        <v>581</v>
      </c>
      <c r="B322" s="4" t="s">
        <v>1</v>
      </c>
      <c r="C322" s="4" t="s">
        <v>2</v>
      </c>
      <c r="D322" s="1" t="s">
        <v>3</v>
      </c>
    </row>
    <row r="323" customFormat="false" ht="12.8" hidden="false" customHeight="false" outlineLevel="0" collapsed="false">
      <c r="A323" s="4" t="s">
        <v>4</v>
      </c>
      <c r="B323" s="4" t="n">
        <f aca="false">$B$162*6-SUM(D162:I162)</f>
        <v>0</v>
      </c>
      <c r="C323" s="4" t="n">
        <f aca="false">$B$162*6-SUM(E162:J162)</f>
        <v>0</v>
      </c>
      <c r="D323" s="4" t="n">
        <f aca="false">$B$162*26-SUM(D162:AC162)</f>
        <v>0</v>
      </c>
    </row>
    <row r="324" customFormat="false" ht="12.8" hidden="false" customHeight="false" outlineLevel="0" collapsed="false">
      <c r="A324" s="4" t="s">
        <v>5</v>
      </c>
      <c r="B324" s="4" t="n">
        <f aca="false">$B$161*6-SUM(D161:I161)</f>
        <v>0.330950799138748</v>
      </c>
      <c r="C324" s="4" t="n">
        <f aca="false">$B$163*11-SUM(D163:N163)</f>
        <v>3.62804835453085</v>
      </c>
      <c r="D324" s="4" t="n">
        <f aca="false">$B$163*26-SUM(D163:AC163)</f>
        <v>76.6303902106956</v>
      </c>
    </row>
    <row r="325" customFormat="false" ht="12.8" hidden="false" customHeight="false" outlineLevel="0" collapsed="false">
      <c r="A325" s="4" t="s">
        <v>6</v>
      </c>
      <c r="B325" s="4" t="n">
        <f aca="false">$B$163*6-SUM(D163:I163)</f>
        <v>0.330950799138691</v>
      </c>
      <c r="C325" s="4" t="n">
        <f aca="false">$B$163*6-SUM(E163:J163)</f>
        <v>0.749396333061668</v>
      </c>
      <c r="D325" s="4" t="n">
        <f aca="false">$B$163*6-SUM(F163:K163)</f>
        <v>1.26965701471454</v>
      </c>
    </row>
    <row r="326" customFormat="false" ht="12.8" hidden="false" customHeight="false" outlineLevel="0" collapsed="false">
      <c r="A326" s="4" t="s">
        <v>7</v>
      </c>
      <c r="B326" s="4" t="n">
        <f aca="false">$B$187*6-SUM(D187:I187)</f>
        <v>81.343050746349</v>
      </c>
      <c r="C326" s="4" t="n">
        <f aca="false">$B$187*11-SUM(D187:N187)</f>
        <v>348.022463035108</v>
      </c>
      <c r="D326" s="4" t="n">
        <f aca="false">$B$187*26-SUM(D187:AC187)</f>
        <v>3562.85623013796</v>
      </c>
    </row>
    <row r="327" customFormat="false" ht="12.8" hidden="false" customHeight="false" outlineLevel="0" collapsed="false">
      <c r="A327" s="4" t="s">
        <v>8</v>
      </c>
      <c r="B327" s="4" t="n">
        <f aca="false">$B$188*6-SUM(D188:I188)</f>
        <v>730.595040564025</v>
      </c>
      <c r="C327" s="4" t="n">
        <f aca="false">$B$188*11-SUM(D188:N188)</f>
        <v>3211.88378498703</v>
      </c>
      <c r="D327" s="4" t="n">
        <f aca="false">$B$188*26-SUM(D188:AC188)</f>
        <v>39359.6708983678</v>
      </c>
    </row>
    <row r="328" customFormat="false" ht="12.8" hidden="false" customHeight="false" outlineLevel="0" collapsed="false">
      <c r="A328" s="4" t="s">
        <v>9</v>
      </c>
      <c r="B328" s="5" t="n">
        <f aca="false">SUM(B326:B327)</f>
        <v>811.938091310374</v>
      </c>
      <c r="C328" s="5" t="n">
        <f aca="false">SUM(C326:C327)</f>
        <v>3559.90624802214</v>
      </c>
      <c r="D328" s="5" t="n">
        <f aca="false">SUM(D326:D327)</f>
        <v>42922.5271285058</v>
      </c>
    </row>
    <row r="329" customFormat="false" ht="12.8" hidden="false" customHeight="false" outlineLevel="0" collapsed="false">
      <c r="A329" s="4" t="s">
        <v>10</v>
      </c>
      <c r="B329" s="4" t="n">
        <f aca="false">$B$195*6-SUM(D195:I195)</f>
        <v>136.757826639776</v>
      </c>
      <c r="C329" s="4" t="n">
        <f aca="false">$B$195*11-SUM(D195:N195)</f>
        <v>666.41286223623</v>
      </c>
      <c r="D329" s="4" t="n">
        <f aca="false">$B$195*26-SUM(D195:AC195)</f>
        <v>8924.34398622256</v>
      </c>
    </row>
    <row r="330" customFormat="false" ht="12.8" hidden="false" customHeight="false" outlineLevel="0" collapsed="false">
      <c r="A330" s="4" t="s">
        <v>11</v>
      </c>
      <c r="B330" s="4" t="n">
        <f aca="false">$B$196*6-SUM(D196:I196)</f>
        <v>1022.83305678963</v>
      </c>
      <c r="C330" s="4" t="n">
        <f aca="false">$B$196*11-SUM(D196:N196)</f>
        <v>4462.53829084936</v>
      </c>
      <c r="D330" s="4" t="n">
        <f aca="false">$B$196*26-SUM(D196:AC196)</f>
        <v>45685.1507882206</v>
      </c>
    </row>
    <row r="331" customFormat="false" ht="12.8" hidden="false" customHeight="false" outlineLevel="0" collapsed="false">
      <c r="A331" s="4" t="s">
        <v>12</v>
      </c>
      <c r="B331" s="5" t="n">
        <f aca="false">SUM(B329:B330)</f>
        <v>1159.59088342941</v>
      </c>
      <c r="C331" s="5" t="n">
        <f aca="false">SUM(C329:C330)</f>
        <v>5128.95115308559</v>
      </c>
      <c r="D331" s="5" t="n">
        <f aca="false">SUM(D329:D330)</f>
        <v>54609.4947744431</v>
      </c>
    </row>
    <row r="332" customFormat="false" ht="12.8" hidden="false" customHeight="false" outlineLevel="0" collapsed="false">
      <c r="A332" s="4" t="s">
        <v>13</v>
      </c>
      <c r="B332" s="4" t="n">
        <f aca="false">$B$207*6-SUM(D207:I207)</f>
        <v>242.454746114712</v>
      </c>
      <c r="C332" s="4" t="n">
        <f aca="false">$B$207*11-SUM(D207:N207)</f>
        <v>1421.52353970839</v>
      </c>
      <c r="D332" s="4" t="n">
        <f aca="false">$B$207*26-SUM(D207:AC207)</f>
        <v>23288.0737086676</v>
      </c>
    </row>
    <row r="333" customFormat="false" ht="12.8" hidden="false" customHeight="false" outlineLevel="0" collapsed="false">
      <c r="A333" s="4" t="s">
        <v>14</v>
      </c>
      <c r="B333" s="4" t="n">
        <f aca="false">$B$208*6-SUM(D208:I208)</f>
        <v>2045.66611357927</v>
      </c>
      <c r="C333" s="4" t="n">
        <f aca="false">$B$208*11-SUM(D208:N208)</f>
        <v>8686.38352477131</v>
      </c>
      <c r="D333" s="4" t="n">
        <f aca="false">$B$208*26-SUM(D208:AC208)</f>
        <v>58055.5120298007</v>
      </c>
    </row>
    <row r="334" customFormat="false" ht="12.8" hidden="false" customHeight="false" outlineLevel="0" collapsed="false">
      <c r="A334" s="4" t="s">
        <v>15</v>
      </c>
      <c r="B334" s="5" t="n">
        <f aca="false">SUM(B332:B333)</f>
        <v>2288.12085969398</v>
      </c>
      <c r="C334" s="5" t="n">
        <f aca="false">SUM(C332:C333)</f>
        <v>10107.9070644797</v>
      </c>
      <c r="D334" s="5" t="n">
        <f aca="false">SUM(D332:D333)</f>
        <v>81343.5857384683</v>
      </c>
    </row>
    <row r="336" customFormat="false" ht="12.8" hidden="false" customHeight="false" outlineLevel="0" collapsed="false">
      <c r="A336" s="1" t="s">
        <v>351</v>
      </c>
    </row>
    <row r="337" customFormat="false" ht="12.8" hidden="false" customHeight="false" outlineLevel="0" collapsed="false">
      <c r="A337" s="9" t="s">
        <v>334</v>
      </c>
      <c r="B337" s="4" t="n">
        <f aca="false">$B$186*6-SUM(D212:I212)</f>
        <v>0.330950799138691</v>
      </c>
      <c r="D337" s="4" t="n">
        <f aca="false">$B$186*26-SUM(D212:AC212)</f>
        <v>76.6303902106956</v>
      </c>
    </row>
    <row r="338" customFormat="false" ht="12.8" hidden="false" customHeight="false" outlineLevel="0" collapsed="false">
      <c r="A338" s="9" t="s">
        <v>17</v>
      </c>
      <c r="B338" s="4" t="n">
        <f aca="false">$B$184*6-SUM(D184:I184)</f>
        <v>413.097874482401</v>
      </c>
      <c r="C338" s="4" t="n">
        <f aca="false">$B$184*11-SUM(D184:O184)</f>
        <v>755.845690062549</v>
      </c>
      <c r="D338" s="4" t="n">
        <f aca="false">$B$184*26-SUM(D184:AC184)</f>
        <v>1797.87793369915</v>
      </c>
    </row>
    <row r="339" customFormat="false" ht="12.8" hidden="false" customHeight="false" outlineLevel="0" collapsed="false">
      <c r="A339" s="9" t="s">
        <v>18</v>
      </c>
      <c r="B339" s="4" t="n">
        <f aca="false">$B$185*6-SUM(D185:I185)</f>
        <v>486.45651545957</v>
      </c>
      <c r="C339" s="4" t="n">
        <f aca="false">$B$185*11-SUM(D185:N185)</f>
        <v>1058.75829835318</v>
      </c>
      <c r="D339" s="4" t="n">
        <f aca="false">$B$185*26-SUM(D185:AC185)</f>
        <v>2775.66364703401</v>
      </c>
    </row>
    <row r="340" customFormat="false" ht="12.8" hidden="false" customHeight="false" outlineLevel="0" collapsed="false">
      <c r="A340" s="10" t="s">
        <v>20</v>
      </c>
      <c r="B340" s="5" t="n">
        <f aca="false">SUM(B338:B339)</f>
        <v>899.55438994197</v>
      </c>
      <c r="C340" s="5" t="n">
        <f aca="false">SUM(C338:C339)</f>
        <v>1814.60398841573</v>
      </c>
      <c r="D340" s="5" t="n">
        <f aca="false">SUM(D338:D339)</f>
        <v>4573.54158073317</v>
      </c>
    </row>
    <row r="342" customFormat="false" ht="12.8" hidden="false" customHeight="false" outlineLevel="0" collapsed="false">
      <c r="A342" s="1" t="s">
        <v>21</v>
      </c>
      <c r="B342" s="1" t="n">
        <f aca="false">B328+B$340</f>
        <v>1711.49248125234</v>
      </c>
      <c r="C342" s="1"/>
      <c r="D342" s="4" t="n">
        <f aca="false">D328+D$340</f>
        <v>47496.068709239</v>
      </c>
    </row>
    <row r="343" customFormat="false" ht="12.8" hidden="false" customHeight="false" outlineLevel="0" collapsed="false">
      <c r="A343" s="1" t="s">
        <v>22</v>
      </c>
      <c r="B343" s="1" t="n">
        <f aca="false">B331+B$340</f>
        <v>2059.14527337138</v>
      </c>
      <c r="C343" s="1"/>
      <c r="D343" s="4" t="n">
        <f aca="false">D331+D$340</f>
        <v>59183.0363551763</v>
      </c>
    </row>
    <row r="344" customFormat="false" ht="12.8" hidden="false" customHeight="false" outlineLevel="0" collapsed="false">
      <c r="A344" s="1" t="s">
        <v>23</v>
      </c>
      <c r="B344" s="1" t="n">
        <f aca="false">B334+B$340</f>
        <v>3187.67524963595</v>
      </c>
      <c r="C344" s="1"/>
      <c r="D344" s="4" t="n">
        <f aca="false">D334+D$340</f>
        <v>85917.1273192015</v>
      </c>
    </row>
    <row r="345" customFormat="false" ht="12.8" hidden="false" customHeight="false" outlineLevel="0" collapsed="false">
      <c r="C345" s="1"/>
      <c r="D345" s="4"/>
    </row>
    <row r="346" customFormat="false" ht="12.8" hidden="false" customHeight="false" outlineLevel="0" collapsed="false">
      <c r="A346" s="1" t="s">
        <v>583</v>
      </c>
      <c r="B346" s="1" t="s">
        <v>584</v>
      </c>
    </row>
    <row r="347" customFormat="false" ht="12.8" hidden="false" customHeight="false" outlineLevel="0" collapsed="false">
      <c r="A347" s="1" t="s">
        <v>585</v>
      </c>
      <c r="B347" s="1" t="n">
        <f aca="false">D333+D339</f>
        <v>60831.1756768347</v>
      </c>
    </row>
    <row r="348" customFormat="false" ht="12.8" hidden="false" customHeight="false" outlineLevel="0" collapsed="false">
      <c r="A348" s="1" t="s">
        <v>586</v>
      </c>
    </row>
    <row r="349" customFormat="false" ht="12.8" hidden="false" customHeight="false" outlineLevel="0" collapsed="false">
      <c r="A349" s="1" t="s">
        <v>587</v>
      </c>
    </row>
    <row r="353" customFormat="false" ht="12.8" hidden="false" customHeight="false" outlineLevel="0" collapsed="false">
      <c r="B353" s="1" t="s">
        <v>354</v>
      </c>
      <c r="C353" s="0" t="s">
        <v>355</v>
      </c>
    </row>
    <row r="354" customFormat="false" ht="12.8" hidden="false" customHeight="false" outlineLevel="0" collapsed="false">
      <c r="A354" s="1" t="s">
        <v>229</v>
      </c>
      <c r="B354" s="1" t="n">
        <v>82560</v>
      </c>
      <c r="C354" s="0" t="n">
        <f aca="false">(B354/1000)*B$361</f>
        <v>33.5715246306693</v>
      </c>
    </row>
    <row r="355" customFormat="false" ht="12.8" hidden="false" customHeight="false" outlineLevel="0" collapsed="false">
      <c r="A355" s="1" t="s">
        <v>231</v>
      </c>
      <c r="B355" s="1" t="n">
        <v>27000</v>
      </c>
      <c r="C355" s="0" t="n">
        <f aca="false">(B355/1000)*B$361</f>
        <v>10.9790596539253</v>
      </c>
    </row>
    <row r="356" customFormat="false" ht="12.8" hidden="false" customHeight="false" outlineLevel="0" collapsed="false">
      <c r="A356" s="1" t="s">
        <v>233</v>
      </c>
      <c r="B356" s="1" t="n">
        <v>32640</v>
      </c>
      <c r="C356" s="0" t="n">
        <f aca="false">(B356/1000)*B$361</f>
        <v>13.2724632260786</v>
      </c>
    </row>
    <row r="357" customFormat="false" ht="12.8" hidden="false" customHeight="false" outlineLevel="0" collapsed="false">
      <c r="A357" s="1" t="s">
        <v>235</v>
      </c>
      <c r="B357" s="1" t="n">
        <v>64404</v>
      </c>
      <c r="C357" s="0" t="n">
        <f aca="false">(B357/1000)*B$361</f>
        <v>26.1887169611631</v>
      </c>
    </row>
    <row r="358" customFormat="false" ht="12.8" hidden="false" customHeight="false" outlineLevel="0" collapsed="false">
      <c r="A358" s="1" t="s">
        <v>236</v>
      </c>
      <c r="B358" s="1" t="n">
        <v>74880</v>
      </c>
      <c r="C358" s="0" t="n">
        <f aca="false">(B358/1000)*B$361</f>
        <v>30.4485921068861</v>
      </c>
    </row>
    <row r="359" customFormat="false" ht="12.8" hidden="false" customHeight="false" outlineLevel="0" collapsed="false">
      <c r="A359" s="1" t="s">
        <v>20</v>
      </c>
      <c r="B359" s="1" t="n">
        <v>281484</v>
      </c>
      <c r="C359" s="0" t="n">
        <f aca="false">(B359/1000)*B$361</f>
        <v>114.460356578722</v>
      </c>
    </row>
    <row r="360" customFormat="false" ht="12.8" hidden="false" customHeight="false" outlineLevel="0" collapsed="false">
      <c r="A360" s="1" t="s">
        <v>237</v>
      </c>
      <c r="B360" s="0" t="n">
        <f aca="false">B359/1000</f>
        <v>281.484</v>
      </c>
    </row>
    <row r="361" customFormat="false" ht="12.8" hidden="false" customHeight="false" outlineLevel="0" collapsed="false">
      <c r="A361" s="1" t="s">
        <v>238</v>
      </c>
      <c r="B361" s="1" t="n">
        <v>0.406631839034269</v>
      </c>
    </row>
    <row r="362" customFormat="false" ht="12.8" hidden="false" customHeight="false" outlineLevel="0" collapsed="false">
      <c r="A362" s="1" t="s">
        <v>239</v>
      </c>
      <c r="B362" s="1" t="n">
        <f aca="false">B361*B360</f>
        <v>114.460356578722</v>
      </c>
    </row>
    <row r="363" customFormat="false" ht="12.8" hidden="false" customHeight="false" outlineLevel="0" collapsed="false">
      <c r="B363" s="0"/>
    </row>
    <row r="364" customFormat="false" ht="12.8" hidden="false" customHeight="false" outlineLevel="0" collapsed="false">
      <c r="B364" s="0"/>
    </row>
    <row r="365" customFormat="false" ht="12.8" hidden="false" customHeight="false" outlineLevel="0" collapsed="false">
      <c r="B365" s="0"/>
    </row>
    <row r="366" customFormat="false" ht="12.8" hidden="false" customHeight="false" outlineLevel="0" collapsed="false">
      <c r="B366" s="0"/>
    </row>
    <row r="367" customFormat="false" ht="12.8" hidden="false" customHeight="false" outlineLevel="0" collapsed="false">
      <c r="A367" s="1" t="s">
        <v>240</v>
      </c>
      <c r="B367" s="0" t="s">
        <v>354</v>
      </c>
    </row>
    <row r="368" customFormat="false" ht="12.8" hidden="false" customHeight="false" outlineLevel="0" collapsed="false">
      <c r="A368" s="1" t="s">
        <v>229</v>
      </c>
      <c r="B368" s="4" t="n">
        <v>24768</v>
      </c>
      <c r="C368" s="0" t="n">
        <f aca="false">(B368/1000)*B$372</f>
        <v>1.01549844826272</v>
      </c>
    </row>
    <row r="369" customFormat="false" ht="12.8" hidden="false" customHeight="false" outlineLevel="0" collapsed="false">
      <c r="A369" s="1" t="s">
        <v>231</v>
      </c>
      <c r="B369" s="4" t="n">
        <v>41280</v>
      </c>
      <c r="C369" s="0" t="n">
        <f aca="false">(B369/1000)*B$372</f>
        <v>1.69249741377121</v>
      </c>
    </row>
    <row r="370" customFormat="false" ht="12.8" hidden="false" customHeight="false" outlineLevel="0" collapsed="false">
      <c r="A370" s="1" t="s">
        <v>20</v>
      </c>
      <c r="B370" s="4" t="n">
        <v>66048</v>
      </c>
      <c r="C370" s="0" t="n">
        <f aca="false">(B370/1000)*B$372</f>
        <v>2.70799586203393</v>
      </c>
    </row>
    <row r="371" customFormat="false" ht="12.8" hidden="false" customHeight="false" outlineLevel="0" collapsed="false">
      <c r="A371" s="1" t="s">
        <v>241</v>
      </c>
      <c r="B371" s="137" t="n">
        <f aca="false">B370/100</f>
        <v>660.48</v>
      </c>
    </row>
    <row r="372" customFormat="false" ht="12.8" hidden="false" customHeight="false" outlineLevel="0" collapsed="false">
      <c r="A372" s="1" t="s">
        <v>238</v>
      </c>
      <c r="B372" s="10" t="n">
        <v>0.0410004218452327</v>
      </c>
    </row>
    <row r="377" customFormat="false" ht="12.8" hidden="false" customHeight="false" outlineLevel="0" collapsed="false">
      <c r="A377" s="1" t="s">
        <v>42</v>
      </c>
      <c r="B377" s="1" t="s">
        <v>575</v>
      </c>
      <c r="C377" s="0" t="n">
        <v>2024</v>
      </c>
    </row>
    <row r="378" customFormat="false" ht="12.8" hidden="false" customHeight="false" outlineLevel="0" collapsed="false">
      <c r="A378" s="1" t="s">
        <v>37</v>
      </c>
      <c r="B378" s="1" t="n">
        <f aca="false">($B$30*$B$28)+($B$39*$B$42)</f>
        <v>71.3503343390438</v>
      </c>
      <c r="C378" s="0" t="n">
        <f aca="false">($B$30*$B$28)+($B$39*$B$42)</f>
        <v>71.3503343390438</v>
      </c>
      <c r="D378" s="1" t="n">
        <f aca="false">($B$30*$B$33)+($B$44*$B$47)</f>
        <v>2.50068859197704</v>
      </c>
      <c r="E378" s="0" t="n">
        <f aca="false">($B$30*$B$33)+($B$44*$B$47)</f>
        <v>2.50068859197704</v>
      </c>
      <c r="F378" s="0" t="n">
        <f aca="false">($B$30*$B$33)+($B$44*$B$47)</f>
        <v>2.50068859197704</v>
      </c>
      <c r="G378" s="10" t="n">
        <f aca="false">($B$30*$B$33)+($B$44*$B$47)</f>
        <v>2.50068859197704</v>
      </c>
      <c r="H378" s="0" t="n">
        <f aca="false">($B$30*$B$33)+($B$44*$B$47)</f>
        <v>2.50068859197704</v>
      </c>
      <c r="I378" s="0" t="n">
        <f aca="false">($B$30*$B$33)+($B$44*$B$47)</f>
        <v>2.50068859197704</v>
      </c>
      <c r="J378" s="0" t="n">
        <f aca="false">($B$30*$B$33)+($B$44*$B$47)</f>
        <v>2.50068859197704</v>
      </c>
      <c r="K378" s="0" t="n">
        <f aca="false">($B$30*$B$33)+($B$44*$B$47)</f>
        <v>2.50068859197704</v>
      </c>
      <c r="L378" s="0" t="n">
        <f aca="false">($B$30*$B$33)+($B$44*$B$47)</f>
        <v>2.50068859197704</v>
      </c>
      <c r="M378" s="0" t="n">
        <f aca="false">($B$30*$B$33)+($B$44*$B$47)</f>
        <v>2.50068859197704</v>
      </c>
      <c r="N378" s="0" t="n">
        <f aca="false">$K378*0.9</f>
        <v>2.25061973277934</v>
      </c>
      <c r="U378" s="0" t="n">
        <f aca="false">$L378*0.9</f>
        <v>2.25061973277934</v>
      </c>
      <c r="AB378" s="0" t="n">
        <f aca="false">$S378*0.9</f>
        <v>0</v>
      </c>
      <c r="AD378" s="0" t="n">
        <f aca="false">$S378*0.9</f>
        <v>0</v>
      </c>
      <c r="AE378" s="0" t="n">
        <f aca="false">$S378*0.9</f>
        <v>0</v>
      </c>
    </row>
    <row r="379" customFormat="false" ht="12.8" hidden="false" customHeight="false" outlineLevel="0" collapsed="false">
      <c r="A379" s="1" t="s">
        <v>18</v>
      </c>
      <c r="B379" s="1" t="n">
        <f aca="false">$B$10</f>
        <v>114.460356578722</v>
      </c>
      <c r="C379" s="0" t="n">
        <f aca="false">$B$10</f>
        <v>114.460356578722</v>
      </c>
      <c r="D379" s="1" t="n">
        <f aca="false">$B$10</f>
        <v>114.460356578722</v>
      </c>
      <c r="E379" s="0" t="n">
        <f aca="false">($B$18*0.25)+($B$10*0.75)</f>
        <v>85.8452674340417</v>
      </c>
      <c r="F379" s="0" t="n">
        <f aca="false">$B$18</f>
        <v>0</v>
      </c>
      <c r="G379" s="10" t="n">
        <f aca="false">$B$18</f>
        <v>0</v>
      </c>
      <c r="H379" s="0" t="n">
        <f aca="false">$B$18</f>
        <v>0</v>
      </c>
      <c r="I379" s="0" t="n">
        <f aca="false">$B$18</f>
        <v>0</v>
      </c>
      <c r="J379" s="0" t="n">
        <f aca="false">$B$18</f>
        <v>0</v>
      </c>
      <c r="K379" s="0" t="n">
        <f aca="false">$B$18</f>
        <v>0</v>
      </c>
      <c r="L379" s="0" t="n">
        <f aca="false">$B$18</f>
        <v>0</v>
      </c>
      <c r="M379" s="0" t="n">
        <f aca="false">$B$18</f>
        <v>0</v>
      </c>
      <c r="N379" s="0" t="n">
        <f aca="false">$B$18</f>
        <v>0</v>
      </c>
      <c r="O379" s="0" t="n">
        <f aca="false">$B$18</f>
        <v>0</v>
      </c>
      <c r="P379" s="0" t="n">
        <f aca="false">$B$18</f>
        <v>0</v>
      </c>
      <c r="Q379" s="0" t="n">
        <f aca="false">$B$18</f>
        <v>0</v>
      </c>
      <c r="R379" s="0" t="n">
        <f aca="false">$B$18</f>
        <v>0</v>
      </c>
      <c r="S379" s="0" t="n">
        <f aca="false">$B$18</f>
        <v>0</v>
      </c>
      <c r="T379" s="0" t="n">
        <f aca="false">$B$18</f>
        <v>0</v>
      </c>
      <c r="U379" s="0" t="n">
        <f aca="false">$B$18</f>
        <v>0</v>
      </c>
      <c r="V379" s="0" t="n">
        <f aca="false">$B$18</f>
        <v>0</v>
      </c>
      <c r="W379" s="0" t="n">
        <f aca="false">$B$18</f>
        <v>0</v>
      </c>
      <c r="X379" s="0" t="n">
        <f aca="false">$B$18</f>
        <v>0</v>
      </c>
      <c r="Y379" s="0" t="n">
        <f aca="false">$B$18</f>
        <v>0</v>
      </c>
      <c r="Z379" s="0" t="n">
        <f aca="false">$B$18</f>
        <v>0</v>
      </c>
      <c r="AA379" s="0" t="n">
        <f aca="false">$B$18</f>
        <v>0</v>
      </c>
      <c r="AB379" s="0" t="n">
        <f aca="false">$B$18</f>
        <v>0</v>
      </c>
      <c r="AC379" s="0" t="n">
        <f aca="false">$B$18</f>
        <v>0</v>
      </c>
    </row>
    <row r="380" customFormat="false" ht="12.8" hidden="false" customHeight="false" outlineLevel="0" collapsed="false">
      <c r="A380" s="1" t="s">
        <v>39</v>
      </c>
      <c r="B380" s="1" t="n">
        <f aca="false">SUM(B378:B379)</f>
        <v>185.810690917766</v>
      </c>
      <c r="C380" s="0" t="n">
        <f aca="false">SUM(C378:C379)</f>
        <v>185.810690917766</v>
      </c>
      <c r="D380" s="1" t="n">
        <f aca="false">SUM(D378:D379)</f>
        <v>116.961045170699</v>
      </c>
      <c r="E380" s="0" t="n">
        <f aca="false">SUM(E378:E379)</f>
        <v>88.3459560260187</v>
      </c>
      <c r="F380" s="0" t="n">
        <f aca="false">SUM(F378:F379)</f>
        <v>2.50068859197704</v>
      </c>
      <c r="G380" s="10" t="n">
        <f aca="false">SUM(G378:G379)</f>
        <v>2.50068859197704</v>
      </c>
      <c r="H380" s="0" t="n">
        <f aca="false">SUM(H378:H379)</f>
        <v>2.50068859197704</v>
      </c>
      <c r="I380" s="0" t="n">
        <f aca="false">SUM(I378:I379)</f>
        <v>2.50068859197704</v>
      </c>
      <c r="J380" s="0" t="n">
        <f aca="false">SUM(J378:J379)</f>
        <v>2.50068859197704</v>
      </c>
      <c r="K380" s="0" t="n">
        <f aca="false">SUM(K378:K379)</f>
        <v>2.50068859197704</v>
      </c>
      <c r="L380" s="0" t="n">
        <f aca="false">SUM(L378:L379)</f>
        <v>2.50068859197704</v>
      </c>
      <c r="M380" s="0" t="n">
        <f aca="false">SUM(M378:M379)</f>
        <v>2.50068859197704</v>
      </c>
      <c r="N380" s="0" t="n">
        <f aca="false">SUM(N378:N379)</f>
        <v>2.25061973277934</v>
      </c>
      <c r="O380" s="0" t="n">
        <f aca="false">SUM(O378:O379)</f>
        <v>0</v>
      </c>
      <c r="P380" s="0" t="n">
        <f aca="false">SUM(P378:P379)</f>
        <v>0</v>
      </c>
      <c r="Q380" s="0" t="n">
        <f aca="false">SUM(Q378:Q379)</f>
        <v>0</v>
      </c>
      <c r="R380" s="0" t="n">
        <f aca="false">SUM(R378:R379)</f>
        <v>0</v>
      </c>
      <c r="S380" s="0" t="n">
        <f aca="false">SUM(S378:S379)</f>
        <v>0</v>
      </c>
      <c r="T380" s="0" t="n">
        <f aca="false">SUM(T378:T379)</f>
        <v>0</v>
      </c>
      <c r="U380" s="0" t="n">
        <f aca="false">SUM(U378:U379)</f>
        <v>2.25061973277934</v>
      </c>
      <c r="V380" s="0" t="n">
        <f aca="false">SUM(V378:V379)</f>
        <v>0</v>
      </c>
      <c r="W380" s="0" t="n">
        <f aca="false">SUM(W378:W379)</f>
        <v>0</v>
      </c>
      <c r="X380" s="0" t="n">
        <f aca="false">SUM(X378:X379)</f>
        <v>0</v>
      </c>
      <c r="Y380" s="0" t="n">
        <f aca="false">SUM(Y378:Y379)</f>
        <v>0</v>
      </c>
      <c r="Z380" s="0" t="n">
        <f aca="false">SUM(Z378:Z379)</f>
        <v>0</v>
      </c>
      <c r="AA380" s="0" t="n">
        <f aca="false">SUM(AA378:AA379)</f>
        <v>0</v>
      </c>
      <c r="AB380" s="0" t="n">
        <f aca="false">SUM(AB378:AB379)</f>
        <v>0</v>
      </c>
      <c r="AC380" s="0" t="n">
        <f aca="false">SUM(AC378:AC379)</f>
        <v>0</v>
      </c>
    </row>
    <row r="381" customFormat="false" ht="12.8" hidden="false" customHeight="false" outlineLevel="0" collapsed="false">
      <c r="A381" s="1" t="s">
        <v>40</v>
      </c>
      <c r="B381" s="1" t="n">
        <f aca="false">$B$73</f>
        <v>1907.7</v>
      </c>
      <c r="C381" s="0" t="n">
        <f aca="false">$B$73</f>
        <v>1907.7</v>
      </c>
      <c r="D381" s="1" t="n">
        <f aca="false">($B$73*(1-C$96))+($B$79*C$96)</f>
        <v>1889.83161061347</v>
      </c>
      <c r="E381" s="0" t="n">
        <f aca="false">($B$73*(1-D$96))+($B$79*D$96)</f>
        <v>1884.47109379751</v>
      </c>
      <c r="F381" s="0" t="n">
        <f aca="false">($B$73*(1-E$96))+($B$79*E$96)</f>
        <v>1877.50242193676</v>
      </c>
      <c r="G381" s="10" t="n">
        <f aca="false">($B$73*(1-F$96))+($B$79*F$96)</f>
        <v>1868.44314851779</v>
      </c>
      <c r="H381" s="0" t="n">
        <f aca="false">($B$73*(1-G$96))+($B$79*G$96)</f>
        <v>1852.7404079249</v>
      </c>
      <c r="I381" s="0" t="n">
        <f aca="false">($B$73*(1-H$96))+($B$79*H$96)</f>
        <v>1830.75657109486</v>
      </c>
      <c r="J381" s="0" t="n">
        <f aca="false">($B$73*(1-I$96))+($B$79*I$96)</f>
        <v>1799.97919953281</v>
      </c>
      <c r="K381" s="0" t="n">
        <f aca="false">($B$73*(1-J$96))+($B$79*J$96)</f>
        <v>1756.89087934593</v>
      </c>
      <c r="L381" s="0" t="n">
        <f aca="false">($B$73*(1-K$96))+($B$79*K$96)</f>
        <v>1696.56723108431</v>
      </c>
      <c r="M381" s="0" t="n">
        <f aca="false">($B$73*(1-L$96))+($B$79*L$96)</f>
        <v>1612.11412351803</v>
      </c>
      <c r="N381" s="0" t="n">
        <f aca="false">($B$73*(1-M$96))+($B$79*M$96)</f>
        <v>1493.87977292524</v>
      </c>
      <c r="O381" s="0" t="n">
        <f aca="false">($B$73*(1-N$96))+($B$79*N$96)</f>
        <v>1350.93265783298</v>
      </c>
      <c r="P381" s="0" t="n">
        <f aca="false">($B$73*(1-O$96))+($B$79*O$96)</f>
        <v>1145.08881210012</v>
      </c>
      <c r="Q381" s="0" t="n">
        <f aca="false">($B$73*(1-P$96))+($B$79*P$96)</f>
        <v>939.244966367265</v>
      </c>
      <c r="R381" s="0" t="n">
        <f aca="false">($B$73*(1-Q$96))+($B$79*Q$96)</f>
        <v>733.401120634409</v>
      </c>
      <c r="S381" s="0" t="n">
        <f aca="false">($B$73*(1-R$96))+($B$79*R$96)</f>
        <v>527.557274901552</v>
      </c>
      <c r="T381" s="0" t="n">
        <f aca="false">($B$73*(1-S$96))+($B$79*S$96)</f>
        <v>321.713429168695</v>
      </c>
      <c r="U381" s="0" t="n">
        <f aca="false">($B$73*(1-T$96))+($B$79*T$96)</f>
        <v>192.33461889286</v>
      </c>
      <c r="V381" s="0" t="n">
        <f aca="false">($B$73*(1-U$96))+($B$79*U$96)</f>
        <v>192.33461889286</v>
      </c>
      <c r="W381" s="0" t="n">
        <f aca="false">($B$73*(1-V$96))+($B$79*V$96)</f>
        <v>192.33461889286</v>
      </c>
      <c r="X381" s="0" t="n">
        <f aca="false">($B$73*(1-W$96))+($B$79*W$96)</f>
        <v>192.33461889286</v>
      </c>
      <c r="Y381" s="0" t="n">
        <f aca="false">($B$73*(1-X$96))+($B$79*X$96)</f>
        <v>192.33461889286</v>
      </c>
      <c r="Z381" s="0" t="n">
        <f aca="false">($B$73*(1-Y$96))+($B$79*Y$96)</f>
        <v>192.33461889286</v>
      </c>
      <c r="AA381" s="0" t="n">
        <f aca="false">($B$73*(1-Z$96))+($B$79*Z$96)</f>
        <v>192.33461889286</v>
      </c>
      <c r="AB381" s="0" t="n">
        <f aca="false">($B$73*(1-AA$96))+($B$79*AA$96)</f>
        <v>192.33461889286</v>
      </c>
      <c r="AC381" s="0" t="n">
        <f aca="false">($B$73*(1-AB$96))+($B$79*AB$96)</f>
        <v>192.33461889286</v>
      </c>
    </row>
    <row r="382" customFormat="false" ht="12.8" hidden="false" customHeight="false" outlineLevel="0" collapsed="false">
      <c r="A382" s="1" t="s">
        <v>41</v>
      </c>
      <c r="B382" s="1" t="n">
        <f aca="false">($C$57*(1-B$103))+($C$58*B$103)</f>
        <v>8018.82390447805</v>
      </c>
      <c r="C382" s="0" t="n">
        <f aca="false">($C$57*(1-C$103))+($C$58*C$103)</f>
        <v>8018.82390447805</v>
      </c>
      <c r="D382" s="1" t="n">
        <f aca="false">($C$57*(1-D$103))+($C$58*D$103)</f>
        <v>7947.4563717282</v>
      </c>
      <c r="E382" s="0" t="n">
        <f aca="false">($C$57*(1-E$103))+($C$58*E$103)</f>
        <v>7863.09994801787</v>
      </c>
      <c r="F382" s="0" t="n">
        <f aca="false">($C$57*(1-F$103))+($C$58*F$103)</f>
        <v>7763.39065519226</v>
      </c>
      <c r="G382" s="10" t="n">
        <f aca="false">($C$57*(1-G$103))+($C$58*G$103)</f>
        <v>7645.53427107239</v>
      </c>
      <c r="H382" s="0" t="n">
        <f aca="false">($C$57*(1-H$103))+($C$58*H$103)</f>
        <v>7506.22802504271</v>
      </c>
      <c r="I382" s="0" t="n">
        <f aca="false">($C$57*(1-I$103))+($C$58*I$103)</f>
        <v>7341.56804223562</v>
      </c>
      <c r="J382" s="0" t="n">
        <f aca="false">($C$57*(1-J$103))+($C$58*J$103)</f>
        <v>7146.93994255764</v>
      </c>
      <c r="K382" s="0" t="n">
        <f aca="false">($C$57*(1-K$103))+($C$58*K$103)</f>
        <v>6949.09658667299</v>
      </c>
      <c r="L382" s="0" t="n">
        <f aca="false">($C$57*(1-L$103))+($C$58*L$103)</f>
        <v>6722.17425114847</v>
      </c>
      <c r="M382" s="0" t="n">
        <f aca="false">($C$57*(1-M$103))+($C$58*M$103)</f>
        <v>6463.63203974408</v>
      </c>
      <c r="N382" s="0" t="n">
        <f aca="false">($C$57*(1-N$103))+($C$58*N$103)</f>
        <v>6171.55929107503</v>
      </c>
      <c r="O382" s="0" t="n">
        <f aca="false">($C$57*(1-O$103))+($C$58*O$103)</f>
        <v>5845.22421000188</v>
      </c>
      <c r="P382" s="0" t="n">
        <f aca="false">($C$57*(1-P$103))+($C$58*P$103)</f>
        <v>5500.11610173858</v>
      </c>
      <c r="Q382" s="0" t="n">
        <f aca="false">($C$57*(1-Q$103))+($C$58*Q$103)</f>
        <v>5184.97611034616</v>
      </c>
      <c r="R382" s="0" t="n">
        <f aca="false">($C$57*(1-R$103))+($C$58*R$103)</f>
        <v>4944.41890791029</v>
      </c>
      <c r="S382" s="0" t="n">
        <f aca="false">($C$57*(1-S$103))+($C$58*S$103)</f>
        <v>4745.92957607474</v>
      </c>
      <c r="T382" s="0" t="n">
        <f aca="false">($C$57*(1-T$103))+($C$58*T$103)</f>
        <v>4594.41298923435</v>
      </c>
      <c r="U382" s="0" t="n">
        <f aca="false">($C$57*(1-U$103))+($C$58*U$103)</f>
        <v>4494.57403095288</v>
      </c>
      <c r="V382" s="0" t="n">
        <f aca="false">($C$57*(1-V$103))+($C$58*V$103)</f>
        <v>4450.44726698532</v>
      </c>
      <c r="W382" s="0" t="n">
        <f aca="false">($C$57*(1-W$103))+($C$58*W$103)</f>
        <v>4450.44726698532</v>
      </c>
      <c r="X382" s="0" t="n">
        <f aca="false">($C$57*(1-X$103))+($C$58*X$103)</f>
        <v>4450.44726698532</v>
      </c>
      <c r="Y382" s="0" t="n">
        <f aca="false">($C$57*(1-Y$103))+($C$58*Y$103)</f>
        <v>4450.44726698532</v>
      </c>
      <c r="Z382" s="0" t="n">
        <f aca="false">($C$57*(1-Z$103))+($C$58*Z$103)</f>
        <v>4450.44726698532</v>
      </c>
      <c r="AA382" s="0" t="n">
        <f aca="false">($C$57*(1-AA$103))+($C$58*AA$103)</f>
        <v>4450.44726698532</v>
      </c>
      <c r="AB382" s="0" t="n">
        <f aca="false">($C$57*(1-AB$103))+($C$58*AB$103)</f>
        <v>4450.44726698532</v>
      </c>
      <c r="AC382" s="0" t="n">
        <f aca="false">($C$57*(1-AC$103))+($C$58*AC$103)</f>
        <v>4450.44726698532</v>
      </c>
    </row>
    <row r="383" customFormat="false" ht="12.8" hidden="false" customHeight="false" outlineLevel="0" collapsed="false">
      <c r="A383" s="1" t="s">
        <v>20</v>
      </c>
      <c r="B383" s="1" t="n">
        <f aca="false">SUM(B378:B382)</f>
        <v>10298.1452863136</v>
      </c>
      <c r="C383" s="0" t="n">
        <f aca="false">SUM(C378:C382)</f>
        <v>10298.1452863136</v>
      </c>
      <c r="D383" s="1" t="n">
        <f aca="false">SUM(D378:D382)</f>
        <v>10071.2100726831</v>
      </c>
      <c r="E383" s="0" t="n">
        <f aca="false">SUM(E378:E382)</f>
        <v>9924.26295386741</v>
      </c>
      <c r="F383" s="0" t="n">
        <f aca="false">SUM(F378:F382)</f>
        <v>9645.89445431297</v>
      </c>
      <c r="G383" s="10" t="n">
        <f aca="false">SUM(G378:G382)</f>
        <v>9518.97879677413</v>
      </c>
      <c r="H383" s="0" t="n">
        <f aca="false">SUM(H378:H382)</f>
        <v>9363.96981015156</v>
      </c>
      <c r="I383" s="0" t="n">
        <f aca="false">SUM(I378:I382)</f>
        <v>9177.32599051444</v>
      </c>
      <c r="J383" s="0" t="n">
        <f aca="false">SUM(J378:J382)</f>
        <v>8951.92051927441</v>
      </c>
      <c r="K383" s="0" t="n">
        <f aca="false">SUM(K378:K382)</f>
        <v>8710.98884320287</v>
      </c>
      <c r="L383" s="0" t="n">
        <f aca="false">SUM(L378:L382)</f>
        <v>8423.74285941673</v>
      </c>
      <c r="M383" s="0" t="n">
        <f aca="false">SUM(M378:M382)</f>
        <v>8080.74754044606</v>
      </c>
      <c r="N383" s="0" t="n">
        <f aca="false">SUM(N378:N382)</f>
        <v>7669.94030346582</v>
      </c>
      <c r="O383" s="0" t="n">
        <f aca="false">SUM(O378:O382)</f>
        <v>7196.15686783486</v>
      </c>
      <c r="P383" s="0" t="n">
        <f aca="false">SUM(P378:P382)</f>
        <v>6645.2049138387</v>
      </c>
      <c r="Q383" s="0" t="n">
        <f aca="false">SUM(Q378:Q382)</f>
        <v>6124.22107671343</v>
      </c>
      <c r="R383" s="0" t="n">
        <f aca="false">SUM(R378:R382)</f>
        <v>5677.82002854469</v>
      </c>
      <c r="S383" s="0" t="n">
        <f aca="false">SUM(S378:S382)</f>
        <v>5273.48685097629</v>
      </c>
      <c r="T383" s="0" t="n">
        <f aca="false">SUM(T378:T382)</f>
        <v>4916.12641840304</v>
      </c>
      <c r="U383" s="0" t="n">
        <f aca="false">SUM(U378:U382)</f>
        <v>4691.4098893113</v>
      </c>
      <c r="V383" s="0" t="n">
        <f aca="false">SUM(V378:V382)</f>
        <v>4642.78188587818</v>
      </c>
      <c r="W383" s="0" t="n">
        <f aca="false">SUM(W378:W382)</f>
        <v>4642.78188587818</v>
      </c>
      <c r="X383" s="0" t="n">
        <f aca="false">SUM(X378:X382)</f>
        <v>4642.78188587818</v>
      </c>
      <c r="Y383" s="0" t="n">
        <f aca="false">SUM(Y378:Y382)</f>
        <v>4642.78188587818</v>
      </c>
      <c r="Z383" s="0" t="n">
        <f aca="false">SUM(Z378:Z382)</f>
        <v>4642.78188587818</v>
      </c>
      <c r="AA383" s="0" t="n">
        <f aca="false">SUM(AA378:AA382)</f>
        <v>4642.78188587818</v>
      </c>
      <c r="AB383" s="0" t="n">
        <f aca="false">SUM(AB378:AB382)</f>
        <v>4642.78188587818</v>
      </c>
      <c r="AC383" s="0" t="n">
        <f aca="false">SUM(AC378:AC382)</f>
        <v>4642.78188587818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D257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B9" activeCellId="0" sqref="B3:D14"/>
    </sheetView>
  </sheetViews>
  <sheetFormatPr defaultColWidth="12.8046875" defaultRowHeight="12.8" zeroHeight="false" outlineLevelRow="0" outlineLevelCol="0"/>
  <cols>
    <col collapsed="false" customWidth="true" hidden="false" outlineLevel="0" max="1" min="1" style="1" width="54.96"/>
    <col collapsed="false" customWidth="true" hidden="false" outlineLevel="0" max="2" min="2" style="1" width="23.93"/>
    <col collapsed="false" customWidth="true" hidden="false" outlineLevel="0" max="4" min="4" style="1" width="35.04"/>
  </cols>
  <sheetData>
    <row r="1" customFormat="false" ht="12.8" hidden="false" customHeight="false" outlineLevel="0" collapsed="false">
      <c r="A1" s="1" t="s">
        <v>223</v>
      </c>
      <c r="B1" s="1" t="s">
        <v>27</v>
      </c>
      <c r="C1" s="1" t="s">
        <v>588</v>
      </c>
    </row>
    <row r="2" customFormat="false" ht="35.05" hidden="false" customHeight="false" outlineLevel="0" collapsed="false">
      <c r="A2" s="1" t="s">
        <v>229</v>
      </c>
      <c r="B2" s="2" t="n">
        <v>1189.49</v>
      </c>
      <c r="C2" s="2" t="n">
        <f aca="false">B2/0.1071</f>
        <v>11106.3492063492</v>
      </c>
      <c r="D2" s="2" t="n">
        <f aca="false">C2*12</f>
        <v>133276.19047619</v>
      </c>
    </row>
    <row r="3" customFormat="false" ht="35.05" hidden="false" customHeight="false" outlineLevel="0" collapsed="false">
      <c r="A3" s="1" t="s">
        <v>231</v>
      </c>
      <c r="B3" s="2" t="n">
        <v>1292.01</v>
      </c>
      <c r="C3" s="2" t="n">
        <f aca="false">B3/0.1071</f>
        <v>12063.5854341737</v>
      </c>
      <c r="D3" s="2" t="n">
        <f aca="false">C3*12</f>
        <v>144763.025210084</v>
      </c>
    </row>
    <row r="4" customFormat="false" ht="35.05" hidden="false" customHeight="false" outlineLevel="0" collapsed="false">
      <c r="A4" s="1" t="s">
        <v>233</v>
      </c>
      <c r="B4" s="2" t="n">
        <f aca="false">525.58*2</f>
        <v>1051.16</v>
      </c>
      <c r="C4" s="2" t="n">
        <f aca="false">B4/0.1071</f>
        <v>9814.75256769375</v>
      </c>
      <c r="D4" s="2" t="n">
        <f aca="false">C4*12</f>
        <v>117777.030812325</v>
      </c>
    </row>
    <row r="5" customFormat="false" ht="23.85" hidden="false" customHeight="false" outlineLevel="0" collapsed="false">
      <c r="A5" s="1" t="s">
        <v>235</v>
      </c>
      <c r="B5" s="2" t="n">
        <v>351.07</v>
      </c>
      <c r="C5" s="2" t="n">
        <f aca="false">B5/0.1071</f>
        <v>3277.96451914099</v>
      </c>
      <c r="D5" s="2" t="n">
        <f aca="false">C5*12</f>
        <v>39335.5742296919</v>
      </c>
    </row>
    <row r="6" s="130" customFormat="true" ht="12.8" hidden="false" customHeight="false" outlineLevel="0" collapsed="false">
      <c r="A6" s="1" t="s">
        <v>236</v>
      </c>
      <c r="B6" s="2" t="n">
        <v>602.56</v>
      </c>
      <c r="C6" s="2" t="n">
        <f aca="false">B6/0.1071</f>
        <v>5626.14379084967</v>
      </c>
      <c r="D6" s="2" t="n">
        <f aca="false">C6*12</f>
        <v>67513.7254901961</v>
      </c>
      <c r="E6" s="0"/>
      <c r="F6" s="0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</row>
    <row r="7" s="130" customFormat="true" ht="12.8" hidden="false" customHeight="false" outlineLevel="0" collapsed="false">
      <c r="A7" s="1" t="s">
        <v>20</v>
      </c>
      <c r="B7" s="2" t="n">
        <f aca="false">SUM(B2:B6)</f>
        <v>4486.29</v>
      </c>
      <c r="C7" s="2" t="n">
        <f aca="false">B7/0.1071</f>
        <v>41888.7955182073</v>
      </c>
      <c r="D7" s="2" t="n">
        <f aca="false">C7*12</f>
        <v>502665.546218487</v>
      </c>
      <c r="E7" s="0"/>
      <c r="F7" s="0"/>
      <c r="G7" s="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</row>
    <row r="8" s="130" customFormat="true" ht="12.8" hidden="false" customHeight="false" outlineLevel="0" collapsed="false">
      <c r="A8" s="1" t="s">
        <v>589</v>
      </c>
      <c r="B8" s="4" t="n">
        <f aca="false">(B7/0.1071)/1000</f>
        <v>41.8887955182073</v>
      </c>
      <c r="C8" s="0"/>
      <c r="D8" s="10"/>
      <c r="E8" s="0"/>
      <c r="F8" s="0"/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</row>
    <row r="9" customFormat="false" ht="12.8" hidden="false" customHeight="false" outlineLevel="0" collapsed="false">
      <c r="A9" s="1" t="s">
        <v>238</v>
      </c>
      <c r="B9" s="4" t="n">
        <f aca="false">($B$10/(502666/1000))</f>
        <v>2.6359451405108</v>
      </c>
      <c r="C9" s="2" t="n">
        <v>2.64</v>
      </c>
    </row>
    <row r="10" s="130" customFormat="true" ht="35.05" hidden="false" customHeight="false" outlineLevel="0" collapsed="false">
      <c r="A10" s="1" t="s">
        <v>239</v>
      </c>
      <c r="B10" s="4" t="n">
        <v>1325</v>
      </c>
      <c r="C10" s="1" t="n">
        <v>4478.5</v>
      </c>
      <c r="D10" s="1" t="n">
        <f aca="false">373.2/41888.8</f>
        <v>0.00890930272531082</v>
      </c>
      <c r="E10" s="0"/>
      <c r="F10" s="0"/>
      <c r="G10" s="0"/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</row>
    <row r="11" s="130" customFormat="true" ht="12.8" hidden="false" customHeight="false" outlineLevel="0" collapsed="false">
      <c r="A11" s="1"/>
      <c r="B11" s="1"/>
      <c r="C11" s="0"/>
      <c r="D11" s="1"/>
      <c r="E11" s="0"/>
      <c r="F11" s="0"/>
      <c r="G11" s="0"/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</row>
    <row r="12" s="130" customFormat="true" ht="12.8" hidden="false" customHeight="false" outlineLevel="0" collapsed="false">
      <c r="A12" s="1" t="s">
        <v>240</v>
      </c>
      <c r="B12" s="1"/>
      <c r="C12" s="0"/>
      <c r="D12" s="1"/>
      <c r="E12" s="0"/>
      <c r="F12" s="0"/>
      <c r="G12" s="0"/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</row>
    <row r="13" customFormat="false" ht="12.8" hidden="false" customHeight="false" outlineLevel="0" collapsed="false">
      <c r="A13" s="1" t="s">
        <v>229</v>
      </c>
      <c r="B13" s="2" t="n">
        <f aca="false">1189.49*0.3</f>
        <v>356.847</v>
      </c>
      <c r="C13" s="2" t="n">
        <f aca="false">B13/0.1071</f>
        <v>3331.90476190476</v>
      </c>
      <c r="D13" s="2" t="n">
        <f aca="false">C13/730.5</f>
        <v>4.56112903751507</v>
      </c>
      <c r="E13" s="2" t="n">
        <f aca="false">D13*19.3</f>
        <v>88.0297904240409</v>
      </c>
    </row>
    <row r="14" customFormat="false" ht="12.8" hidden="false" customHeight="false" outlineLevel="0" collapsed="false">
      <c r="A14" s="1" t="s">
        <v>231</v>
      </c>
      <c r="B14" s="2" t="n">
        <f aca="false">1292.01*0.5</f>
        <v>646.005</v>
      </c>
      <c r="C14" s="2" t="n">
        <f aca="false">B14/0.1071</f>
        <v>6031.79271708683</v>
      </c>
      <c r="D14" s="2" t="n">
        <f aca="false">(D13*4.7)*1000</f>
        <v>21437.3064763209</v>
      </c>
    </row>
    <row r="15" customFormat="false" ht="12.8" hidden="false" customHeight="false" outlineLevel="0" collapsed="false">
      <c r="A15" s="1" t="s">
        <v>20</v>
      </c>
      <c r="B15" s="2" t="n">
        <f aca="false">SUM(B13:B14)</f>
        <v>1002.852</v>
      </c>
      <c r="C15" s="2" t="n">
        <f aca="false">B15/0.1071</f>
        <v>9363.6974789916</v>
      </c>
      <c r="D15" s="2" t="n">
        <f aca="false">D14*(4/3)</f>
        <v>28583.0753017611</v>
      </c>
    </row>
    <row r="16" customFormat="false" ht="12.8" hidden="false" customHeight="false" outlineLevel="0" collapsed="false">
      <c r="A16" s="1" t="s">
        <v>589</v>
      </c>
      <c r="B16" s="4" t="n">
        <f aca="false">(B15/0.1071)/1000</f>
        <v>9.3636974789916</v>
      </c>
    </row>
    <row r="17" customFormat="false" ht="12.8" hidden="false" customHeight="false" outlineLevel="0" collapsed="false">
      <c r="A17" s="1" t="s">
        <v>238</v>
      </c>
      <c r="B17" s="4" t="n">
        <f aca="false">($B$10/(502666/1000))</f>
        <v>2.6359451405108</v>
      </c>
    </row>
    <row r="18" customFormat="false" ht="35.05" hidden="false" customHeight="false" outlineLevel="0" collapsed="false">
      <c r="A18" s="1" t="s">
        <v>239</v>
      </c>
      <c r="B18" s="4" t="n">
        <f aca="false">((B16*B17)*12)</f>
        <v>296.186314403533</v>
      </c>
      <c r="D18" s="2" t="n">
        <f aca="false">(((C14/1000)*B17)*12)/2204.6</f>
        <v>0.0865434529683759</v>
      </c>
    </row>
    <row r="19" customFormat="false" ht="12.8" hidden="false" customHeight="false" outlineLevel="0" collapsed="false">
      <c r="B19" s="4"/>
      <c r="C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</row>
    <row r="20" customFormat="false" ht="12.8" hidden="false" customHeight="false" outlineLevel="0" collapsed="false">
      <c r="A20" s="1" t="s">
        <v>242</v>
      </c>
      <c r="B20" s="136" t="n">
        <f aca="false">B10-B18</f>
        <v>1028.81368559647</v>
      </c>
      <c r="C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</row>
    <row r="21" customFormat="false" ht="12.8" hidden="false" customHeight="false" outlineLevel="0" collapsed="false">
      <c r="C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</row>
    <row r="22" customFormat="false" ht="12.8" hidden="false" customHeight="false" outlineLevel="0" collapsed="false">
      <c r="C22" s="10"/>
      <c r="D22" s="1" t="s">
        <v>243</v>
      </c>
      <c r="E22" s="176" t="n">
        <f aca="false">31568*1000000</f>
        <v>31568000000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</row>
    <row r="23" customFormat="false" ht="12.8" hidden="false" customHeight="false" outlineLevel="0" collapsed="false">
      <c r="C23" s="10"/>
      <c r="D23" s="1" t="s">
        <v>244</v>
      </c>
      <c r="E23" s="1" t="n">
        <f aca="false">(E22)/1800717</f>
        <v>17530.7946778978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</row>
    <row r="24" customFormat="false" ht="12.8" hidden="false" customHeight="false" outlineLevel="0" collapsed="false">
      <c r="A24" s="1" t="s">
        <v>245</v>
      </c>
    </row>
    <row r="25" customFormat="false" ht="12.8" hidden="false" customHeight="false" outlineLevel="0" collapsed="false">
      <c r="A25" s="1" t="s">
        <v>246</v>
      </c>
      <c r="B25" s="1" t="n">
        <v>8</v>
      </c>
      <c r="C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</row>
    <row r="26" customFormat="false" ht="12.8" hidden="false" customHeight="false" outlineLevel="0" collapsed="false">
      <c r="A26" s="1" t="s">
        <v>247</v>
      </c>
      <c r="B26" s="1" t="n">
        <f aca="false">E23</f>
        <v>17530.7946778978</v>
      </c>
      <c r="C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</row>
    <row r="27" customFormat="false" ht="12.8" hidden="false" customHeight="false" outlineLevel="0" collapsed="false">
      <c r="A27" s="1" t="s">
        <v>251</v>
      </c>
      <c r="B27" s="1" t="n">
        <v>373</v>
      </c>
      <c r="C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customFormat="false" ht="12.8" hidden="false" customHeight="false" outlineLevel="0" collapsed="false">
      <c r="A28" s="1" t="s">
        <v>590</v>
      </c>
      <c r="B28" s="1" t="n">
        <f aca="false">(B26*B27)/1000000</f>
        <v>6.53898641485586</v>
      </c>
      <c r="C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</row>
    <row r="29" customFormat="false" ht="12.8" hidden="false" customHeight="false" outlineLevel="0" collapsed="false">
      <c r="C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</row>
    <row r="30" customFormat="false" ht="12.8" hidden="false" customHeight="false" outlineLevel="0" collapsed="false">
      <c r="A30" s="1" t="s">
        <v>591</v>
      </c>
      <c r="B30" s="1" t="n">
        <v>8</v>
      </c>
      <c r="C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</row>
    <row r="31" customFormat="false" ht="12.8" hidden="false" customHeight="false" outlineLevel="0" collapsed="false">
      <c r="A31" s="1" t="s">
        <v>247</v>
      </c>
      <c r="B31" s="1" t="n">
        <f aca="false">E23</f>
        <v>17530.7946778978</v>
      </c>
      <c r="C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</row>
    <row r="32" customFormat="false" ht="12.8" hidden="false" customHeight="false" outlineLevel="0" collapsed="false">
      <c r="A32" s="1" t="s">
        <v>251</v>
      </c>
      <c r="B32" s="1" t="n">
        <v>126</v>
      </c>
      <c r="C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</row>
    <row r="33" customFormat="false" ht="12.8" hidden="false" customHeight="false" outlineLevel="0" collapsed="false">
      <c r="A33" s="1" t="s">
        <v>590</v>
      </c>
      <c r="B33" s="1" t="n">
        <f aca="false">(B31*B32)/1000000</f>
        <v>2.20888012941512</v>
      </c>
      <c r="C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customFormat="false" ht="12.8" hidden="false" customHeight="false" outlineLevel="0" collapsed="false">
      <c r="C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customFormat="false" ht="12.8" hidden="false" customHeight="false" outlineLevel="0" collapsed="false">
      <c r="A35" s="1" t="s">
        <v>259</v>
      </c>
      <c r="B35" s="1" t="n">
        <f aca="false">B25*(B28-B33)</f>
        <v>34.640850283526</v>
      </c>
    </row>
    <row r="36" customFormat="false" ht="17.35" hidden="false" customHeight="false" outlineLevel="0" collapsed="false"/>
    <row r="38" customFormat="false" ht="12.8" hidden="false" customHeight="false" outlineLevel="0" collapsed="false">
      <c r="A38" s="1" t="s">
        <v>255</v>
      </c>
    </row>
    <row r="39" customFormat="false" ht="12.8" hidden="false" customHeight="false" outlineLevel="0" collapsed="false">
      <c r="A39" s="1" t="s">
        <v>256</v>
      </c>
      <c r="B39" s="1" t="n">
        <v>2</v>
      </c>
    </row>
    <row r="40" customFormat="false" ht="12.8" hidden="false" customHeight="false" outlineLevel="0" collapsed="false">
      <c r="A40" s="1" t="s">
        <v>247</v>
      </c>
      <c r="B40" s="1" t="n">
        <f aca="false">$E$23</f>
        <v>17530.7946778978</v>
      </c>
    </row>
    <row r="41" customFormat="false" ht="12.8" hidden="false" customHeight="false" outlineLevel="0" collapsed="false">
      <c r="A41" s="1" t="s">
        <v>251</v>
      </c>
      <c r="B41" s="1" t="n">
        <v>543</v>
      </c>
    </row>
    <row r="42" customFormat="false" ht="12.8" hidden="false" customHeight="false" outlineLevel="0" collapsed="false">
      <c r="A42" s="1" t="s">
        <v>590</v>
      </c>
      <c r="B42" s="1" t="n">
        <f aca="false">(B40*B41)/1000000</f>
        <v>9.51922151009848</v>
      </c>
    </row>
    <row r="44" customFormat="false" ht="12.8" hidden="false" customHeight="false" outlineLevel="0" collapsed="false">
      <c r="A44" s="1" t="s">
        <v>592</v>
      </c>
      <c r="B44" s="1" t="n">
        <v>2</v>
      </c>
    </row>
    <row r="45" customFormat="false" ht="12.8" hidden="false" customHeight="false" outlineLevel="0" collapsed="false">
      <c r="A45" s="1" t="s">
        <v>247</v>
      </c>
      <c r="B45" s="1" t="n">
        <f aca="false">$E$23</f>
        <v>17530.7946778978</v>
      </c>
    </row>
    <row r="46" customFormat="false" ht="12.8" hidden="false" customHeight="false" outlineLevel="0" collapsed="false">
      <c r="A46" s="1" t="s">
        <v>251</v>
      </c>
      <c r="B46" s="1" t="n">
        <v>182</v>
      </c>
    </row>
    <row r="47" s="130" customFormat="true" ht="12.8" hidden="false" customHeight="false" outlineLevel="0" collapsed="false">
      <c r="A47" s="1" t="s">
        <v>590</v>
      </c>
      <c r="B47" s="1" t="n">
        <f aca="false">(B45*B46)/1000000</f>
        <v>3.19060463137739</v>
      </c>
      <c r="C47" s="0"/>
      <c r="D47" s="1"/>
      <c r="E47" s="0"/>
      <c r="F47" s="0"/>
      <c r="G47" s="0"/>
      <c r="H47" s="0"/>
      <c r="I47" s="0"/>
      <c r="J47" s="0"/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</row>
    <row r="49" customFormat="false" ht="12.8" hidden="false" customHeight="false" outlineLevel="0" collapsed="false">
      <c r="A49" s="1" t="s">
        <v>259</v>
      </c>
      <c r="B49" s="1" t="n">
        <f aca="false">B39*(B42-B47)</f>
        <v>12.6572337574422</v>
      </c>
    </row>
    <row r="51" customFormat="false" ht="12.8" hidden="false" customHeight="false" outlineLevel="0" collapsed="false">
      <c r="A51" s="124" t="s">
        <v>260</v>
      </c>
      <c r="B51" s="124" t="n">
        <f aca="false">B49+B42</f>
        <v>22.1764552675407</v>
      </c>
    </row>
    <row r="53" s="130" customFormat="true" ht="12.8" hidden="false" customHeight="false" outlineLevel="0" collapsed="false">
      <c r="A53" s="1" t="s">
        <v>261</v>
      </c>
      <c r="B53" s="3" t="n">
        <f aca="false">B54-B55</f>
        <v>343.484398444502</v>
      </c>
      <c r="C53" s="0"/>
      <c r="D53" s="1"/>
      <c r="E53" s="0"/>
      <c r="F53" s="0"/>
      <c r="G53" s="0"/>
      <c r="H53" s="0"/>
      <c r="I53" s="0"/>
      <c r="J53" s="0"/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</row>
    <row r="54" customFormat="false" ht="12.8" hidden="false" customHeight="false" outlineLevel="0" collapsed="false">
      <c r="A54" s="1" t="s">
        <v>262</v>
      </c>
      <c r="B54" s="1" t="n">
        <f aca="false">B10+(B28*8)+(B42*2)</f>
        <v>1396.35033433904</v>
      </c>
      <c r="D54" s="1" t="n">
        <f aca="false">1-(B55/B54)</f>
        <v>0.245987264082325</v>
      </c>
    </row>
    <row r="55" customFormat="false" ht="12.8" hidden="false" customHeight="false" outlineLevel="0" collapsed="false">
      <c r="A55" s="1" t="s">
        <v>263</v>
      </c>
      <c r="B55" s="1" t="n">
        <f aca="false">B20+(B33*8)+(B47*2)</f>
        <v>1052.86593589454</v>
      </c>
    </row>
    <row r="57" customFormat="false" ht="12.8" hidden="false" customHeight="false" outlineLevel="0" collapsed="false">
      <c r="A57" s="1" t="s">
        <v>593</v>
      </c>
      <c r="B57" s="1" t="n">
        <v>394</v>
      </c>
      <c r="C57" s="1" t="n">
        <f aca="false">(B57*B$60*B$62)/1000000</f>
        <v>4185.72266047358</v>
      </c>
    </row>
    <row r="58" customFormat="false" ht="12.8" hidden="false" customHeight="false" outlineLevel="0" collapsed="false">
      <c r="A58" s="1" t="s">
        <v>594</v>
      </c>
      <c r="B58" s="1" t="n">
        <v>207</v>
      </c>
      <c r="C58" s="1" t="n">
        <f aca="false">(B32*B$60*B$62)/1000000</f>
        <v>1338.58135842556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30"/>
    </row>
    <row r="59" customFormat="false" ht="12.8" hidden="false" customHeight="false" outlineLevel="0" collapsed="false">
      <c r="A59" s="1" t="s">
        <v>271</v>
      </c>
      <c r="B59" s="1" t="n">
        <f aca="false">B57-B58</f>
        <v>187</v>
      </c>
      <c r="C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30"/>
    </row>
    <row r="60" customFormat="false" ht="12.8" hidden="false" customHeight="false" outlineLevel="0" collapsed="false">
      <c r="A60" s="1" t="s">
        <v>595</v>
      </c>
      <c r="B60" s="1" t="n">
        <f aca="false">E23</f>
        <v>17530.7946778978</v>
      </c>
      <c r="C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30"/>
    </row>
    <row r="61" customFormat="false" ht="12.8" hidden="false" customHeight="false" outlineLevel="0" collapsed="false">
      <c r="A61" s="1" t="s">
        <v>273</v>
      </c>
      <c r="B61" s="1" t="n">
        <f aca="false">B60*B59</f>
        <v>3278258.60476688</v>
      </c>
      <c r="C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30"/>
    </row>
    <row r="62" customFormat="false" ht="12.8" hidden="false" customHeight="false" outlineLevel="0" collapsed="false">
      <c r="A62" s="1" t="s">
        <v>596</v>
      </c>
      <c r="B62" s="1" t="n">
        <v>606</v>
      </c>
      <c r="C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30"/>
    </row>
    <row r="63" customFormat="false" ht="12.8" hidden="false" customHeight="false" outlineLevel="0" collapsed="false">
      <c r="A63" s="1" t="s">
        <v>597</v>
      </c>
      <c r="B63" s="1" t="n">
        <f aca="false">B62*B61</f>
        <v>1986624714.48873</v>
      </c>
    </row>
    <row r="64" customFormat="false" ht="12.8" hidden="false" customHeight="false" outlineLevel="0" collapsed="false">
      <c r="A64" s="1" t="s">
        <v>598</v>
      </c>
      <c r="B64" s="1" t="n">
        <f aca="false">B63/1000000</f>
        <v>1986.62471448873</v>
      </c>
      <c r="C64" s="1" t="n">
        <f aca="false">B64*5</f>
        <v>9933.12357244365</v>
      </c>
      <c r="D64" s="1" t="n">
        <f aca="false">C64*2</f>
        <v>19866.2471448873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30"/>
    </row>
    <row r="65" customFormat="false" ht="12.8" hidden="false" customHeight="false" outlineLevel="0" collapsed="false">
      <c r="C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30"/>
    </row>
    <row r="66" customFormat="false" ht="12.8" hidden="false" customHeight="false" outlineLevel="0" collapsed="false">
      <c r="A66" s="1" t="s">
        <v>283</v>
      </c>
      <c r="B66" s="1" t="n">
        <v>9773</v>
      </c>
      <c r="C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30"/>
    </row>
    <row r="67" customFormat="false" ht="12.8" hidden="false" customHeight="false" outlineLevel="0" collapsed="false">
      <c r="A67" s="1" t="s">
        <v>278</v>
      </c>
      <c r="B67" s="1" t="n">
        <v>480</v>
      </c>
      <c r="C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30"/>
    </row>
    <row r="68" customFormat="false" ht="12.8" hidden="false" customHeight="false" outlineLevel="0" collapsed="false">
      <c r="A68" s="1" t="s">
        <v>279</v>
      </c>
      <c r="B68" s="189" t="n">
        <f aca="false">9773*480</f>
        <v>4691040</v>
      </c>
      <c r="C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30"/>
    </row>
    <row r="69" customFormat="false" ht="12.8" hidden="false" customHeight="false" outlineLevel="0" collapsed="false">
      <c r="A69" s="1" t="s">
        <v>599</v>
      </c>
      <c r="B69" s="1" t="n">
        <f aca="false">B9/1000</f>
        <v>0.0026359451405108</v>
      </c>
      <c r="C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30"/>
    </row>
    <row r="70" customFormat="false" ht="12.8" hidden="false" customHeight="false" outlineLevel="0" collapsed="false">
      <c r="A70" s="1" t="s">
        <v>281</v>
      </c>
      <c r="B70" s="4" t="n">
        <f aca="false">B69*B68</f>
        <v>12365.3240919418</v>
      </c>
      <c r="C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30"/>
    </row>
    <row r="71" customFormat="false" ht="12.8" hidden="false" customHeight="false" outlineLevel="0" collapsed="false">
      <c r="C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30"/>
    </row>
    <row r="72" customFormat="false" ht="12.8" hidden="false" customHeight="false" outlineLevel="0" collapsed="false">
      <c r="A72" s="1" t="s">
        <v>283</v>
      </c>
      <c r="B72" s="1" t="n">
        <v>9773</v>
      </c>
      <c r="C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30"/>
    </row>
    <row r="73" customFormat="false" ht="12.8" hidden="false" customHeight="false" outlineLevel="0" collapsed="false">
      <c r="A73" s="124" t="s">
        <v>600</v>
      </c>
      <c r="B73" s="1" t="n">
        <v>0.09038953</v>
      </c>
      <c r="C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30"/>
    </row>
    <row r="74" customFormat="false" ht="12.8" hidden="false" customHeight="false" outlineLevel="0" collapsed="false">
      <c r="A74" s="1" t="s">
        <v>278</v>
      </c>
      <c r="B74" s="1" t="n">
        <v>480</v>
      </c>
    </row>
    <row r="75" customFormat="false" ht="12.8" hidden="false" customHeight="false" outlineLevel="0" collapsed="false">
      <c r="A75" s="1" t="s">
        <v>601</v>
      </c>
      <c r="B75" s="1" t="n">
        <f aca="false">B73/2204.6</f>
        <v>4.10004218452327E-005</v>
      </c>
    </row>
    <row r="76" customFormat="false" ht="12.8" hidden="false" customHeight="false" outlineLevel="0" collapsed="false">
      <c r="A76" s="1" t="s">
        <v>280</v>
      </c>
      <c r="B76" s="1" t="n">
        <f aca="false">B72*B73*B74</f>
        <v>424020.9008112</v>
      </c>
    </row>
    <row r="77" customFormat="false" ht="12.8" hidden="false" customHeight="false" outlineLevel="0" collapsed="false">
      <c r="A77" s="1" t="s">
        <v>285</v>
      </c>
      <c r="B77" s="1" t="n">
        <f aca="false">B76/2204.6</f>
        <v>192.33461889286</v>
      </c>
    </row>
    <row r="79" customFormat="false" ht="12.8" hidden="false" customHeight="false" outlineLevel="0" collapsed="false">
      <c r="A79" s="1" t="s">
        <v>286</v>
      </c>
      <c r="B79" s="4" t="n">
        <f aca="false">((B66*B67)-(B72*B73))/2204.6</f>
        <v>2127.44108823519</v>
      </c>
    </row>
    <row r="80" customFormat="false" ht="12.8" hidden="false" customHeight="false" outlineLevel="0" collapsed="false">
      <c r="A80" s="1" t="s">
        <v>287</v>
      </c>
      <c r="B80" s="4" t="n">
        <f aca="false">B$79*B$67*0.05</f>
        <v>51058.5861176447</v>
      </c>
    </row>
    <row r="81" customFormat="false" ht="12.8" hidden="false" customHeight="false" outlineLevel="0" collapsed="false">
      <c r="A81" s="130" t="s">
        <v>288</v>
      </c>
      <c r="B81" s="4" t="n">
        <f aca="false">B$79*B$67*0.1</f>
        <v>102117.172235289</v>
      </c>
    </row>
    <row r="82" customFormat="false" ht="12.8" hidden="false" customHeight="false" outlineLevel="0" collapsed="false">
      <c r="A82" s="130" t="s">
        <v>289</v>
      </c>
      <c r="B82" s="4" t="n">
        <f aca="false">B$79*B$67*0.25</f>
        <v>255292.930588223</v>
      </c>
    </row>
    <row r="83" customFormat="false" ht="12.8" hidden="false" customHeight="false" outlineLevel="0" collapsed="false">
      <c r="A83" s="130" t="s">
        <v>295</v>
      </c>
      <c r="B83" s="1" t="s">
        <v>575</v>
      </c>
      <c r="C83" s="1" t="n">
        <v>2024</v>
      </c>
      <c r="D83" s="1" t="n">
        <v>2025</v>
      </c>
      <c r="E83" s="1" t="n">
        <v>2026</v>
      </c>
      <c r="F83" s="1" t="n">
        <v>2027</v>
      </c>
      <c r="G83" s="1" t="n">
        <v>2028</v>
      </c>
      <c r="H83" s="1" t="n">
        <v>2029</v>
      </c>
      <c r="I83" s="1" t="n">
        <v>2030</v>
      </c>
      <c r="J83" s="1" t="n">
        <v>2031</v>
      </c>
      <c r="K83" s="1" t="n">
        <v>2032</v>
      </c>
      <c r="L83" s="1" t="n">
        <v>2033</v>
      </c>
      <c r="M83" s="1" t="n">
        <v>2034</v>
      </c>
      <c r="N83" s="1" t="n">
        <v>2035</v>
      </c>
      <c r="O83" s="1" t="n">
        <v>2036</v>
      </c>
      <c r="P83" s="1" t="n">
        <v>2037</v>
      </c>
      <c r="Q83" s="1" t="n">
        <v>2038</v>
      </c>
      <c r="R83" s="1" t="n">
        <v>2039</v>
      </c>
      <c r="S83" s="1" t="n">
        <v>2040</v>
      </c>
      <c r="T83" s="1" t="n">
        <v>2041</v>
      </c>
      <c r="U83" s="1" t="n">
        <v>2042</v>
      </c>
      <c r="V83" s="1" t="n">
        <v>2043</v>
      </c>
      <c r="W83" s="1" t="n">
        <v>2044</v>
      </c>
      <c r="X83" s="1" t="n">
        <v>2045</v>
      </c>
      <c r="Y83" s="1" t="n">
        <v>2046</v>
      </c>
      <c r="Z83" s="1" t="n">
        <v>2047</v>
      </c>
      <c r="AA83" s="1" t="n">
        <v>2048</v>
      </c>
      <c r="AB83" s="1" t="n">
        <v>2049</v>
      </c>
      <c r="AC83" s="1" t="n">
        <v>2050</v>
      </c>
    </row>
    <row r="84" customFormat="false" ht="12.8" hidden="false" customHeight="false" outlineLevel="0" collapsed="false">
      <c r="A84" s="130" t="s">
        <v>297</v>
      </c>
      <c r="B84" s="130" t="n">
        <v>0.021</v>
      </c>
      <c r="C84" s="130" t="n">
        <f aca="false">B84*1.182</f>
        <v>0.024822</v>
      </c>
      <c r="D84" s="130" t="n">
        <f aca="false">C84*1.182</f>
        <v>0.029339604</v>
      </c>
      <c r="E84" s="130" t="n">
        <f aca="false">D84*1.182</f>
        <v>0.034679411928</v>
      </c>
      <c r="F84" s="130" t="n">
        <f aca="false">E84*1.182</f>
        <v>0.040991064898896</v>
      </c>
      <c r="G84" s="130" t="n">
        <f aca="false">F84*1.182</f>
        <v>0.0484514387104951</v>
      </c>
      <c r="H84" s="130" t="n">
        <f aca="false">G84*1.182</f>
        <v>0.0572696005558052</v>
      </c>
      <c r="I84" s="130" t="n">
        <f aca="false">H84*1.182</f>
        <v>0.0676926678569617</v>
      </c>
      <c r="J84" s="130" t="n">
        <f aca="false">I84*1.182</f>
        <v>0.0800127334069287</v>
      </c>
      <c r="K84" s="130" t="n">
        <f aca="false">J84*1.182</f>
        <v>0.0945750508869897</v>
      </c>
      <c r="L84" s="130" t="n">
        <f aca="false">K84*1.182</f>
        <v>0.111787710148422</v>
      </c>
      <c r="M84" s="130" t="n">
        <f aca="false">L84*1.182</f>
        <v>0.132133073395435</v>
      </c>
      <c r="N84" s="130" t="n">
        <f aca="false">M84*1.182</f>
        <v>0.156181292753404</v>
      </c>
      <c r="O84" s="130" t="n">
        <f aca="false">N84*1.182</f>
        <v>0.184606288034523</v>
      </c>
      <c r="P84" s="130" t="n">
        <f aca="false">O84*1.182</f>
        <v>0.218204632456806</v>
      </c>
      <c r="Q84" s="130" t="n">
        <f aca="false">P84*1.182</f>
        <v>0.257917875563945</v>
      </c>
      <c r="R84" s="130" t="n">
        <f aca="false">Q84*1.182</f>
        <v>0.304858928916583</v>
      </c>
      <c r="S84" s="130" t="n">
        <f aca="false">R84*1.182</f>
        <v>0.360343253979401</v>
      </c>
      <c r="T84" s="130" t="n">
        <f aca="false">S84*1.182</f>
        <v>0.425925726203652</v>
      </c>
      <c r="U84" s="130" t="n">
        <f aca="false">T84*1.182</f>
        <v>0.503444208372717</v>
      </c>
      <c r="V84" s="130" t="n">
        <f aca="false">U84*1.182</f>
        <v>0.595071054296551</v>
      </c>
      <c r="W84" s="130" t="n">
        <f aca="false">V84*1.182</f>
        <v>0.703373986178524</v>
      </c>
      <c r="X84" s="130" t="n">
        <f aca="false">W84*1.182</f>
        <v>0.831388051663015</v>
      </c>
      <c r="Y84" s="130" t="n">
        <f aca="false">X84*1.182</f>
        <v>0.982700677065684</v>
      </c>
      <c r="Z84" s="130" t="n">
        <v>1</v>
      </c>
      <c r="AA84" s="130" t="n">
        <v>1</v>
      </c>
      <c r="AB84" s="130" t="n">
        <v>1</v>
      </c>
      <c r="AC84" s="130" t="n">
        <v>1</v>
      </c>
    </row>
    <row r="85" customFormat="false" ht="12.8" hidden="false" customHeight="false" outlineLevel="0" collapsed="false">
      <c r="A85" s="130" t="s">
        <v>298</v>
      </c>
      <c r="B85" s="130" t="n">
        <v>0.05</v>
      </c>
      <c r="C85" s="130" t="n">
        <f aca="false">B85*1.182</f>
        <v>0.0591</v>
      </c>
      <c r="D85" s="130" t="n">
        <f aca="false">C85*1.182</f>
        <v>0.0698562</v>
      </c>
      <c r="E85" s="130" t="n">
        <f aca="false">D85*1.182</f>
        <v>0.0825700284</v>
      </c>
      <c r="F85" s="130" t="n">
        <f aca="false">E85*1.182</f>
        <v>0.0975977735688</v>
      </c>
      <c r="G85" s="130" t="n">
        <f aca="false">F85*1.182</f>
        <v>0.115360568358322</v>
      </c>
      <c r="H85" s="130" t="n">
        <f aca="false">G85*1.182</f>
        <v>0.136356191799536</v>
      </c>
      <c r="I85" s="130" t="n">
        <f aca="false">H85*1.182</f>
        <v>0.161173018707052</v>
      </c>
      <c r="J85" s="130" t="n">
        <f aca="false">I85*1.182</f>
        <v>0.190506508111735</v>
      </c>
      <c r="K85" s="130" t="n">
        <f aca="false">J85*1.182</f>
        <v>0.225178692588071</v>
      </c>
      <c r="L85" s="130" t="n">
        <f aca="false">K85*1.182</f>
        <v>0.2661612146391</v>
      </c>
      <c r="M85" s="130" t="n">
        <f aca="false">L85*1.182</f>
        <v>0.314602555703416</v>
      </c>
      <c r="N85" s="130" t="n">
        <f aca="false">M85*1.182</f>
        <v>0.371860220841438</v>
      </c>
      <c r="O85" s="130" t="n">
        <f aca="false">N85*1.182</f>
        <v>0.439538781034579</v>
      </c>
      <c r="P85" s="130" t="n">
        <f aca="false">O85*1.182</f>
        <v>0.519534839182873</v>
      </c>
      <c r="Q85" s="130" t="n">
        <f aca="false">P85*1.182</f>
        <v>0.614090179914155</v>
      </c>
      <c r="R85" s="130" t="n">
        <f aca="false">Q85*1.182</f>
        <v>0.725854592658532</v>
      </c>
      <c r="S85" s="130" t="n">
        <f aca="false">R85*1.182</f>
        <v>0.857960128522384</v>
      </c>
      <c r="T85" s="130" t="n">
        <v>1</v>
      </c>
      <c r="U85" s="130" t="n">
        <v>1</v>
      </c>
      <c r="V85" s="130" t="n">
        <v>1</v>
      </c>
      <c r="W85" s="130" t="n">
        <v>1</v>
      </c>
      <c r="X85" s="130" t="n">
        <v>1</v>
      </c>
      <c r="Y85" s="130" t="n">
        <v>1</v>
      </c>
      <c r="Z85" s="130" t="n">
        <v>1</v>
      </c>
      <c r="AA85" s="130" t="n">
        <v>1</v>
      </c>
      <c r="AB85" s="130" t="n">
        <v>1</v>
      </c>
      <c r="AC85" s="130" t="n">
        <v>1</v>
      </c>
    </row>
    <row r="86" customFormat="false" ht="12.8" hidden="false" customHeight="false" outlineLevel="0" collapsed="false">
      <c r="A86" s="130" t="s">
        <v>299</v>
      </c>
      <c r="B86" s="130" t="n">
        <v>0.07</v>
      </c>
      <c r="C86" s="130" t="n">
        <f aca="false">B86*1.182</f>
        <v>0.08274</v>
      </c>
      <c r="D86" s="130" t="n">
        <f aca="false">C86*1.182</f>
        <v>0.09779868</v>
      </c>
      <c r="E86" s="130" t="n">
        <f aca="false">D86*1.182</f>
        <v>0.11559803976</v>
      </c>
      <c r="F86" s="130" t="n">
        <f aca="false">E86*1.182</f>
        <v>0.13663688299632</v>
      </c>
      <c r="G86" s="130" t="n">
        <f aca="false">F86*1.182</f>
        <v>0.16150479570165</v>
      </c>
      <c r="H86" s="130" t="n">
        <f aca="false">G86*1.182</f>
        <v>0.190898668519351</v>
      </c>
      <c r="I86" s="130" t="n">
        <f aca="false">H86*1.182</f>
        <v>0.225642226189872</v>
      </c>
      <c r="J86" s="130" t="n">
        <f aca="false">I86*1.182</f>
        <v>0.266709111356429</v>
      </c>
      <c r="K86" s="130" t="n">
        <f aca="false">J86*1.182</f>
        <v>0.315250169623299</v>
      </c>
      <c r="L86" s="130" t="n">
        <f aca="false">K86*1.182</f>
        <v>0.37262570049474</v>
      </c>
      <c r="M86" s="130" t="n">
        <f aca="false">L86*1.182</f>
        <v>0.440443577984782</v>
      </c>
      <c r="N86" s="130" t="n">
        <f aca="false">M86*1.182</f>
        <v>0.520604309178013</v>
      </c>
      <c r="O86" s="130" t="n">
        <f aca="false">N86*1.182</f>
        <v>0.615354293448411</v>
      </c>
      <c r="P86" s="130" t="n">
        <f aca="false">O86*1.182</f>
        <v>0.727348774856022</v>
      </c>
      <c r="Q86" s="130" t="n">
        <f aca="false">P86*1.182</f>
        <v>0.859726251879817</v>
      </c>
      <c r="R86" s="130" t="n">
        <v>1</v>
      </c>
      <c r="S86" s="130" t="n">
        <v>1</v>
      </c>
      <c r="T86" s="130" t="n">
        <v>1</v>
      </c>
      <c r="U86" s="130" t="n">
        <v>1</v>
      </c>
      <c r="V86" s="130" t="n">
        <v>1</v>
      </c>
      <c r="W86" s="130" t="n">
        <v>1</v>
      </c>
      <c r="X86" s="130" t="n">
        <v>1</v>
      </c>
      <c r="Y86" s="130" t="n">
        <v>1</v>
      </c>
      <c r="Z86" s="130" t="n">
        <v>1</v>
      </c>
      <c r="AA86" s="130" t="n">
        <v>1</v>
      </c>
      <c r="AB86" s="130" t="n">
        <v>1</v>
      </c>
      <c r="AC86" s="130" t="n">
        <v>1</v>
      </c>
    </row>
    <row r="87" customFormat="false" ht="12.8" hidden="false" customHeight="false" outlineLevel="0" collapsed="false">
      <c r="A87" s="130" t="s">
        <v>300</v>
      </c>
      <c r="B87" s="130" t="n">
        <v>0.14</v>
      </c>
      <c r="C87" s="130" t="n">
        <f aca="false">B87*1.182</f>
        <v>0.16548</v>
      </c>
      <c r="D87" s="130" t="n">
        <f aca="false">C87*1.182</f>
        <v>0.19559736</v>
      </c>
      <c r="E87" s="130" t="n">
        <f aca="false">D87*1.182</f>
        <v>0.23119607952</v>
      </c>
      <c r="F87" s="130" t="n">
        <f aca="false">E87*1.182</f>
        <v>0.27327376599264</v>
      </c>
      <c r="G87" s="130" t="n">
        <f aca="false">F87*1.182</f>
        <v>0.3230095914033</v>
      </c>
      <c r="H87" s="130" t="n">
        <f aca="false">G87*1.182</f>
        <v>0.381797337038701</v>
      </c>
      <c r="I87" s="130" t="n">
        <f aca="false">H87*1.182</f>
        <v>0.451284452379745</v>
      </c>
      <c r="J87" s="130" t="n">
        <f aca="false">I87*1.182</f>
        <v>0.533418222712858</v>
      </c>
      <c r="K87" s="130" t="n">
        <f aca="false">J87*1.182</f>
        <v>0.630500339246598</v>
      </c>
      <c r="L87" s="130" t="n">
        <f aca="false">K87*1.182</f>
        <v>0.745251400989479</v>
      </c>
      <c r="M87" s="130" t="n">
        <f aca="false">L87*1.182</f>
        <v>0.880887155969565</v>
      </c>
      <c r="N87" s="130" t="n">
        <v>1</v>
      </c>
      <c r="O87" s="130" t="n">
        <v>1</v>
      </c>
      <c r="P87" s="130" t="n">
        <v>1</v>
      </c>
      <c r="Q87" s="130" t="n">
        <v>1</v>
      </c>
      <c r="R87" s="130" t="n">
        <v>1</v>
      </c>
      <c r="S87" s="130" t="n">
        <v>1</v>
      </c>
      <c r="T87" s="130" t="n">
        <v>1</v>
      </c>
      <c r="U87" s="130" t="n">
        <v>1</v>
      </c>
      <c r="V87" s="130" t="n">
        <v>1</v>
      </c>
      <c r="W87" s="130" t="n">
        <v>1</v>
      </c>
      <c r="X87" s="130" t="n">
        <v>1</v>
      </c>
      <c r="Y87" s="130" t="n">
        <v>1</v>
      </c>
      <c r="Z87" s="130" t="n">
        <v>1</v>
      </c>
      <c r="AA87" s="130" t="n">
        <v>1</v>
      </c>
      <c r="AB87" s="130" t="n">
        <v>1</v>
      </c>
      <c r="AC87" s="130" t="n">
        <v>1</v>
      </c>
    </row>
    <row r="88" customFormat="false" ht="12.8" hidden="false" customHeight="false" outlineLevel="0" collapsed="false">
      <c r="A88" s="130"/>
      <c r="B88" s="130"/>
      <c r="C88" s="130"/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</row>
    <row r="89" customFormat="false" ht="12.8" hidden="false" customHeight="false" outlineLevel="0" collapsed="false">
      <c r="A89" s="130" t="s">
        <v>295</v>
      </c>
      <c r="B89" s="1" t="s">
        <v>575</v>
      </c>
      <c r="C89" s="1" t="n">
        <v>2024</v>
      </c>
      <c r="D89" s="1" t="n">
        <v>2025</v>
      </c>
      <c r="E89" s="1" t="n">
        <v>2026</v>
      </c>
      <c r="F89" s="1" t="n">
        <v>2027</v>
      </c>
      <c r="G89" s="1" t="n">
        <v>2028</v>
      </c>
      <c r="H89" s="1" t="n">
        <v>2029</v>
      </c>
      <c r="I89" s="1" t="n">
        <v>2030</v>
      </c>
      <c r="J89" s="1" t="n">
        <v>2031</v>
      </c>
      <c r="K89" s="1" t="n">
        <v>2032</v>
      </c>
      <c r="L89" s="1" t="n">
        <v>2033</v>
      </c>
      <c r="M89" s="1" t="n">
        <v>2034</v>
      </c>
      <c r="N89" s="1" t="n">
        <v>2035</v>
      </c>
      <c r="O89" s="1" t="n">
        <v>2036</v>
      </c>
      <c r="P89" s="1" t="n">
        <v>2037</v>
      </c>
      <c r="Q89" s="1" t="n">
        <v>2038</v>
      </c>
      <c r="R89" s="1" t="n">
        <v>2039</v>
      </c>
      <c r="S89" s="1" t="n">
        <v>2040</v>
      </c>
      <c r="T89" s="1" t="n">
        <v>2041</v>
      </c>
      <c r="U89" s="1" t="n">
        <v>2042</v>
      </c>
      <c r="V89" s="1" t="n">
        <v>2043</v>
      </c>
      <c r="W89" s="1" t="n">
        <v>2044</v>
      </c>
      <c r="X89" s="1" t="n">
        <v>2045</v>
      </c>
      <c r="Y89" s="1" t="n">
        <v>2046</v>
      </c>
      <c r="Z89" s="1" t="n">
        <v>2047</v>
      </c>
      <c r="AA89" s="1" t="n">
        <v>2048</v>
      </c>
      <c r="AB89" s="1" t="n">
        <v>2049</v>
      </c>
      <c r="AC89" s="1" t="n">
        <v>2050</v>
      </c>
    </row>
    <row r="90" customFormat="false" ht="12.8" hidden="false" customHeight="false" outlineLevel="0" collapsed="false">
      <c r="A90" s="130" t="s">
        <v>602</v>
      </c>
      <c r="B90" s="130" t="n">
        <v>0</v>
      </c>
      <c r="C90" s="130" t="n">
        <v>0</v>
      </c>
      <c r="D90" s="130" t="n">
        <v>0</v>
      </c>
      <c r="E90" s="130" t="n">
        <v>0</v>
      </c>
      <c r="F90" s="130" t="n">
        <v>0</v>
      </c>
      <c r="G90" s="130" t="n">
        <v>0</v>
      </c>
      <c r="H90" s="130" t="n">
        <v>0</v>
      </c>
      <c r="I90" s="130" t="n">
        <v>0.0025</v>
      </c>
      <c r="J90" s="130" t="n">
        <f aca="false">I90*1.2</f>
        <v>0.003</v>
      </c>
      <c r="K90" s="130" t="n">
        <f aca="false">J90*1.2</f>
        <v>0.0036</v>
      </c>
      <c r="L90" s="130" t="n">
        <f aca="false">K90*1.2</f>
        <v>0.00432</v>
      </c>
      <c r="M90" s="130" t="n">
        <f aca="false">L90*1.2</f>
        <v>0.005184</v>
      </c>
      <c r="N90" s="130" t="n">
        <f aca="false">M90*1.2</f>
        <v>0.0062208</v>
      </c>
      <c r="O90" s="130" t="n">
        <f aca="false">N90*1.09</f>
        <v>0.006780672</v>
      </c>
      <c r="P90" s="130" t="n">
        <f aca="false">O90*1.09</f>
        <v>0.00739093248</v>
      </c>
      <c r="Q90" s="130" t="n">
        <f aca="false">P90*1.09</f>
        <v>0.0080561164032</v>
      </c>
      <c r="R90" s="130" t="n">
        <f aca="false">Q90*1.09</f>
        <v>0.008781166879488</v>
      </c>
      <c r="S90" s="130" t="n">
        <f aca="false">R90*1.09</f>
        <v>0.00957147189864192</v>
      </c>
      <c r="T90" s="130" t="n">
        <f aca="false">S90*1.09</f>
        <v>0.0104329043695197</v>
      </c>
      <c r="U90" s="130" t="n">
        <f aca="false">T90*1.09</f>
        <v>0.0113718657627765</v>
      </c>
      <c r="V90" s="130" t="n">
        <f aca="false">U90*1.09</f>
        <v>0.0123953336814264</v>
      </c>
      <c r="W90" s="130" t="n">
        <f aca="false">V90*1.09</f>
        <v>0.0135109137127547</v>
      </c>
      <c r="X90" s="130" t="n">
        <f aca="false">W90*1.09</f>
        <v>0.0147268959469027</v>
      </c>
      <c r="Y90" s="130" t="n">
        <f aca="false">X90*1.09</f>
        <v>0.0160523165821239</v>
      </c>
      <c r="Z90" s="130" t="n">
        <f aca="false">Y90*1.09</f>
        <v>0.017497025074515</v>
      </c>
      <c r="AA90" s="130" t="n">
        <f aca="false">Z90*1.09</f>
        <v>0.0190717573312214</v>
      </c>
      <c r="AB90" s="130" t="n">
        <f aca="false">AA90*1.09</f>
        <v>0.0207882154910313</v>
      </c>
      <c r="AC90" s="130" t="n">
        <f aca="false">AB90*1.09</f>
        <v>0.0226591548852241</v>
      </c>
    </row>
    <row r="91" customFormat="false" ht="12.8" hidden="false" customHeight="false" outlineLevel="0" collapsed="false">
      <c r="A91" s="130" t="s">
        <v>303</v>
      </c>
      <c r="B91" s="130" t="n">
        <v>0</v>
      </c>
      <c r="C91" s="130" t="n">
        <v>0.0025</v>
      </c>
      <c r="D91" s="130" t="n">
        <v>0.0025</v>
      </c>
      <c r="E91" s="130" t="n">
        <f aca="false">D91*1.3</f>
        <v>0.00325</v>
      </c>
      <c r="F91" s="130" t="n">
        <f aca="false">E91*1.3</f>
        <v>0.004225</v>
      </c>
      <c r="G91" s="130" t="n">
        <f aca="false">F91*1.3</f>
        <v>0.0054925</v>
      </c>
      <c r="H91" s="130" t="n">
        <f aca="false">G91*1.3</f>
        <v>0.00714025</v>
      </c>
      <c r="I91" s="130" t="n">
        <f aca="false">H91*1.3</f>
        <v>0.009282325</v>
      </c>
      <c r="J91" s="130" t="n">
        <f aca="false">I91*1.3</f>
        <v>0.0120670225</v>
      </c>
      <c r="K91" s="130" t="n">
        <f aca="false">J91*1.4</f>
        <v>0.0168938315</v>
      </c>
      <c r="L91" s="130" t="n">
        <f aca="false">K91*1.4</f>
        <v>0.0236513641</v>
      </c>
      <c r="M91" s="130" t="n">
        <f aca="false">L91*1.4</f>
        <v>0.03311190974</v>
      </c>
      <c r="N91" s="130" t="n">
        <v>0.05</v>
      </c>
      <c r="O91" s="130" t="n">
        <f aca="false">N91*1.09</f>
        <v>0.0545</v>
      </c>
      <c r="P91" s="130" t="n">
        <f aca="false">O91*1.09</f>
        <v>0.059405</v>
      </c>
      <c r="Q91" s="130" t="n">
        <f aca="false">P91*1.09</f>
        <v>0.06475145</v>
      </c>
      <c r="R91" s="130" t="n">
        <f aca="false">Q91*1.09</f>
        <v>0.0705790805</v>
      </c>
      <c r="S91" s="130" t="n">
        <f aca="false">R91*1.09</f>
        <v>0.076931197745</v>
      </c>
      <c r="T91" s="130" t="n">
        <f aca="false">S91*1.09</f>
        <v>0.08385500554205</v>
      </c>
      <c r="U91" s="130" t="n">
        <f aca="false">T91*1.09</f>
        <v>0.0914019560408346</v>
      </c>
      <c r="V91" s="130" t="n">
        <f aca="false">U91*1.09</f>
        <v>0.0996281320845097</v>
      </c>
      <c r="W91" s="130" t="n">
        <f aca="false">V91*1.09</f>
        <v>0.108594663972116</v>
      </c>
      <c r="X91" s="130" t="n">
        <f aca="false">W91*1.09</f>
        <v>0.118368183729606</v>
      </c>
      <c r="Y91" s="130" t="n">
        <f aca="false">X91*1.09</f>
        <v>0.129021320265271</v>
      </c>
      <c r="Z91" s="130" t="n">
        <f aca="false">Y91*1.09</f>
        <v>0.140633239089145</v>
      </c>
      <c r="AA91" s="130" t="n">
        <f aca="false">Z91*1.09</f>
        <v>0.153290230607168</v>
      </c>
      <c r="AB91" s="130" t="n">
        <f aca="false">AA91*1.09</f>
        <v>0.167086351361813</v>
      </c>
      <c r="AC91" s="130" t="n">
        <f aca="false">AB91*1.09</f>
        <v>0.182124122984376</v>
      </c>
      <c r="AD91" s="10"/>
    </row>
    <row r="92" customFormat="false" ht="12.8" hidden="false" customHeight="false" outlineLevel="0" collapsed="false">
      <c r="A92" s="130" t="s">
        <v>304</v>
      </c>
      <c r="B92" s="130" t="n">
        <v>0</v>
      </c>
      <c r="C92" s="130" t="n">
        <v>0.005</v>
      </c>
      <c r="D92" s="130" t="n">
        <v>0.005</v>
      </c>
      <c r="E92" s="130" t="n">
        <f aca="false">D92*1.3</f>
        <v>0.0065</v>
      </c>
      <c r="F92" s="130" t="n">
        <f aca="false">E92*1.3</f>
        <v>0.00845</v>
      </c>
      <c r="G92" s="130" t="n">
        <f aca="false">F92*1.3</f>
        <v>0.010985</v>
      </c>
      <c r="H92" s="130" t="n">
        <f aca="false">G92*1.3</f>
        <v>0.0142805</v>
      </c>
      <c r="I92" s="130" t="n">
        <f aca="false">H92*1.3</f>
        <v>0.01856465</v>
      </c>
      <c r="J92" s="130" t="n">
        <f aca="false">I92*1.3</f>
        <v>0.024134045</v>
      </c>
      <c r="K92" s="130" t="n">
        <f aca="false">J92*1.4</f>
        <v>0.033787663</v>
      </c>
      <c r="L92" s="130" t="n">
        <f aca="false">K92*1.4</f>
        <v>0.0473027282</v>
      </c>
      <c r="M92" s="130" t="n">
        <f aca="false">L92*1.4</f>
        <v>0.06622381948</v>
      </c>
      <c r="N92" s="130" t="n">
        <v>0.1</v>
      </c>
      <c r="O92" s="130" t="n">
        <f aca="false">N92*1.09</f>
        <v>0.109</v>
      </c>
      <c r="P92" s="130" t="n">
        <f aca="false">O92*1.09</f>
        <v>0.11881</v>
      </c>
      <c r="Q92" s="130" t="n">
        <f aca="false">P92*1.09</f>
        <v>0.1295029</v>
      </c>
      <c r="R92" s="130" t="n">
        <f aca="false">Q92*1.09</f>
        <v>0.141158161</v>
      </c>
      <c r="S92" s="130" t="n">
        <f aca="false">R92*1.09</f>
        <v>0.15386239549</v>
      </c>
      <c r="T92" s="130" t="n">
        <f aca="false">S92*1.09</f>
        <v>0.1677100110841</v>
      </c>
      <c r="U92" s="130" t="n">
        <f aca="false">T92*1.09</f>
        <v>0.182803912081669</v>
      </c>
      <c r="V92" s="130" t="n">
        <f aca="false">U92*1.09</f>
        <v>0.199256264169019</v>
      </c>
      <c r="W92" s="130" t="n">
        <f aca="false">V92*1.09</f>
        <v>0.217189327944231</v>
      </c>
      <c r="X92" s="130" t="n">
        <f aca="false">W92*1.09</f>
        <v>0.236736367459212</v>
      </c>
      <c r="Y92" s="130" t="n">
        <f aca="false">X92*1.09</f>
        <v>0.258042640530541</v>
      </c>
      <c r="Z92" s="130" t="n">
        <f aca="false">Y92*1.09</f>
        <v>0.28126647817829</v>
      </c>
      <c r="AA92" s="130" t="n">
        <f aca="false">Z92*1.09</f>
        <v>0.306580461214336</v>
      </c>
      <c r="AB92" s="130" t="n">
        <f aca="false">AA92*1.09</f>
        <v>0.334172702723626</v>
      </c>
      <c r="AC92" s="130" t="n">
        <f aca="false">AB92*1.09</f>
        <v>0.364248245968752</v>
      </c>
    </row>
    <row r="93" customFormat="false" ht="12.8" hidden="false" customHeight="false" outlineLevel="0" collapsed="false">
      <c r="A93" s="130" t="s">
        <v>305</v>
      </c>
      <c r="B93" s="130" t="n">
        <v>0</v>
      </c>
      <c r="C93" s="130" t="n">
        <v>0.01</v>
      </c>
      <c r="D93" s="130" t="n">
        <v>0.01</v>
      </c>
      <c r="E93" s="130" t="n">
        <f aca="false">D93*1.3</f>
        <v>0.013</v>
      </c>
      <c r="F93" s="130" t="n">
        <f aca="false">E93*1.3</f>
        <v>0.0169</v>
      </c>
      <c r="G93" s="130" t="n">
        <f aca="false">F93*1.4</f>
        <v>0.02366</v>
      </c>
      <c r="H93" s="130" t="n">
        <f aca="false">G93*1.4</f>
        <v>0.033124</v>
      </c>
      <c r="I93" s="130" t="n">
        <f aca="false">H93*1.4</f>
        <v>0.0463736</v>
      </c>
      <c r="J93" s="130" t="n">
        <f aca="false">I93*1.4</f>
        <v>0.06492304</v>
      </c>
      <c r="K93" s="130" t="n">
        <f aca="false">J93*1.4</f>
        <v>0.090892256</v>
      </c>
      <c r="L93" s="130" t="n">
        <f aca="false">K93*1.4</f>
        <v>0.1272491584</v>
      </c>
      <c r="M93" s="130" t="n">
        <f aca="false">L93*1.4</f>
        <v>0.17814882176</v>
      </c>
      <c r="N93" s="130" t="n">
        <v>0.25</v>
      </c>
      <c r="O93" s="130" t="n">
        <f aca="false">N93*1.09</f>
        <v>0.2725</v>
      </c>
      <c r="P93" s="130" t="n">
        <f aca="false">O93*1.09</f>
        <v>0.297025</v>
      </c>
      <c r="Q93" s="130" t="n">
        <f aca="false">P93*1.09</f>
        <v>0.32375725</v>
      </c>
      <c r="R93" s="130" t="n">
        <f aca="false">Q93*1.09</f>
        <v>0.3528954025</v>
      </c>
      <c r="S93" s="130" t="n">
        <f aca="false">R93*1.09</f>
        <v>0.384655988725</v>
      </c>
      <c r="T93" s="130" t="n">
        <f aca="false">S93*1.09</f>
        <v>0.41927502771025</v>
      </c>
      <c r="U93" s="130" t="n">
        <f aca="false">T93*1.09</f>
        <v>0.457009780204173</v>
      </c>
      <c r="V93" s="130" t="n">
        <f aca="false">U93*1.09</f>
        <v>0.498140660422548</v>
      </c>
      <c r="W93" s="130" t="n">
        <f aca="false">V93*1.09</f>
        <v>0.542973319860578</v>
      </c>
      <c r="X93" s="130" t="n">
        <f aca="false">W93*1.09</f>
        <v>0.59184091864803</v>
      </c>
      <c r="Y93" s="130" t="n">
        <f aca="false">X93*1.09</f>
        <v>0.645106601326352</v>
      </c>
      <c r="Z93" s="130" t="n">
        <f aca="false">Y93*1.09</f>
        <v>0.703166195445724</v>
      </c>
      <c r="AA93" s="130" t="n">
        <f aca="false">Z93*1.09</f>
        <v>0.766451153035839</v>
      </c>
      <c r="AB93" s="130" t="n">
        <f aca="false">AA93*1.09</f>
        <v>0.835431756809065</v>
      </c>
      <c r="AC93" s="130" t="n">
        <f aca="false">AB93*1.09</f>
        <v>0.910620614921881</v>
      </c>
    </row>
    <row r="94" customFormat="false" ht="12.8" hidden="false" customHeight="false" outlineLevel="0" collapsed="false">
      <c r="A94" s="130"/>
      <c r="B94" s="130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</row>
    <row r="95" customFormat="false" ht="12.8" hidden="false" customHeight="false" outlineLevel="0" collapsed="false">
      <c r="A95" s="130" t="s">
        <v>310</v>
      </c>
      <c r="B95" s="130" t="n">
        <v>0</v>
      </c>
      <c r="C95" s="130" t="n">
        <v>0</v>
      </c>
      <c r="D95" s="130" t="n">
        <f aca="false">(C95*(16/17))+(B84*(1/17))</f>
        <v>0.00123529411764706</v>
      </c>
      <c r="E95" s="130" t="n">
        <f aca="false">(D95*(16/17))+(C84*(1/17))</f>
        <v>0.00262274740484429</v>
      </c>
      <c r="F95" s="130" t="n">
        <f aca="false">(E95*(16/17))+(D84*(1/17))</f>
        <v>0.00419432720455933</v>
      </c>
      <c r="G95" s="130" t="n">
        <f aca="false">(F95*(16/17))+(E84*(1/17))</f>
        <v>0.00598756748240878</v>
      </c>
      <c r="H95" s="130" t="n">
        <f aca="false">(G95*(16/17))+(F84*(1/17))</f>
        <v>0.00804659674220215</v>
      </c>
      <c r="I95" s="130" t="n">
        <f aca="false">(H95*(16/17))+(G84*(1/17))</f>
        <v>0.0104233521521017</v>
      </c>
      <c r="J95" s="130" t="n">
        <f aca="false">(I95*(16/17))+(H84*(1/17))</f>
        <v>0.0131790138229078</v>
      </c>
      <c r="K95" s="130" t="n">
        <f aca="false">(J95*(16/17))+(I84*(1/17))</f>
        <v>0.0163856993543228</v>
      </c>
      <c r="L95" s="130" t="n">
        <f aca="false">(K95*(16/17))+(J84*(1/17))</f>
        <v>0.0201284660632996</v>
      </c>
      <c r="M95" s="130" t="n">
        <f aca="false">(L95*(16/17))+(K84*(1/17))</f>
        <v>0.0245076769352813</v>
      </c>
      <c r="N95" s="130" t="n">
        <f aca="false">(M95*(16/17))+(L84*(1/17))</f>
        <v>0.0296417965360543</v>
      </c>
      <c r="O95" s="130" t="n">
        <f aca="false">(N95*(16/17))+(M84*(1/17))</f>
        <v>0.0356706951748414</v>
      </c>
      <c r="P95" s="130" t="n">
        <f aca="false">(O95*(16/17))+(N84*(1/17))</f>
        <v>0.0427595538559333</v>
      </c>
      <c r="Q95" s="130" t="n">
        <f aca="false">(P95*(16/17))+(O84*(1/17))</f>
        <v>0.0511034793958503</v>
      </c>
      <c r="R95" s="130" t="n">
        <f aca="false">(Q95*(16/17))+(P84*(1/17))</f>
        <v>0.0609329589876713</v>
      </c>
      <c r="S95" s="130" t="n">
        <f aca="false">(R95*(16/17))+(Q84*(1/17))</f>
        <v>0.0725203070215698</v>
      </c>
      <c r="T95" s="130" t="n">
        <f aca="false">(S95*(16/17))+(R84*(1/17))</f>
        <v>0.0861872847801</v>
      </c>
      <c r="U95" s="130" t="n">
        <f aca="false">(T95*(16/17))+(S84*(1/17))</f>
        <v>0.102314106497706</v>
      </c>
      <c r="V95" s="130" t="n">
        <f aca="false">(U95*(16/17))+(T84*(1/17))</f>
        <v>0.121350084127467</v>
      </c>
      <c r="W95" s="130" t="n">
        <f aca="false">(V95*(16/17))+(U84*(1/17))</f>
        <v>0.14382620908307</v>
      </c>
      <c r="X95" s="130" t="n">
        <f aca="false">(W95*(16/17))+(V84*(1/17))</f>
        <v>0.170370023507393</v>
      </c>
      <c r="Y95" s="130" t="n">
        <f aca="false">(X95*(16/17))+(W84*(1/17))</f>
        <v>0.201723197782165</v>
      </c>
      <c r="Z95" s="130" t="n">
        <f aca="false">(Y95*(16/17))+(X84*(1/17))</f>
        <v>0.23876230683398</v>
      </c>
      <c r="AA95" s="130" t="n">
        <f aca="false">(Z95*(16/17))+(Y84*(1/17))</f>
        <v>0.282523387435845</v>
      </c>
      <c r="AB95" s="130" t="n">
        <f aca="false">(AA95*(16/17))+(Z84*(1/17))</f>
        <v>0.324727894057266</v>
      </c>
      <c r="AC95" s="130" t="n">
        <f aca="false">(AB95*(16/17))+(AA84*(1/17))</f>
        <v>0.364449782642132</v>
      </c>
      <c r="AD95" s="10"/>
    </row>
    <row r="96" customFormat="false" ht="12.8" hidden="false" customHeight="false" outlineLevel="0" collapsed="false">
      <c r="A96" s="130" t="s">
        <v>298</v>
      </c>
      <c r="B96" s="130" t="n">
        <v>0</v>
      </c>
      <c r="C96" s="130" t="n">
        <v>0</v>
      </c>
      <c r="D96" s="130" t="n">
        <f aca="false">(C96*(16/17))+(B85*(1/17))</f>
        <v>0.00294117647058824</v>
      </c>
      <c r="E96" s="130" t="n">
        <f aca="false">(D96*(16/17))+(C85*(1/17))</f>
        <v>0.00624463667820069</v>
      </c>
      <c r="F96" s="130" t="n">
        <f aca="false">(E96*(16/17))+(D85*(1/17))</f>
        <v>0.00998649334418889</v>
      </c>
      <c r="G96" s="130" t="n">
        <f aca="false">(F96*(16/17))+(E85*(1/17))</f>
        <v>0.0142561130533542</v>
      </c>
      <c r="H96" s="130" t="n">
        <f aca="false">(G96*(16/17))+(F85*(1/17))</f>
        <v>0.0191585636719099</v>
      </c>
      <c r="I96" s="130" t="n">
        <f aca="false">(H96*(16/17))+(G85*(1/17))</f>
        <v>0.0248175051240517</v>
      </c>
      <c r="J96" s="130" t="n">
        <f aca="false">(I96*(16/17))+(H85*(1/17))</f>
        <v>0.0313786043402567</v>
      </c>
      <c r="K96" s="130" t="n">
        <f aca="false">(J96*(16/17))+(I85*(1/17))</f>
        <v>0.0390135698912446</v>
      </c>
      <c r="L96" s="130" t="n">
        <f aca="false">(K96*(16/17))+(J85*(1/17))</f>
        <v>0.0479249191983323</v>
      </c>
      <c r="M96" s="130" t="n">
        <f aca="false">(L96*(16/17))+(K85*(1/17))</f>
        <v>0.0583516117506699</v>
      </c>
      <c r="N96" s="130" t="n">
        <f aca="false">(M96*(16/17))+(L85*(1/17))</f>
        <v>0.0705757060382246</v>
      </c>
      <c r="O96" s="130" t="n">
        <f aca="false">(N96*(16/17))+(M85*(1/17))</f>
        <v>0.0849302266067652</v>
      </c>
      <c r="P96" s="130" t="n">
        <f aca="false">(O96*(16/17))+(N85*(1/17))</f>
        <v>0.101808461561746</v>
      </c>
      <c r="Q96" s="130" t="n">
        <f aca="false">(P96*(16/17))+(O85*(1/17))</f>
        <v>0.121674950942501</v>
      </c>
      <c r="R96" s="130" t="n">
        <f aca="false">(Q96*(16/17))+(P85*(1/17))</f>
        <v>0.14507847378017</v>
      </c>
      <c r="S96" s="130" t="n">
        <f aca="false">(R96*(16/17))+(Q85*(1/17))</f>
        <v>0.172667397670404</v>
      </c>
      <c r="T96" s="130" t="n">
        <f aca="false">(S96*(16/17))+(R85*(1/17))</f>
        <v>0.205207820905</v>
      </c>
      <c r="U96" s="130" t="n">
        <f aca="false">(T96*(16/17))+(S85*(1/17))</f>
        <v>0.243605015470728</v>
      </c>
      <c r="V96" s="130" t="n">
        <f aca="false">(U96*(16/17))+(T85*(1/17))</f>
        <v>0.288098838090097</v>
      </c>
      <c r="W96" s="130" t="n">
        <f aca="false">(V96*(16/17))+(U85*(1/17))</f>
        <v>0.329975377025974</v>
      </c>
      <c r="X96" s="130" t="n">
        <f aca="false">(W96*(16/17))+(V85*(1/17))</f>
        <v>0.369388590142093</v>
      </c>
      <c r="Y96" s="130" t="n">
        <f aca="false">(X96*(16/17))+(W85*(1/17))</f>
        <v>0.406483378957264</v>
      </c>
      <c r="Z96" s="130" t="n">
        <f aca="false">(Y96*(16/17))+(X85*(1/17))</f>
        <v>0.441396121371543</v>
      </c>
      <c r="AA96" s="130" t="n">
        <f aca="false">(Z96*(16/17))+(Y85*(1/17))</f>
        <v>0.47425517305557</v>
      </c>
      <c r="AB96" s="130" t="n">
        <f aca="false">(AA96*(16/17))+(Z85*(1/17))</f>
        <v>0.505181339346419</v>
      </c>
      <c r="AC96" s="130" t="n">
        <f aca="false">(AB96*(16/17))+(AA85*(1/17))</f>
        <v>0.534288319384864</v>
      </c>
    </row>
    <row r="97" customFormat="false" ht="12.8" hidden="false" customHeight="false" outlineLevel="0" collapsed="false">
      <c r="A97" s="130" t="s">
        <v>299</v>
      </c>
      <c r="B97" s="130" t="n">
        <v>0</v>
      </c>
      <c r="C97" s="130" t="n">
        <v>0</v>
      </c>
      <c r="D97" s="130" t="n">
        <f aca="false">(C97*(16/17))+(B86*(1/17))</f>
        <v>0.00411764705882353</v>
      </c>
      <c r="E97" s="130" t="n">
        <f aca="false">(D97*(16/17))+(C86*(1/17))</f>
        <v>0.00874249134948097</v>
      </c>
      <c r="F97" s="130" t="n">
        <f aca="false">(E97*(16/17))+(D86*(1/17))</f>
        <v>0.0139810906818644</v>
      </c>
      <c r="G97" s="130" t="n">
        <f aca="false">(F97*(16/17))+(E86*(1/17))</f>
        <v>0.0199585582746959</v>
      </c>
      <c r="H97" s="130" t="n">
        <f aca="false">(G97*(16/17))+(F86*(1/17))</f>
        <v>0.0268219891406738</v>
      </c>
      <c r="I97" s="130" t="n">
        <f aca="false">(H97*(16/17))+(G86*(1/17))</f>
        <v>0.0347445071736724</v>
      </c>
      <c r="J97" s="130" t="n">
        <f aca="false">(I97*(16/17))+(H86*(1/17))</f>
        <v>0.0439300460763594</v>
      </c>
      <c r="K97" s="130" t="n">
        <f aca="false">(J97*(16/17))+(I86*(1/17))</f>
        <v>0.0546189978477425</v>
      </c>
      <c r="L97" s="130" t="n">
        <f aca="false">(K97*(16/17))+(J86*(1/17))</f>
        <v>0.0670948868776652</v>
      </c>
      <c r="M97" s="130" t="n">
        <f aca="false">(L97*(16/17))+(K86*(1/17))</f>
        <v>0.0816922564509378</v>
      </c>
      <c r="N97" s="130" t="n">
        <f aca="false">(M97*(16/17))+(L86*(1/17))</f>
        <v>0.0988059884535144</v>
      </c>
      <c r="O97" s="130" t="n">
        <f aca="false">(N97*(16/17))+(M86*(1/17))</f>
        <v>0.118902317249471</v>
      </c>
      <c r="P97" s="130" t="n">
        <f aca="false">(O97*(16/17))+(N86*(1/17))</f>
        <v>0.142531846186444</v>
      </c>
      <c r="Q97" s="130" t="n">
        <f aca="false">(P97*(16/17))+(O86*(1/17))</f>
        <v>0.170344931319501</v>
      </c>
      <c r="R97" s="130" t="n">
        <f aca="false">(Q97*(16/17))+(P86*(1/17))</f>
        <v>0.203109863292238</v>
      </c>
      <c r="S97" s="130" t="n">
        <f aca="false">(R97*(16/17))+(Q86*(1/17))</f>
        <v>0.241734356738566</v>
      </c>
      <c r="T97" s="130" t="n">
        <f aca="false">(S97*(16/17))+(R86*(1/17))</f>
        <v>0.286338218106886</v>
      </c>
      <c r="U97" s="130" t="n">
        <f aca="false">(T97*(16/17))+(S86*(1/17))</f>
        <v>0.328318322924128</v>
      </c>
      <c r="V97" s="130" t="n">
        <f aca="false">(U97*(16/17))+(T86*(1/17))</f>
        <v>0.367829009810944</v>
      </c>
      <c r="W97" s="130" t="n">
        <f aca="false">(V97*(16/17))+(U86*(1/17))</f>
        <v>0.405015538645594</v>
      </c>
      <c r="X97" s="130" t="n">
        <f aca="false">(W97*(16/17))+(V86*(1/17))</f>
        <v>0.440014624607618</v>
      </c>
      <c r="Y97" s="130" t="n">
        <f aca="false">(X97*(16/17))+(W86*(1/17))</f>
        <v>0.47295494080717</v>
      </c>
      <c r="Z97" s="130" t="n">
        <f aca="false">(Y97*(16/17))+(X86*(1/17))</f>
        <v>0.503957591347925</v>
      </c>
      <c r="AA97" s="130" t="n">
        <f aca="false">(Z97*(16/17))+(Y86*(1/17))</f>
        <v>0.533136556562753</v>
      </c>
      <c r="AB97" s="130" t="n">
        <f aca="false">(AA97*(16/17))+(Z86*(1/17))</f>
        <v>0.560599112059061</v>
      </c>
      <c r="AC97" s="130" t="n">
        <f aca="false">(AB97*(16/17))+(AA86*(1/17))</f>
        <v>0.586446223114411</v>
      </c>
      <c r="AD97" s="10"/>
    </row>
    <row r="98" customFormat="false" ht="12.8" hidden="false" customHeight="false" outlineLevel="0" collapsed="false">
      <c r="A98" s="130" t="s">
        <v>300</v>
      </c>
      <c r="B98" s="130" t="n">
        <v>0</v>
      </c>
      <c r="C98" s="130" t="n">
        <v>0</v>
      </c>
      <c r="D98" s="130" t="n">
        <f aca="false">(C98*(16/17))+(B87*(1/17))</f>
        <v>0.00823529411764706</v>
      </c>
      <c r="E98" s="130" t="n">
        <f aca="false">(D98*(16/17))+(C87*(1/17))</f>
        <v>0.0174849826989619</v>
      </c>
      <c r="F98" s="130" t="n">
        <f aca="false">(E98*(16/17))+(D87*(1/17))</f>
        <v>0.0279621813637289</v>
      </c>
      <c r="G98" s="130" t="n">
        <f aca="false">(F98*(16/17))+(E87*(1/17))</f>
        <v>0.0399171165493919</v>
      </c>
      <c r="H98" s="130" t="n">
        <f aca="false">(G98*(16/17))+(F87*(1/17))</f>
        <v>0.0536439782813477</v>
      </c>
      <c r="I98" s="130" t="n">
        <f aca="false">(H98*(16/17))+(G87*(1/17))</f>
        <v>0.0694890143473449</v>
      </c>
      <c r="J98" s="130" t="n">
        <f aca="false">(I98*(16/17))+(H87*(1/17))</f>
        <v>0.0878600921527188</v>
      </c>
      <c r="K98" s="130" t="n">
        <f aca="false">(J98*(16/17))+(I87*(1/17))</f>
        <v>0.109237995695485</v>
      </c>
      <c r="L98" s="130" t="n">
        <f aca="false">(K98*(16/17))+(J87*(1/17))</f>
        <v>0.13418977375533</v>
      </c>
      <c r="M98" s="130" t="n">
        <f aca="false">(L98*(16/17))+(K87*(1/17))</f>
        <v>0.163384512901876</v>
      </c>
      <c r="N98" s="130" t="n">
        <f aca="false">(M98*(16/17))+(L87*(1/17))</f>
        <v>0.197611976907029</v>
      </c>
      <c r="O98" s="130" t="n">
        <f aca="false">(N98*(16/17))+(M87*(1/17))</f>
        <v>0.237804634498943</v>
      </c>
      <c r="P98" s="130" t="n">
        <f aca="false">(O98*(16/17))+(N87*(1/17))</f>
        <v>0.282639655999005</v>
      </c>
      <c r="Q98" s="130" t="n">
        <f aca="false">(P98*(16/17))+(O87*(1/17))</f>
        <v>0.324837323293181</v>
      </c>
      <c r="R98" s="130" t="n">
        <f aca="false">(Q98*(16/17))+(P87*(1/17))</f>
        <v>0.36455277486417</v>
      </c>
      <c r="S98" s="130" t="n">
        <f aca="false">(R98*(16/17))+(Q87*(1/17))</f>
        <v>0.401932023401572</v>
      </c>
      <c r="T98" s="130" t="n">
        <f aca="false">(S98*(16/17))+(R87*(1/17))</f>
        <v>0.437112492613244</v>
      </c>
      <c r="U98" s="130" t="n">
        <f aca="false">(T98*(16/17))+(S87*(1/17))</f>
        <v>0.470223522459524</v>
      </c>
      <c r="V98" s="130" t="n">
        <f aca="false">(U98*(16/17))+(T87*(1/17))</f>
        <v>0.501386844667787</v>
      </c>
      <c r="W98" s="130" t="n">
        <f aca="false">(V98*(16/17))+(U87*(1/17))</f>
        <v>0.530717030275565</v>
      </c>
      <c r="X98" s="130" t="n">
        <f aca="false">(W98*(16/17))+(V87*(1/17))</f>
        <v>0.55832191084759</v>
      </c>
      <c r="Y98" s="130" t="n">
        <f aca="false">(X98*(16/17))+(W87*(1/17))</f>
        <v>0.584302974915379</v>
      </c>
      <c r="Z98" s="130" t="n">
        <f aca="false">(Y98*(16/17))+(X87*(1/17))</f>
        <v>0.608755741096827</v>
      </c>
      <c r="AA98" s="130" t="n">
        <f aca="false">(Z98*(16/17))+(Y87*(1/17))</f>
        <v>0.631770109267602</v>
      </c>
      <c r="AB98" s="130" t="n">
        <f aca="false">(AA98*(16/17))+(Z87*(1/17))</f>
        <v>0.65343069107539</v>
      </c>
      <c r="AC98" s="130" t="n">
        <f aca="false">(AB98*(16/17))+(AA87*(1/17))</f>
        <v>0.673817121012132</v>
      </c>
    </row>
    <row r="99" customFormat="false" ht="12.8" hidden="false" customHeight="false" outlineLevel="0" collapsed="false">
      <c r="A99" s="130"/>
      <c r="B99" s="130"/>
      <c r="C99" s="130"/>
      <c r="D99" s="130"/>
      <c r="E99" s="130"/>
      <c r="F99" s="130"/>
      <c r="G99" s="130"/>
      <c r="H99" s="130"/>
      <c r="I99" s="130"/>
      <c r="J99" s="130"/>
      <c r="K99" s="130"/>
      <c r="L99" s="130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</row>
    <row r="100" customFormat="false" ht="12.8" hidden="false" customHeight="false" outlineLevel="0" collapsed="false">
      <c r="A100" s="130" t="s">
        <v>318</v>
      </c>
      <c r="B100" s="1" t="s">
        <v>575</v>
      </c>
      <c r="C100" s="1" t="n">
        <v>2024</v>
      </c>
      <c r="D100" s="1" t="n">
        <v>2025</v>
      </c>
      <c r="E100" s="1" t="n">
        <v>2026</v>
      </c>
      <c r="F100" s="1" t="n">
        <v>2027</v>
      </c>
      <c r="G100" s="1" t="n">
        <v>2028</v>
      </c>
      <c r="H100" s="1" t="n">
        <v>2029</v>
      </c>
      <c r="I100" s="1" t="n">
        <v>2030</v>
      </c>
      <c r="J100" s="1" t="n">
        <v>2031</v>
      </c>
      <c r="K100" s="1" t="n">
        <v>2032</v>
      </c>
      <c r="L100" s="1" t="n">
        <v>2033</v>
      </c>
      <c r="M100" s="1" t="n">
        <v>2034</v>
      </c>
      <c r="N100" s="1" t="n">
        <v>2035</v>
      </c>
      <c r="O100" s="1" t="n">
        <v>2036</v>
      </c>
      <c r="P100" s="1" t="n">
        <v>2037</v>
      </c>
      <c r="Q100" s="1" t="n">
        <v>2038</v>
      </c>
      <c r="R100" s="1" t="n">
        <v>2039</v>
      </c>
      <c r="S100" s="1" t="n">
        <v>2040</v>
      </c>
      <c r="T100" s="1" t="n">
        <v>2041</v>
      </c>
      <c r="U100" s="1" t="n">
        <v>2042</v>
      </c>
      <c r="V100" s="1" t="n">
        <v>2043</v>
      </c>
      <c r="W100" s="1" t="n">
        <v>2044</v>
      </c>
      <c r="X100" s="1" t="n">
        <v>2045</v>
      </c>
      <c r="Y100" s="1" t="n">
        <v>2046</v>
      </c>
      <c r="Z100" s="1" t="n">
        <v>2047</v>
      </c>
      <c r="AA100" s="1" t="n">
        <v>2048</v>
      </c>
      <c r="AB100" s="1" t="n">
        <v>2049</v>
      </c>
      <c r="AC100" s="1" t="n">
        <v>2050</v>
      </c>
    </row>
    <row r="101" customFormat="false" ht="12.8" hidden="false" customHeight="false" outlineLevel="0" collapsed="false">
      <c r="A101" s="1" t="s">
        <v>37</v>
      </c>
      <c r="B101" s="1" t="n">
        <f aca="false">($B$30*$B$28)+($B$39*$B$42)</f>
        <v>71.3503343390438</v>
      </c>
      <c r="C101" s="1" t="n">
        <f aca="false">($B$30*$B$28)+($B$39*$B$42)</f>
        <v>71.3503343390438</v>
      </c>
      <c r="D101" s="1" t="n">
        <f aca="false">($B$30*$B$28)+($B$39*$B$42)</f>
        <v>71.3503343390438</v>
      </c>
      <c r="E101" s="1" t="n">
        <f aca="false">($B$30*$B$28)+($B$39*$B$42)</f>
        <v>71.3503343390438</v>
      </c>
      <c r="F101" s="1" t="n">
        <f aca="false">($B$30*$B$28)+($B$39*$B$42)</f>
        <v>71.3503343390438</v>
      </c>
      <c r="G101" s="1" t="n">
        <f aca="false">($B$30*$B$28)+($B$39*$B$42)</f>
        <v>71.3503343390438</v>
      </c>
      <c r="H101" s="1" t="n">
        <f aca="false">($B$30*$B$28)+($B$39*$B$42)</f>
        <v>71.3503343390438</v>
      </c>
      <c r="I101" s="1" t="n">
        <f aca="false">($B$101/$B$105)*I105</f>
        <v>70.8444607625356</v>
      </c>
      <c r="J101" s="1" t="n">
        <f aca="false">($B$101/$B$105)*J105</f>
        <v>70.7107210207792</v>
      </c>
      <c r="K101" s="1" t="n">
        <f aca="false">($B$101/$B$105)*K105</f>
        <v>70.5550918666604</v>
      </c>
      <c r="L101" s="1" t="n">
        <f aca="false">($B$101/$B$105)*L105</f>
        <v>70.3734452376799</v>
      </c>
      <c r="M101" s="1" t="n">
        <f aca="false">($B$101/$B$105)*M105</f>
        <v>70.1609102456959</v>
      </c>
      <c r="N101" s="1" t="n">
        <f aca="false">($B$101/$B$105)*N105</f>
        <v>69.9117374837317</v>
      </c>
      <c r="O101" s="1" t="n">
        <f aca="false">($B$101/$B$105)*O105</f>
        <v>69.6191386659709</v>
      </c>
      <c r="P101" s="1" t="n">
        <f aca="false">($B$101/$B$105)*P105</f>
        <v>69.2750971098538</v>
      </c>
      <c r="Q101" s="1" t="n">
        <f aca="false">($B$101/$B$105)*Q105</f>
        <v>68.8701437519127</v>
      </c>
      <c r="R101" s="1" t="n">
        <f aca="false">($B$101/$B$105)*R105</f>
        <v>68.3930924229574</v>
      </c>
      <c r="S101" s="1" t="n">
        <f aca="false">($B$101/$B$105)*S105</f>
        <v>67.8307269663732</v>
      </c>
      <c r="T101" s="1" t="n">
        <f aca="false">($B$101/$B$105)*T105</f>
        <v>67.1674314336234</v>
      </c>
      <c r="U101" s="1" t="n">
        <f aca="false">($B$101/$B$105)*U105</f>
        <v>66.3847529957322</v>
      </c>
      <c r="V101" s="1" t="n">
        <f aca="false">($B$101/$B$105)*V105</f>
        <v>65.4608853238569</v>
      </c>
      <c r="W101" s="1" t="n">
        <f aca="false">($B$101/$B$105)*W105</f>
        <v>64.3700579631939</v>
      </c>
      <c r="X101" s="1" t="n">
        <f aca="false">($B$101/$B$105)*X105</f>
        <v>63.0818145899432</v>
      </c>
      <c r="Y101" s="1" t="n">
        <f aca="false">($B$101/$B$105)*Y105</f>
        <v>61.5601599270458</v>
      </c>
      <c r="Z101" s="1" t="n">
        <f aca="false">($B$101/$B$105)*Z105</f>
        <v>59.7625514136518</v>
      </c>
      <c r="AA101" s="1" t="n">
        <f aca="false">($B$101/$B$105)*AA105</f>
        <v>57.638707372609</v>
      </c>
      <c r="AB101" s="1" t="n">
        <f aca="false">($B$101/$B$105)*AB105</f>
        <v>55.5904080925122</v>
      </c>
      <c r="AC101" s="1" t="n">
        <f aca="false">($B$101/$B$105)*AC105</f>
        <v>53.6625970053623</v>
      </c>
      <c r="AD101" s="10"/>
    </row>
    <row r="102" customFormat="false" ht="12.8" hidden="false" customHeight="false" outlineLevel="0" collapsed="false">
      <c r="A102" s="1" t="s">
        <v>18</v>
      </c>
      <c r="B102" s="2" t="n">
        <f aca="false">$B$10</f>
        <v>1325</v>
      </c>
      <c r="C102" s="4" t="n">
        <f aca="false">$B$10</f>
        <v>1325</v>
      </c>
      <c r="D102" s="2" t="n">
        <f aca="false">$B$10</f>
        <v>1325</v>
      </c>
      <c r="E102" s="2" t="n">
        <f aca="false">$B$10</f>
        <v>1325</v>
      </c>
      <c r="F102" s="2" t="n">
        <f aca="false">$B$10</f>
        <v>1325</v>
      </c>
      <c r="G102" s="2" t="n">
        <f aca="false">$B$10</f>
        <v>1325</v>
      </c>
      <c r="H102" s="2" t="n">
        <f aca="false">$B$10</f>
        <v>1325</v>
      </c>
      <c r="I102" s="2" t="n">
        <f aca="false">$B$10</f>
        <v>1325</v>
      </c>
      <c r="J102" s="2" t="n">
        <f aca="false">$B$10</f>
        <v>1325</v>
      </c>
      <c r="K102" s="2" t="n">
        <f aca="false">$B$10</f>
        <v>1325</v>
      </c>
      <c r="L102" s="2" t="n">
        <f aca="false">$B$10</f>
        <v>1325</v>
      </c>
      <c r="M102" s="2" t="n">
        <f aca="false">$B$10</f>
        <v>1325</v>
      </c>
      <c r="N102" s="2" t="n">
        <f aca="false">$B$10</f>
        <v>1325</v>
      </c>
      <c r="O102" s="2" t="n">
        <f aca="false">$B$10</f>
        <v>1325</v>
      </c>
      <c r="P102" s="2" t="n">
        <f aca="false">$B$10</f>
        <v>1325</v>
      </c>
      <c r="Q102" s="2" t="n">
        <f aca="false">$B$10</f>
        <v>1325</v>
      </c>
      <c r="R102" s="2" t="n">
        <f aca="false">$B$10</f>
        <v>1325</v>
      </c>
      <c r="S102" s="2" t="n">
        <f aca="false">$B$10</f>
        <v>1325</v>
      </c>
      <c r="T102" s="2" t="n">
        <f aca="false">$B$10</f>
        <v>1325</v>
      </c>
      <c r="U102" s="2" t="n">
        <f aca="false">$B$10</f>
        <v>1325</v>
      </c>
      <c r="V102" s="2" t="n">
        <f aca="false">$B$10</f>
        <v>1325</v>
      </c>
      <c r="W102" s="2" t="n">
        <f aca="false">$B$10</f>
        <v>1325</v>
      </c>
      <c r="X102" s="2" t="n">
        <f aca="false">$B$10</f>
        <v>1325</v>
      </c>
      <c r="Y102" s="2" t="n">
        <f aca="false">$B$10</f>
        <v>1325</v>
      </c>
      <c r="Z102" s="2" t="n">
        <f aca="false">$B$10</f>
        <v>1325</v>
      </c>
      <c r="AA102" s="2" t="n">
        <f aca="false">$B$10</f>
        <v>1325</v>
      </c>
      <c r="AB102" s="2" t="n">
        <f aca="false">$B$10</f>
        <v>1325</v>
      </c>
      <c r="AC102" s="2" t="n">
        <f aca="false">$B$10</f>
        <v>1325</v>
      </c>
      <c r="AD102" s="1"/>
    </row>
    <row r="103" customFormat="false" ht="12.8" hidden="false" customHeight="false" outlineLevel="0" collapsed="false">
      <c r="A103" s="3" t="s">
        <v>39</v>
      </c>
      <c r="B103" s="2" t="n">
        <f aca="false">SUM(B101:B102)</f>
        <v>1396.35033433904</v>
      </c>
      <c r="C103" s="1" t="n">
        <f aca="false">SUM(C101:C102)</f>
        <v>1396.35033433904</v>
      </c>
      <c r="D103" s="2" t="n">
        <f aca="false">SUM(D101:D102)</f>
        <v>1396.35033433904</v>
      </c>
      <c r="E103" s="2" t="n">
        <f aca="false">SUM(E101:E102)</f>
        <v>1396.35033433904</v>
      </c>
      <c r="F103" s="2" t="n">
        <f aca="false">SUM(F101:F102)</f>
        <v>1396.35033433904</v>
      </c>
      <c r="G103" s="2" t="n">
        <f aca="false">SUM(G101:G102)</f>
        <v>1396.35033433904</v>
      </c>
      <c r="H103" s="2" t="n">
        <f aca="false">SUM(H101:H102)</f>
        <v>1396.35033433904</v>
      </c>
      <c r="I103" s="2" t="n">
        <f aca="false">SUM(I101:I102)</f>
        <v>1395.84446076254</v>
      </c>
      <c r="J103" s="2" t="n">
        <f aca="false">SUM(J101:J102)</f>
        <v>1395.71072102078</v>
      </c>
      <c r="K103" s="2" t="n">
        <f aca="false">SUM(K101:K102)</f>
        <v>1395.55509186666</v>
      </c>
      <c r="L103" s="2" t="n">
        <f aca="false">SUM(L101:L102)</f>
        <v>1395.37344523768</v>
      </c>
      <c r="M103" s="2" t="n">
        <f aca="false">SUM(M101:M102)</f>
        <v>1395.1609102457</v>
      </c>
      <c r="N103" s="2" t="n">
        <f aca="false">SUM(N101:N102)</f>
        <v>1394.91173748373</v>
      </c>
      <c r="O103" s="2" t="n">
        <f aca="false">SUM(O101:O102)</f>
        <v>1394.61913866597</v>
      </c>
      <c r="P103" s="2" t="n">
        <f aca="false">SUM(P101:P102)</f>
        <v>1394.27509710985</v>
      </c>
      <c r="Q103" s="2" t="n">
        <f aca="false">SUM(Q101:Q102)</f>
        <v>1393.87014375191</v>
      </c>
      <c r="R103" s="2" t="n">
        <f aca="false">SUM(R101:R102)</f>
        <v>1393.39309242296</v>
      </c>
      <c r="S103" s="2" t="n">
        <f aca="false">SUM(S101:S102)</f>
        <v>1392.83072696637</v>
      </c>
      <c r="T103" s="2" t="n">
        <f aca="false">SUM(T101:T102)</f>
        <v>1392.16743143362</v>
      </c>
      <c r="U103" s="2" t="n">
        <f aca="false">SUM(U101:U102)</f>
        <v>1391.38475299573</v>
      </c>
      <c r="V103" s="2" t="n">
        <f aca="false">SUM(V101:V102)</f>
        <v>1390.46088532386</v>
      </c>
      <c r="W103" s="2" t="n">
        <f aca="false">SUM(W101:W102)</f>
        <v>1389.37005796319</v>
      </c>
      <c r="X103" s="2" t="n">
        <f aca="false">SUM(X101:X102)</f>
        <v>1388.08181458994</v>
      </c>
      <c r="Y103" s="2" t="n">
        <f aca="false">SUM(Y101:Y102)</f>
        <v>1386.56015992705</v>
      </c>
      <c r="Z103" s="2" t="n">
        <f aca="false">SUM(Z101:Z102)</f>
        <v>1384.76255141365</v>
      </c>
      <c r="AA103" s="2" t="n">
        <f aca="false">SUM(AA101:AA102)</f>
        <v>1382.63870737261</v>
      </c>
      <c r="AB103" s="2" t="n">
        <f aca="false">SUM(AB101:AB102)</f>
        <v>1380.59040809251</v>
      </c>
      <c r="AC103" s="2" t="n">
        <f aca="false">SUM(AC101:AC102)</f>
        <v>1378.66259700536</v>
      </c>
      <c r="AD103" s="1"/>
    </row>
    <row r="104" customFormat="false" ht="12.8" hidden="false" customHeight="false" outlineLevel="0" collapsed="false">
      <c r="A104" s="1" t="s">
        <v>40</v>
      </c>
      <c r="B104" s="1" t="n">
        <f aca="false">($B$70*(1-B$90))+($B$77*B$90)</f>
        <v>12365.3240919418</v>
      </c>
      <c r="C104" s="1" t="n">
        <f aca="false">($B$70*(1-C$90))+($B$77*C$90)</f>
        <v>12365.3240919418</v>
      </c>
      <c r="D104" s="1" t="n">
        <f aca="false">($B$70*(1-D$90))+($B$77*D$90)</f>
        <v>12365.3240919418</v>
      </c>
      <c r="E104" s="1" t="n">
        <f aca="false">($B$70*(1-E$90))+($B$77*E$90)</f>
        <v>12365.3240919418</v>
      </c>
      <c r="F104" s="1" t="n">
        <f aca="false">($B$70*(1-F$90))+($B$77*F$90)</f>
        <v>12365.3240919418</v>
      </c>
      <c r="G104" s="1" t="n">
        <f aca="false">($B$70*(1-G$90))+($B$77*G$90)</f>
        <v>12365.3240919418</v>
      </c>
      <c r="H104" s="1" t="n">
        <f aca="false">($B$70*(1-H$90))+($B$77*H$90)</f>
        <v>12365.3240919418</v>
      </c>
      <c r="I104" s="1" t="n">
        <f aca="false">($B$70*(1-I$90))+($B$77*I$90)</f>
        <v>12334.8916182591</v>
      </c>
      <c r="J104" s="1" t="n">
        <f aca="false">($B$70*(1-J$90))+($B$77*J$90)</f>
        <v>12328.8051235226</v>
      </c>
      <c r="K104" s="1" t="n">
        <f aca="false">($B$70*(1-K$90))+($B$77*K$90)</f>
        <v>12321.5013298388</v>
      </c>
      <c r="L104" s="1" t="n">
        <f aca="false">($B$70*(1-L$90))+($B$77*L$90)</f>
        <v>12312.7367774182</v>
      </c>
      <c r="M104" s="1" t="n">
        <f aca="false">($B$70*(1-M$90))+($B$77*M$90)</f>
        <v>12302.2193145135</v>
      </c>
      <c r="N104" s="1" t="n">
        <f aca="false">($B$70*(1-N$90))+($B$77*N$90)</f>
        <v>12289.5983590278</v>
      </c>
      <c r="O104" s="1" t="n">
        <f aca="false">($B$70*(1-O$90))+($B$77*O$90)</f>
        <v>12282.7830430656</v>
      </c>
      <c r="P104" s="1" t="n">
        <f aca="false">($B$70*(1-P$90))+($B$77*P$90)</f>
        <v>12275.3543486667</v>
      </c>
      <c r="Q104" s="1" t="n">
        <f aca="false">($B$70*(1-Q$90))+($B$77*Q$90)</f>
        <v>12267.257071772</v>
      </c>
      <c r="R104" s="1" t="n">
        <f aca="false">($B$70*(1-R$90))+($B$77*R$90)</f>
        <v>12258.4310399567</v>
      </c>
      <c r="S104" s="1" t="n">
        <f aca="false">($B$70*(1-S$90))+($B$77*S$90)</f>
        <v>12248.810665278</v>
      </c>
      <c r="T104" s="1" t="n">
        <f aca="false">($B$70*(1-T$90))+($B$77*T$90)</f>
        <v>12238.3244568783</v>
      </c>
      <c r="U104" s="1" t="n">
        <f aca="false">($B$70*(1-U$90))+($B$77*U$90)</f>
        <v>12226.8944897226</v>
      </c>
      <c r="V104" s="1" t="n">
        <f aca="false">($B$70*(1-V$90))+($B$77*V$90)</f>
        <v>12214.4358255228</v>
      </c>
      <c r="W104" s="1" t="n">
        <f aca="false">($B$70*(1-W$90))+($B$77*W$90)</f>
        <v>12200.8558815451</v>
      </c>
      <c r="X104" s="1" t="n">
        <f aca="false">($B$70*(1-X$90))+($B$77*X$90)</f>
        <v>12186.0537426094</v>
      </c>
      <c r="Y104" s="1" t="n">
        <f aca="false">($B$70*(1-Y$90))+($B$77*Y$90)</f>
        <v>12169.9194111695</v>
      </c>
      <c r="Z104" s="1" t="n">
        <f aca="false">($B$70*(1-Z$90))+($B$77*Z$90)</f>
        <v>12152.3329899</v>
      </c>
      <c r="AA104" s="1" t="n">
        <f aca="false">($B$70*(1-AA$90))+($B$77*AA$90)</f>
        <v>12133.1637907163</v>
      </c>
      <c r="AB104" s="1" t="n">
        <f aca="false">($B$70*(1-AB$90))+($B$77*AB$90)</f>
        <v>12112.269363606</v>
      </c>
      <c r="AC104" s="1" t="n">
        <f aca="false">($B$70*(1-AC$90))+($B$77*AC$90)</f>
        <v>12089.4944380557</v>
      </c>
    </row>
    <row r="105" customFormat="false" ht="12.8" hidden="false" customHeight="false" outlineLevel="0" collapsed="false">
      <c r="A105" s="1" t="s">
        <v>41</v>
      </c>
      <c r="B105" s="1" t="n">
        <f aca="false">($C$57*(1-B$95))+($C$58*B$95)</f>
        <v>4185.72266047358</v>
      </c>
      <c r="C105" s="1" t="n">
        <f aca="false">($C$57*(1-C$95))+($C$58*C$95)</f>
        <v>4185.72266047358</v>
      </c>
      <c r="D105" s="1" t="n">
        <f aca="false">($C$57*(1-D$95))+($C$58*D$95)</f>
        <v>4182.20560357105</v>
      </c>
      <c r="E105" s="1" t="n">
        <f aca="false">($C$57*(1-E$95))+($C$58*E$95)</f>
        <v>4178.25532801241</v>
      </c>
      <c r="F105" s="1" t="n">
        <f aca="false">($C$57*(1-F$95))+($C$58*F$95)</f>
        <v>4173.78081825517</v>
      </c>
      <c r="G105" s="1" t="n">
        <f aca="false">($C$57*(1-G$95))+($C$58*G$95)</f>
        <v>4168.67520979561</v>
      </c>
      <c r="H105" s="1" t="n">
        <f aca="false">($C$57*(1-H$95))+($C$58*H$95)</f>
        <v>4162.81286254793</v>
      </c>
      <c r="I105" s="1" t="n">
        <f aca="false">($C$57*(1-I$95))+($C$58*I$95)</f>
        <v>4156.04590405554</v>
      </c>
      <c r="J105" s="1" t="n">
        <f aca="false">($C$57*(1-J$95))+($C$58*J$95)</f>
        <v>4148.20014589812</v>
      </c>
      <c r="K105" s="1" t="n">
        <f aca="false">($C$57*(1-K$95))+($C$58*K$95)</f>
        <v>4139.07025907894</v>
      </c>
      <c r="L105" s="1" t="n">
        <f aca="false">($C$57*(1-L$95))+($C$58*L$95)</f>
        <v>4128.41407339789</v>
      </c>
      <c r="M105" s="1" t="n">
        <f aca="false">($C$57*(1-M$95))+($C$58*M$95)</f>
        <v>4115.94584125389</v>
      </c>
      <c r="N105" s="1" t="n">
        <f aca="false">($C$57*(1-N$95))+($C$58*N$95)</f>
        <v>4101.32827728887</v>
      </c>
      <c r="O105" s="1" t="n">
        <f aca="false">($C$57*(1-O$95))+($C$58*O$95)</f>
        <v>4084.16315096852</v>
      </c>
      <c r="P105" s="1" t="n">
        <f aca="false">($C$57*(1-P$95))+($C$58*P$95)</f>
        <v>4063.9801686332</v>
      </c>
      <c r="Q105" s="1" t="n">
        <f aca="false">($C$57*(1-Q$95))+($C$58*Q$95)</f>
        <v>4040.22383360729</v>
      </c>
      <c r="R105" s="1" t="n">
        <f aca="false">($C$57*(1-R$95))+($C$58*R$95)</f>
        <v>4012.23791628378</v>
      </c>
      <c r="S105" s="1" t="n">
        <f aca="false">($C$57*(1-S$95))+($C$58*S$95)</f>
        <v>3979.24709911526</v>
      </c>
      <c r="T105" s="1" t="n">
        <f aca="false">($C$57*(1-T$95))+($C$58*T$95)</f>
        <v>3940.33528226478</v>
      </c>
      <c r="U105" s="1" t="n">
        <f aca="false">($C$57*(1-U$95))+($C$58*U$95)</f>
        <v>3894.41994208182</v>
      </c>
      <c r="V105" s="1" t="n">
        <f aca="false">($C$57*(1-V$95))+($C$58*V$95)</f>
        <v>3840.22182394726</v>
      </c>
      <c r="W105" s="1" t="n">
        <f aca="false">($C$57*(1-W$95))+($C$58*W$95)</f>
        <v>3776.22912027617</v>
      </c>
      <c r="X105" s="1" t="n">
        <f aca="false">($C$57*(1-X$95))+($C$58*X$95)</f>
        <v>3700.65512991479</v>
      </c>
      <c r="Y105" s="1" t="n">
        <f aca="false">($C$57*(1-Y$95))+($C$58*Y$95)</f>
        <v>3611.38821248677</v>
      </c>
      <c r="Z105" s="1" t="n">
        <f aca="false">($C$57*(1-Z$95))+($C$58*Z$95)</f>
        <v>3505.93263531429</v>
      </c>
      <c r="AA105" s="1" t="n">
        <f aca="false">($C$57*(1-AA$95))+($C$58*AA$95)</f>
        <v>3381.33865531047</v>
      </c>
      <c r="AB105" s="1" t="n">
        <f aca="false">($C$57*(1-AB$95))+($C$58*AB$95)</f>
        <v>3261.17646137606</v>
      </c>
      <c r="AC105" s="1" t="n">
        <f aca="false">($C$57*(1-AC$95))+($C$58*AC$95)</f>
        <v>3148.08263179074</v>
      </c>
    </row>
    <row r="106" customFormat="false" ht="12.8" hidden="false" customHeight="false" outlineLevel="0" collapsed="false">
      <c r="A106" s="1" t="s">
        <v>20</v>
      </c>
      <c r="B106" s="1" t="n">
        <f aca="false">SUM(B101:B105)</f>
        <v>19343.7474210934</v>
      </c>
      <c r="C106" s="1" t="n">
        <f aca="false">SUM(C101:C105)</f>
        <v>19343.7474210934</v>
      </c>
      <c r="D106" s="1" t="n">
        <f aca="false">SUM(D101:D105)</f>
        <v>19340.2303641909</v>
      </c>
      <c r="E106" s="1" t="n">
        <f aca="false">SUM(E101:E105)</f>
        <v>19336.2800886323</v>
      </c>
      <c r="F106" s="1" t="n">
        <f aca="false">SUM(F101:F105)</f>
        <v>19331.805578875</v>
      </c>
      <c r="G106" s="1" t="n">
        <f aca="false">SUM(G101:G105)</f>
        <v>19326.6999704155</v>
      </c>
      <c r="H106" s="1" t="n">
        <f aca="false">SUM(H101:H105)</f>
        <v>19320.8376231678</v>
      </c>
      <c r="I106" s="1" t="n">
        <f aca="false">SUM(I101:I105)</f>
        <v>19282.6264438398</v>
      </c>
      <c r="J106" s="1" t="n">
        <f aca="false">SUM(J101:J105)</f>
        <v>19268.4267114623</v>
      </c>
      <c r="K106" s="1" t="n">
        <f aca="false">SUM(K101:K105)</f>
        <v>19251.6817726511</v>
      </c>
      <c r="L106" s="1" t="n">
        <f aca="false">SUM(L101:L105)</f>
        <v>19231.8977412914</v>
      </c>
      <c r="M106" s="1" t="n">
        <f aca="false">SUM(M101:M105)</f>
        <v>19208.4869762588</v>
      </c>
      <c r="N106" s="1" t="n">
        <f aca="false">SUM(N101:N105)</f>
        <v>19180.7501112842</v>
      </c>
      <c r="O106" s="1" t="n">
        <f aca="false">SUM(O101:O105)</f>
        <v>19156.184471366</v>
      </c>
      <c r="P106" s="1" t="n">
        <f aca="false">SUM(P101:P105)</f>
        <v>19127.8847115196</v>
      </c>
      <c r="Q106" s="1" t="n">
        <f aca="false">SUM(Q101:Q105)</f>
        <v>19095.2211928831</v>
      </c>
      <c r="R106" s="1" t="n">
        <f aca="false">SUM(R101:R105)</f>
        <v>19057.4551410864</v>
      </c>
      <c r="S106" s="1" t="n">
        <f aca="false">SUM(S101:S105)</f>
        <v>19013.719218326</v>
      </c>
      <c r="T106" s="1" t="n">
        <f aca="false">SUM(T101:T105)</f>
        <v>18962.9946020103</v>
      </c>
      <c r="U106" s="1" t="n">
        <f aca="false">SUM(U101:U105)</f>
        <v>18904.0839377958</v>
      </c>
      <c r="V106" s="1" t="n">
        <f aca="false">SUM(V101:V105)</f>
        <v>18835.5794201178</v>
      </c>
      <c r="W106" s="1" t="n">
        <f aca="false">SUM(W101:W105)</f>
        <v>18755.8251177477</v>
      </c>
      <c r="X106" s="1" t="n">
        <f aca="false">SUM(X101:X105)</f>
        <v>18662.8725017041</v>
      </c>
      <c r="Y106" s="1" t="n">
        <f aca="false">SUM(Y101:Y105)</f>
        <v>18554.4279435104</v>
      </c>
      <c r="Z106" s="1" t="n">
        <f aca="false">SUM(Z101:Z105)</f>
        <v>18427.7907280416</v>
      </c>
      <c r="AA106" s="1" t="n">
        <f aca="false">SUM(AA101:AA105)</f>
        <v>18279.779860772</v>
      </c>
      <c r="AB106" s="1" t="n">
        <f aca="false">SUM(AB101:AB105)</f>
        <v>18134.6266411671</v>
      </c>
      <c r="AC106" s="1" t="n">
        <f aca="false">SUM(AC101:AC105)</f>
        <v>17994.9022638572</v>
      </c>
    </row>
    <row r="107" customFormat="false" ht="12.8" hidden="false" customHeight="false" outlineLevel="0" collapsed="false">
      <c r="C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</row>
    <row r="108" customFormat="false" ht="12.8" hidden="false" customHeight="false" outlineLevel="0" collapsed="false">
      <c r="A108" s="1" t="s">
        <v>319</v>
      </c>
      <c r="B108" s="1" t="s">
        <v>575</v>
      </c>
      <c r="C108" s="1" t="n">
        <v>2024</v>
      </c>
      <c r="D108" s="1" t="n">
        <v>2025</v>
      </c>
      <c r="E108" s="1" t="n">
        <v>2026</v>
      </c>
      <c r="F108" s="1" t="n">
        <v>2027</v>
      </c>
      <c r="G108" s="1" t="n">
        <v>2028</v>
      </c>
      <c r="H108" s="1" t="n">
        <v>2029</v>
      </c>
      <c r="I108" s="1" t="n">
        <v>2030</v>
      </c>
      <c r="J108" s="1" t="n">
        <v>2031</v>
      </c>
      <c r="K108" s="1" t="n">
        <v>2032</v>
      </c>
      <c r="L108" s="1" t="n">
        <v>2033</v>
      </c>
      <c r="M108" s="1" t="n">
        <v>2034</v>
      </c>
      <c r="N108" s="1" t="n">
        <v>2035</v>
      </c>
      <c r="O108" s="1" t="n">
        <v>2036</v>
      </c>
      <c r="P108" s="1" t="n">
        <v>2037</v>
      </c>
      <c r="Q108" s="1" t="n">
        <v>2038</v>
      </c>
      <c r="R108" s="1" t="n">
        <v>2039</v>
      </c>
      <c r="S108" s="1" t="n">
        <v>2040</v>
      </c>
      <c r="T108" s="1" t="n">
        <v>2041</v>
      </c>
      <c r="U108" s="1" t="n">
        <v>2042</v>
      </c>
      <c r="V108" s="1" t="n">
        <v>2043</v>
      </c>
      <c r="W108" s="1" t="n">
        <v>2044</v>
      </c>
      <c r="X108" s="1" t="n">
        <v>2045</v>
      </c>
      <c r="Y108" s="1" t="n">
        <v>2046</v>
      </c>
      <c r="Z108" s="1" t="n">
        <v>2047</v>
      </c>
      <c r="AA108" s="1" t="n">
        <v>2048</v>
      </c>
      <c r="AB108" s="1" t="n">
        <v>2049</v>
      </c>
      <c r="AC108" s="1" t="n">
        <v>2050</v>
      </c>
    </row>
    <row r="109" customFormat="false" ht="12.8" hidden="false" customHeight="false" outlineLevel="0" collapsed="false">
      <c r="A109" s="1" t="s">
        <v>37</v>
      </c>
      <c r="B109" s="1" t="n">
        <f aca="false">($B$30*$B$28)+($B$39*$B$42)</f>
        <v>71.3503343390438</v>
      </c>
      <c r="C109" s="1" t="n">
        <f aca="false">($B$30*$B$28)+($B$39*$B$42)</f>
        <v>71.3503343390438</v>
      </c>
      <c r="D109" s="1" t="n">
        <f aca="false">($B$30*$B$33)+($B$44*$B$47)</f>
        <v>24.0522502980757</v>
      </c>
      <c r="E109" s="1" t="n">
        <f aca="false">($B$30*$B$33)+($B$44*$B$47)</f>
        <v>24.0522502980757</v>
      </c>
      <c r="F109" s="1" t="n">
        <f aca="false">($B$30*$B$33)+($B$44*$B$47)</f>
        <v>24.0522502980757</v>
      </c>
      <c r="G109" s="1" t="n">
        <f aca="false">($B$30*$B$33)+($B$44*$B$47)</f>
        <v>24.0522502980757</v>
      </c>
      <c r="H109" s="1" t="n">
        <f aca="false">($B$30*$B$33)+($B$44*$B$47)</f>
        <v>24.0522502980757</v>
      </c>
      <c r="I109" s="1" t="n">
        <f aca="false">($B$30*$B$33)+($B$44*$B$47)</f>
        <v>24.0522502980757</v>
      </c>
      <c r="J109" s="1" t="n">
        <f aca="false">($B$30*$B$33)+($B$44*$B$47)</f>
        <v>24.0522502980757</v>
      </c>
      <c r="K109" s="1" t="n">
        <f aca="false">($B$30*$B$33)+($B$44*$B$47)</f>
        <v>24.0522502980757</v>
      </c>
      <c r="L109" s="1" t="n">
        <f aca="false">$K109*0.9</f>
        <v>21.6470252682681</v>
      </c>
      <c r="M109" s="1" t="n">
        <v>22.0256904333107</v>
      </c>
      <c r="N109" s="1" t="n">
        <v>22.0256904333107</v>
      </c>
      <c r="O109" s="1" t="n">
        <v>22.0256904333107</v>
      </c>
      <c r="P109" s="1" t="n">
        <v>22.0256904333107</v>
      </c>
      <c r="Q109" s="1" t="n">
        <v>22.0256904333107</v>
      </c>
      <c r="R109" s="1" t="n">
        <v>22.0256904333107</v>
      </c>
      <c r="S109" s="1" t="n">
        <f aca="false">$L109*0.9</f>
        <v>19.4823227414413</v>
      </c>
      <c r="T109" s="1" t="n">
        <v>19.8231213899797</v>
      </c>
      <c r="U109" s="1" t="n">
        <v>19.8231213899797</v>
      </c>
      <c r="V109" s="1" t="n">
        <v>19.8231213899797</v>
      </c>
      <c r="W109" s="1" t="n">
        <v>19.8231213899797</v>
      </c>
      <c r="X109" s="1" t="n">
        <v>19.8231213899797</v>
      </c>
      <c r="Y109" s="1" t="n">
        <v>19.8231213899797</v>
      </c>
      <c r="Z109" s="1" t="n">
        <f aca="false">$S109*0.9</f>
        <v>17.5340904672972</v>
      </c>
      <c r="AA109" s="1" t="n">
        <v>17.8408092509817</v>
      </c>
      <c r="AB109" s="1" t="n">
        <f aca="false">$S109*0.9</f>
        <v>17.5340904672972</v>
      </c>
      <c r="AC109" s="1" t="n">
        <f aca="false">$S109*0.9</f>
        <v>17.5340904672972</v>
      </c>
      <c r="AD109" s="10"/>
    </row>
    <row r="110" customFormat="false" ht="12.8" hidden="false" customHeight="false" outlineLevel="0" collapsed="false">
      <c r="A110" s="1" t="s">
        <v>18</v>
      </c>
      <c r="B110" s="4" t="n">
        <f aca="false">$B$10</f>
        <v>1325</v>
      </c>
      <c r="C110" s="4" t="n">
        <f aca="false">$B$10</f>
        <v>1325</v>
      </c>
      <c r="D110" s="4" t="n">
        <f aca="false">$B$10</f>
        <v>1325</v>
      </c>
      <c r="E110" s="1" t="n">
        <f aca="false">($B$18*0.25)+($B$10*0.75)</f>
        <v>1067.79657860088</v>
      </c>
      <c r="F110" s="146" t="n">
        <f aca="false">$B$18</f>
        <v>296.186314403533</v>
      </c>
      <c r="G110" s="146" t="n">
        <f aca="false">$B$18</f>
        <v>296.186314403533</v>
      </c>
      <c r="H110" s="146" t="n">
        <f aca="false">$B$18</f>
        <v>296.186314403533</v>
      </c>
      <c r="I110" s="146" t="n">
        <f aca="false">$B$18</f>
        <v>296.186314403533</v>
      </c>
      <c r="J110" s="146" t="n">
        <f aca="false">$B$18</f>
        <v>296.186314403533</v>
      </c>
      <c r="K110" s="146" t="n">
        <f aca="false">$B$18</f>
        <v>296.186314403533</v>
      </c>
      <c r="L110" s="146" t="n">
        <f aca="false">$B$18</f>
        <v>296.186314403533</v>
      </c>
      <c r="M110" s="146" t="n">
        <f aca="false">$B$18</f>
        <v>296.186314403533</v>
      </c>
      <c r="N110" s="146" t="n">
        <f aca="false">$B$18</f>
        <v>296.186314403533</v>
      </c>
      <c r="O110" s="146" t="n">
        <f aca="false">$B$18</f>
        <v>296.186314403533</v>
      </c>
      <c r="P110" s="146" t="n">
        <f aca="false">$B$18</f>
        <v>296.186314403533</v>
      </c>
      <c r="Q110" s="146" t="n">
        <f aca="false">$B$18</f>
        <v>296.186314403533</v>
      </c>
      <c r="R110" s="146" t="n">
        <f aca="false">$B$18</f>
        <v>296.186314403533</v>
      </c>
      <c r="S110" s="146" t="n">
        <f aca="false">$B$18</f>
        <v>296.186314403533</v>
      </c>
      <c r="T110" s="146" t="n">
        <f aca="false">$B$18</f>
        <v>296.186314403533</v>
      </c>
      <c r="U110" s="146" t="n">
        <f aca="false">$B$18</f>
        <v>296.186314403533</v>
      </c>
      <c r="V110" s="146" t="n">
        <f aca="false">$B$18</f>
        <v>296.186314403533</v>
      </c>
      <c r="W110" s="146" t="n">
        <f aca="false">$B$18</f>
        <v>296.186314403533</v>
      </c>
      <c r="X110" s="146" t="n">
        <f aca="false">$B$18</f>
        <v>296.186314403533</v>
      </c>
      <c r="Y110" s="146" t="n">
        <f aca="false">$B$18</f>
        <v>296.186314403533</v>
      </c>
      <c r="Z110" s="146" t="n">
        <f aca="false">$B$18</f>
        <v>296.186314403533</v>
      </c>
      <c r="AA110" s="146" t="n">
        <f aca="false">$B$18</f>
        <v>296.186314403533</v>
      </c>
      <c r="AB110" s="146" t="n">
        <f aca="false">$B$18</f>
        <v>296.186314403533</v>
      </c>
      <c r="AC110" s="146" t="n">
        <f aca="false">$B$18</f>
        <v>296.186314403533</v>
      </c>
      <c r="AD110" s="1"/>
    </row>
    <row r="111" customFormat="false" ht="12.8" hidden="false" customHeight="false" outlineLevel="0" collapsed="false">
      <c r="A111" s="3" t="s">
        <v>39</v>
      </c>
      <c r="B111" s="1" t="n">
        <f aca="false">SUM(B109:B110)</f>
        <v>1396.35033433904</v>
      </c>
      <c r="C111" s="1" t="n">
        <f aca="false">SUM(C109:C110)</f>
        <v>1396.35033433904</v>
      </c>
      <c r="D111" s="1" t="n">
        <f aca="false">SUM(D109:D110)</f>
        <v>1349.05225029808</v>
      </c>
      <c r="E111" s="1" t="n">
        <f aca="false">SUM(E109:E110)</f>
        <v>1091.84882889896</v>
      </c>
      <c r="F111" s="1" t="n">
        <f aca="false">SUM(F109:F110)</f>
        <v>320.238564701609</v>
      </c>
      <c r="G111" s="1" t="n">
        <f aca="false">SUM(G109:G110)</f>
        <v>320.238564701609</v>
      </c>
      <c r="H111" s="1" t="n">
        <f aca="false">SUM(H109:H110)</f>
        <v>320.238564701609</v>
      </c>
      <c r="I111" s="1" t="n">
        <f aca="false">SUM(I109:I110)</f>
        <v>320.238564701609</v>
      </c>
      <c r="J111" s="1" t="n">
        <f aca="false">SUM(J109:J110)</f>
        <v>320.238564701609</v>
      </c>
      <c r="K111" s="1" t="n">
        <f aca="false">SUM(K109:K110)</f>
        <v>320.238564701609</v>
      </c>
      <c r="L111" s="1" t="n">
        <f aca="false">SUM(L109:L110)</f>
        <v>317.833339671801</v>
      </c>
      <c r="M111" s="1" t="n">
        <f aca="false">SUM(M109:M110)</f>
        <v>318.212004836844</v>
      </c>
      <c r="N111" s="1" t="n">
        <f aca="false">SUM(N109:N110)</f>
        <v>318.212004836844</v>
      </c>
      <c r="O111" s="1" t="n">
        <f aca="false">SUM(O109:O110)</f>
        <v>318.212004836844</v>
      </c>
      <c r="P111" s="1" t="n">
        <f aca="false">SUM(P109:P110)</f>
        <v>318.212004836844</v>
      </c>
      <c r="Q111" s="1" t="n">
        <f aca="false">SUM(Q109:Q110)</f>
        <v>318.212004836844</v>
      </c>
      <c r="R111" s="1" t="n">
        <f aca="false">SUM(R109:R110)</f>
        <v>318.212004836844</v>
      </c>
      <c r="S111" s="1" t="n">
        <f aca="false">SUM(S109:S110)</f>
        <v>315.668637144975</v>
      </c>
      <c r="T111" s="1" t="n">
        <f aca="false">SUM(T109:T110)</f>
        <v>316.009435793513</v>
      </c>
      <c r="U111" s="1" t="n">
        <f aca="false">SUM(U109:U110)</f>
        <v>316.009435793513</v>
      </c>
      <c r="V111" s="1" t="n">
        <f aca="false">SUM(V109:V110)</f>
        <v>316.009435793513</v>
      </c>
      <c r="W111" s="1" t="n">
        <f aca="false">SUM(W109:W110)</f>
        <v>316.009435793513</v>
      </c>
      <c r="X111" s="1" t="n">
        <f aca="false">SUM(X109:X110)</f>
        <v>316.009435793513</v>
      </c>
      <c r="Y111" s="1" t="n">
        <f aca="false">SUM(Y109:Y110)</f>
        <v>316.009435793513</v>
      </c>
      <c r="Z111" s="1" t="n">
        <f aca="false">SUM(Z109:Z110)</f>
        <v>313.72040487083</v>
      </c>
      <c r="AA111" s="1" t="n">
        <f aca="false">SUM(AA109:AA110)</f>
        <v>314.027123654515</v>
      </c>
      <c r="AB111" s="1" t="n">
        <f aca="false">SUM(AB109:AB110)</f>
        <v>313.72040487083</v>
      </c>
      <c r="AC111" s="1" t="n">
        <f aca="false">SUM(AC109:AC110)</f>
        <v>313.72040487083</v>
      </c>
      <c r="AD111" s="1"/>
    </row>
    <row r="112" customFormat="false" ht="12.8" hidden="false" customHeight="false" outlineLevel="0" collapsed="false">
      <c r="A112" s="1" t="s">
        <v>40</v>
      </c>
      <c r="B112" s="1" t="n">
        <f aca="false">($B$70*(1-B$90))+($B$77*B$90)</f>
        <v>12365.3240919418</v>
      </c>
      <c r="C112" s="1" t="n">
        <f aca="false">($B$70*(1-C$90))+($B$77*C$90)</f>
        <v>12365.3240919418</v>
      </c>
      <c r="D112" s="1" t="n">
        <f aca="false">($B$70*(1-D$90))+($B$77*D$90)</f>
        <v>12365.3240919418</v>
      </c>
      <c r="E112" s="1" t="n">
        <f aca="false">($B$70*(1-E$90))+($B$77*E$90)</f>
        <v>12365.3240919418</v>
      </c>
      <c r="F112" s="1" t="n">
        <f aca="false">($B$70*(1-F$90))+($B$77*F$90)</f>
        <v>12365.3240919418</v>
      </c>
      <c r="G112" s="1" t="n">
        <f aca="false">($B$70*(1-G$90))+($B$77*G$90)</f>
        <v>12365.3240919418</v>
      </c>
      <c r="H112" s="1" t="n">
        <f aca="false">($B$70*(1-H$90))+($B$77*H$90)</f>
        <v>12365.3240919418</v>
      </c>
      <c r="I112" s="1" t="n">
        <f aca="false">($B$70*(1-I$90))+($B$77*I$90)</f>
        <v>12334.8916182591</v>
      </c>
      <c r="J112" s="1" t="n">
        <f aca="false">($B$70*(1-J$90))+($B$77*J$90)</f>
        <v>12328.8051235226</v>
      </c>
      <c r="K112" s="1" t="n">
        <f aca="false">($B$70*(1-K$90))+($B$77*K$90)</f>
        <v>12321.5013298388</v>
      </c>
      <c r="L112" s="1" t="n">
        <f aca="false">($B$70*(1-L$90))+($B$77*L$90)</f>
        <v>12312.7367774182</v>
      </c>
      <c r="M112" s="1" t="n">
        <f aca="false">($B$70*(1-M$90))+($B$77*M$90)</f>
        <v>12302.2193145135</v>
      </c>
      <c r="N112" s="1" t="n">
        <f aca="false">($B$70*(1-N$90))+($B$77*N$90)</f>
        <v>12289.5983590278</v>
      </c>
      <c r="O112" s="1" t="n">
        <f aca="false">($B$70*(1-O$90))+($B$77*O$90)</f>
        <v>12282.7830430656</v>
      </c>
      <c r="P112" s="1" t="n">
        <f aca="false">($B$70*(1-P$90))+($B$77*P$90)</f>
        <v>12275.3543486667</v>
      </c>
      <c r="Q112" s="1" t="n">
        <f aca="false">($B$70*(1-Q$90))+($B$77*Q$90)</f>
        <v>12267.257071772</v>
      </c>
      <c r="R112" s="1" t="n">
        <f aca="false">($B$70*(1-R$90))+($B$77*R$90)</f>
        <v>12258.4310399567</v>
      </c>
      <c r="S112" s="1" t="n">
        <f aca="false">($B$70*(1-S$90))+($B$77*S$90)</f>
        <v>12248.810665278</v>
      </c>
      <c r="T112" s="1" t="n">
        <f aca="false">($B$70*(1-T$90))+($B$77*T$90)</f>
        <v>12238.3244568783</v>
      </c>
      <c r="U112" s="1" t="n">
        <f aca="false">($B$70*(1-U$90))+($B$77*U$90)</f>
        <v>12226.8944897226</v>
      </c>
      <c r="V112" s="1" t="n">
        <f aca="false">($B$70*(1-V$90))+($B$77*V$90)</f>
        <v>12214.4358255228</v>
      </c>
      <c r="W112" s="1" t="n">
        <f aca="false">($B$70*(1-W$90))+($B$77*W$90)</f>
        <v>12200.8558815451</v>
      </c>
      <c r="X112" s="1" t="n">
        <f aca="false">($B$70*(1-X$90))+($B$77*X$90)</f>
        <v>12186.0537426094</v>
      </c>
      <c r="Y112" s="1" t="n">
        <f aca="false">($B$70*(1-Y$90))+($B$77*Y$90)</f>
        <v>12169.9194111695</v>
      </c>
      <c r="Z112" s="1" t="n">
        <f aca="false">($B$70*(1-Z$90))+($B$77*Z$90)</f>
        <v>12152.3329899</v>
      </c>
      <c r="AA112" s="1" t="n">
        <f aca="false">($B$70*(1-AA$90))+($B$77*AA$90)</f>
        <v>12133.1637907163</v>
      </c>
      <c r="AB112" s="1" t="n">
        <f aca="false">($B$70*(1-AB$90))+($B$77*AB$90)</f>
        <v>12112.269363606</v>
      </c>
      <c r="AC112" s="1" t="n">
        <f aca="false">($B$70*(1-AC$90))+($B$77*AC$90)</f>
        <v>12089.4944380557</v>
      </c>
      <c r="AD112" s="1"/>
    </row>
    <row r="113" customFormat="false" ht="12.8" hidden="false" customHeight="false" outlineLevel="0" collapsed="false">
      <c r="A113" s="1" t="s">
        <v>41</v>
      </c>
      <c r="B113" s="1" t="n">
        <f aca="false">($C$57*(1-B$95))+($C$58*B$95)</f>
        <v>4185.72266047358</v>
      </c>
      <c r="C113" s="1" t="n">
        <f aca="false">($C$57*(1-C$95))+($C$58*C$95)</f>
        <v>4185.72266047358</v>
      </c>
      <c r="D113" s="1" t="n">
        <f aca="false">($C$57*(1-D$95))+($C$58*D$95)</f>
        <v>4182.20560357105</v>
      </c>
      <c r="E113" s="1" t="n">
        <f aca="false">($C$57*(1-E$95))+($C$58*E$95)</f>
        <v>4178.25532801241</v>
      </c>
      <c r="F113" s="1" t="n">
        <f aca="false">($C$57*(1-F$95))+($C$58*F$95)</f>
        <v>4173.78081825517</v>
      </c>
      <c r="G113" s="1" t="n">
        <f aca="false">($C$57*(1-G$95))+($C$58*G$95)</f>
        <v>4168.67520979561</v>
      </c>
      <c r="H113" s="1" t="n">
        <f aca="false">($C$57*(1-H$95))+($C$58*H$95)</f>
        <v>4162.81286254793</v>
      </c>
      <c r="I113" s="1" t="n">
        <f aca="false">($C$57*(1-I$95))+($C$58*I$95)</f>
        <v>4156.04590405554</v>
      </c>
      <c r="J113" s="1" t="n">
        <f aca="false">($C$57*(1-J$95))+($C$58*J$95)</f>
        <v>4148.20014589812</v>
      </c>
      <c r="K113" s="1" t="n">
        <f aca="false">($C$57*(1-K$95))+($C$58*K$95)</f>
        <v>4139.07025907894</v>
      </c>
      <c r="L113" s="1" t="n">
        <f aca="false">($C$57*(1-L$95))+($C$58*L$95)</f>
        <v>4128.41407339789</v>
      </c>
      <c r="M113" s="1" t="n">
        <f aca="false">($C$57*(1-M$95))+($C$58*M$95)</f>
        <v>4115.94584125389</v>
      </c>
      <c r="N113" s="1" t="n">
        <f aca="false">($C$57*(1-N$95))+($C$58*N$95)</f>
        <v>4101.32827728887</v>
      </c>
      <c r="O113" s="1" t="n">
        <f aca="false">($C$57*(1-O$95))+($C$58*O$95)</f>
        <v>4084.16315096852</v>
      </c>
      <c r="P113" s="1" t="n">
        <f aca="false">($C$57*(1-P$95))+($C$58*P$95)</f>
        <v>4063.9801686332</v>
      </c>
      <c r="Q113" s="1" t="n">
        <f aca="false">($C$57*(1-Q$95))+($C$58*Q$95)</f>
        <v>4040.22383360729</v>
      </c>
      <c r="R113" s="1" t="n">
        <f aca="false">($C$57*(1-R$95))+($C$58*R$95)</f>
        <v>4012.23791628378</v>
      </c>
      <c r="S113" s="1" t="n">
        <f aca="false">($C$57*(1-S$95))+($C$58*S$95)</f>
        <v>3979.24709911526</v>
      </c>
      <c r="T113" s="1" t="n">
        <f aca="false">($C$57*(1-T$95))+($C$58*T$95)</f>
        <v>3940.33528226478</v>
      </c>
      <c r="U113" s="1" t="n">
        <f aca="false">($C$57*(1-U$95))+($C$58*U$95)</f>
        <v>3894.41994208182</v>
      </c>
      <c r="V113" s="1" t="n">
        <f aca="false">($C$57*(1-V$95))+($C$58*V$95)</f>
        <v>3840.22182394726</v>
      </c>
      <c r="W113" s="1" t="n">
        <f aca="false">($C$57*(1-W$95))+($C$58*W$95)</f>
        <v>3776.22912027617</v>
      </c>
      <c r="X113" s="1" t="n">
        <f aca="false">($C$57*(1-X$95))+($C$58*X$95)</f>
        <v>3700.65512991479</v>
      </c>
      <c r="Y113" s="1" t="n">
        <f aca="false">($C$57*(1-Y$95))+($C$58*Y$95)</f>
        <v>3611.38821248677</v>
      </c>
      <c r="Z113" s="1" t="n">
        <f aca="false">($C$57*(1-Z$95))+($C$58*Z$95)</f>
        <v>3505.93263531429</v>
      </c>
      <c r="AA113" s="1" t="n">
        <f aca="false">($C$57*(1-AA$95))+($C$58*AA$95)</f>
        <v>3381.33865531047</v>
      </c>
      <c r="AB113" s="1" t="n">
        <f aca="false">($C$57*(1-AB$95))+($C$58*AB$95)</f>
        <v>3261.17646137606</v>
      </c>
      <c r="AC113" s="1" t="n">
        <f aca="false">($C$57*(1-AC$95))+($C$58*AC$95)</f>
        <v>3148.08263179074</v>
      </c>
      <c r="AD113" s="10"/>
    </row>
    <row r="114" customFormat="false" ht="12.8" hidden="false" customHeight="false" outlineLevel="0" collapsed="false">
      <c r="A114" s="1" t="s">
        <v>20</v>
      </c>
      <c r="B114" s="1" t="n">
        <f aca="false">SUM(B109:B113)</f>
        <v>19343.7474210934</v>
      </c>
      <c r="C114" s="1" t="n">
        <f aca="false">SUM(C109:C113)</f>
        <v>19343.7474210934</v>
      </c>
      <c r="D114" s="1" t="n">
        <f aca="false">SUM(D109:D113)</f>
        <v>19245.634196109</v>
      </c>
      <c r="E114" s="1" t="n">
        <f aca="false">SUM(E109:E113)</f>
        <v>18727.2770777521</v>
      </c>
      <c r="F114" s="1" t="n">
        <f aca="false">SUM(F109:F113)</f>
        <v>17179.5820396002</v>
      </c>
      <c r="G114" s="1" t="n">
        <f aca="false">SUM(G109:G113)</f>
        <v>17174.4764311406</v>
      </c>
      <c r="H114" s="1" t="n">
        <f aca="false">SUM(H109:H113)</f>
        <v>17168.6140838929</v>
      </c>
      <c r="I114" s="1" t="n">
        <f aca="false">SUM(I109:I113)</f>
        <v>17131.4146517179</v>
      </c>
      <c r="J114" s="1" t="n">
        <f aca="false">SUM(J109:J113)</f>
        <v>17117.482398824</v>
      </c>
      <c r="K114" s="1" t="n">
        <f aca="false">SUM(K109:K113)</f>
        <v>17101.048718321</v>
      </c>
      <c r="L114" s="1" t="n">
        <f aca="false">SUM(L109:L113)</f>
        <v>17076.8175301597</v>
      </c>
      <c r="M114" s="1" t="n">
        <f aca="false">SUM(M109:M113)</f>
        <v>17054.5891654411</v>
      </c>
      <c r="N114" s="1" t="n">
        <f aca="false">SUM(N109:N113)</f>
        <v>17027.3506459904</v>
      </c>
      <c r="O114" s="1" t="n">
        <f aca="false">SUM(O109:O113)</f>
        <v>17003.3702037078</v>
      </c>
      <c r="P114" s="1" t="n">
        <f aca="false">SUM(P109:P113)</f>
        <v>16975.7585269736</v>
      </c>
      <c r="Q114" s="1" t="n">
        <f aca="false">SUM(Q109:Q113)</f>
        <v>16943.9049150529</v>
      </c>
      <c r="R114" s="1" t="n">
        <f aca="false">SUM(R109:R113)</f>
        <v>16907.0929659141</v>
      </c>
      <c r="S114" s="1" t="n">
        <f aca="false">SUM(S109:S113)</f>
        <v>16859.3950386832</v>
      </c>
      <c r="T114" s="1" t="n">
        <f aca="false">SUM(T109:T113)</f>
        <v>16810.6786107301</v>
      </c>
      <c r="U114" s="1" t="n">
        <f aca="false">SUM(U109:U113)</f>
        <v>16753.3333033914</v>
      </c>
      <c r="V114" s="1" t="n">
        <f aca="false">SUM(V109:V113)</f>
        <v>16686.6765210571</v>
      </c>
      <c r="W114" s="1" t="n">
        <f aca="false">SUM(W109:W113)</f>
        <v>16609.1038734083</v>
      </c>
      <c r="X114" s="1" t="n">
        <f aca="false">SUM(X109:X113)</f>
        <v>16518.7277441112</v>
      </c>
      <c r="Y114" s="1" t="n">
        <f aca="false">SUM(Y109:Y113)</f>
        <v>16413.3264952433</v>
      </c>
      <c r="Z114" s="1" t="n">
        <f aca="false">SUM(Z109:Z113)</f>
        <v>16285.706434956</v>
      </c>
      <c r="AA114" s="1" t="n">
        <f aca="false">SUM(AA109:AA113)</f>
        <v>16142.5566933358</v>
      </c>
      <c r="AB114" s="1" t="n">
        <f aca="false">SUM(AB109:AB113)</f>
        <v>16000.8866347237</v>
      </c>
      <c r="AC114" s="1" t="n">
        <f aca="false">SUM(AC109:AC113)</f>
        <v>15865.0178795881</v>
      </c>
    </row>
    <row r="115" customFormat="false" ht="12.8" hidden="false" customHeight="false" outlineLevel="0" collapsed="false">
      <c r="A115" s="1" t="s">
        <v>320</v>
      </c>
      <c r="B115" s="1" t="s">
        <v>575</v>
      </c>
      <c r="C115" s="1" t="n">
        <v>2024</v>
      </c>
      <c r="D115" s="1" t="n">
        <v>2025</v>
      </c>
      <c r="E115" s="1" t="n">
        <v>2026</v>
      </c>
      <c r="F115" s="1" t="n">
        <v>2027</v>
      </c>
      <c r="G115" s="1" t="n">
        <v>2028</v>
      </c>
      <c r="H115" s="1" t="n">
        <v>2029</v>
      </c>
      <c r="I115" s="1" t="n">
        <v>2030</v>
      </c>
      <c r="J115" s="1" t="n">
        <v>2031</v>
      </c>
      <c r="K115" s="1" t="n">
        <v>2032</v>
      </c>
      <c r="L115" s="1" t="n">
        <v>2033</v>
      </c>
      <c r="M115" s="1" t="n">
        <v>2034</v>
      </c>
      <c r="N115" s="1" t="n">
        <v>2035</v>
      </c>
      <c r="O115" s="1" t="n">
        <v>2036</v>
      </c>
      <c r="P115" s="1" t="n">
        <v>2037</v>
      </c>
      <c r="Q115" s="1" t="n">
        <v>2038</v>
      </c>
      <c r="R115" s="1" t="n">
        <v>2039</v>
      </c>
      <c r="S115" s="1" t="n">
        <v>2040</v>
      </c>
      <c r="T115" s="1" t="n">
        <v>2041</v>
      </c>
      <c r="U115" s="1" t="n">
        <v>2042</v>
      </c>
      <c r="V115" s="1" t="n">
        <v>2043</v>
      </c>
      <c r="W115" s="1" t="n">
        <v>2044</v>
      </c>
      <c r="X115" s="1" t="n">
        <v>2045</v>
      </c>
      <c r="Y115" s="1" t="n">
        <v>2046</v>
      </c>
      <c r="Z115" s="1" t="n">
        <v>2047</v>
      </c>
      <c r="AA115" s="1" t="n">
        <v>2048</v>
      </c>
      <c r="AB115" s="1" t="n">
        <v>2049</v>
      </c>
      <c r="AC115" s="1" t="n">
        <v>2050</v>
      </c>
    </row>
    <row r="116" customFormat="false" ht="12.8" hidden="false" customHeight="false" outlineLevel="0" collapsed="false">
      <c r="A116" s="1" t="s">
        <v>37</v>
      </c>
      <c r="B116" s="1" t="n">
        <f aca="false">($B$30*$B$28)+($B$39*$B$42)</f>
        <v>71.3503343390438</v>
      </c>
      <c r="C116" s="1" t="n">
        <f aca="false">($B$30*$B$28)+($B$39*$B$42)</f>
        <v>71.3503343390438</v>
      </c>
      <c r="D116" s="1" t="n">
        <f aca="false">($B$30*$B$33)+($B$44*$B$47)</f>
        <v>24.0522502980757</v>
      </c>
      <c r="E116" s="1" t="n">
        <f aca="false">($B$30*$B$33)+($B$44*$B$47)</f>
        <v>24.0522502980757</v>
      </c>
      <c r="F116" s="1" t="n">
        <f aca="false">($B$30*$B$33)+($B$44*$B$47)</f>
        <v>24.0522502980757</v>
      </c>
      <c r="G116" s="1" t="n">
        <f aca="false">($B$30*$B$33)+($B$44*$B$47)</f>
        <v>24.0522502980757</v>
      </c>
      <c r="H116" s="1" t="n">
        <f aca="false">($B$30*$B$33)+($B$44*$B$47)</f>
        <v>24.0522502980757</v>
      </c>
      <c r="I116" s="1" t="n">
        <f aca="false">($B$30*$B$33)+($B$44*$B$47)</f>
        <v>24.0522502980757</v>
      </c>
      <c r="J116" s="1" t="n">
        <f aca="false">($B$30*$B$33)+($B$44*$B$47)</f>
        <v>24.0522502980757</v>
      </c>
      <c r="K116" s="1" t="n">
        <f aca="false">($B$30*$B$33)+($B$44*$B$47)</f>
        <v>24.0522502980757</v>
      </c>
      <c r="L116" s="1" t="n">
        <f aca="false">$K116*0.9</f>
        <v>21.6470252682681</v>
      </c>
      <c r="M116" s="1" t="n">
        <v>22.0256904333107</v>
      </c>
      <c r="N116" s="1" t="n">
        <v>22.0256904333107</v>
      </c>
      <c r="O116" s="1" t="n">
        <v>22.0256904333107</v>
      </c>
      <c r="P116" s="1" t="n">
        <v>22.0256904333107</v>
      </c>
      <c r="Q116" s="1" t="n">
        <v>22.0256904333107</v>
      </c>
      <c r="R116" s="1" t="n">
        <v>22.0256904333107</v>
      </c>
      <c r="S116" s="1" t="n">
        <f aca="false">$L116*0.9</f>
        <v>19.4823227414413</v>
      </c>
      <c r="T116" s="1" t="n">
        <v>19.8231213899797</v>
      </c>
      <c r="U116" s="1" t="n">
        <v>19.8231213899797</v>
      </c>
      <c r="V116" s="1" t="n">
        <v>19.8231213899797</v>
      </c>
      <c r="W116" s="1" t="n">
        <v>19.8231213899797</v>
      </c>
      <c r="X116" s="1" t="n">
        <v>19.8231213899797</v>
      </c>
      <c r="Y116" s="1" t="n">
        <v>19.8231213899797</v>
      </c>
      <c r="Z116" s="1" t="n">
        <f aca="false">$S116*0.9</f>
        <v>17.5340904672972</v>
      </c>
      <c r="AA116" s="1" t="n">
        <v>17.8408092509817</v>
      </c>
      <c r="AB116" s="1" t="n">
        <f aca="false">$S116*0.9</f>
        <v>17.5340904672972</v>
      </c>
      <c r="AC116" s="1" t="n">
        <f aca="false">$S116*0.9</f>
        <v>17.5340904672972</v>
      </c>
    </row>
    <row r="117" customFormat="false" ht="12.8" hidden="false" customHeight="false" outlineLevel="0" collapsed="false">
      <c r="A117" s="1" t="s">
        <v>18</v>
      </c>
      <c r="B117" s="2" t="n">
        <f aca="false">$B$10</f>
        <v>1325</v>
      </c>
      <c r="C117" s="4" t="n">
        <f aca="false">$B$10</f>
        <v>1325</v>
      </c>
      <c r="D117" s="2" t="n">
        <f aca="false">$B$10</f>
        <v>1325</v>
      </c>
      <c r="E117" s="2" t="n">
        <f aca="false">($B$18*0.25)+($B$10*0.75)</f>
        <v>1067.79657860088</v>
      </c>
      <c r="F117" s="146" t="n">
        <f aca="false">$B$18</f>
        <v>296.186314403533</v>
      </c>
      <c r="G117" s="146" t="n">
        <f aca="false">$B$18</f>
        <v>296.186314403533</v>
      </c>
      <c r="H117" s="146" t="n">
        <f aca="false">$B$18</f>
        <v>296.186314403533</v>
      </c>
      <c r="I117" s="146" t="n">
        <f aca="false">$B$18</f>
        <v>296.186314403533</v>
      </c>
      <c r="J117" s="146" t="n">
        <f aca="false">$B$18</f>
        <v>296.186314403533</v>
      </c>
      <c r="K117" s="146" t="n">
        <f aca="false">$B$18</f>
        <v>296.186314403533</v>
      </c>
      <c r="L117" s="146" t="n">
        <f aca="false">$B$18</f>
        <v>296.186314403533</v>
      </c>
      <c r="M117" s="146" t="n">
        <f aca="false">$B$18</f>
        <v>296.186314403533</v>
      </c>
      <c r="N117" s="146" t="n">
        <f aca="false">$B$18</f>
        <v>296.186314403533</v>
      </c>
      <c r="O117" s="146" t="n">
        <f aca="false">$B$18</f>
        <v>296.186314403533</v>
      </c>
      <c r="P117" s="146" t="n">
        <f aca="false">$B$18</f>
        <v>296.186314403533</v>
      </c>
      <c r="Q117" s="146" t="n">
        <f aca="false">$B$18</f>
        <v>296.186314403533</v>
      </c>
      <c r="R117" s="146" t="n">
        <f aca="false">$B$18</f>
        <v>296.186314403533</v>
      </c>
      <c r="S117" s="146" t="n">
        <f aca="false">$B$18</f>
        <v>296.186314403533</v>
      </c>
      <c r="T117" s="146" t="n">
        <f aca="false">$B$18</f>
        <v>296.186314403533</v>
      </c>
      <c r="U117" s="146" t="n">
        <f aca="false">$B$18</f>
        <v>296.186314403533</v>
      </c>
      <c r="V117" s="146" t="n">
        <f aca="false">$B$18</f>
        <v>296.186314403533</v>
      </c>
      <c r="W117" s="146" t="n">
        <f aca="false">$B$18</f>
        <v>296.186314403533</v>
      </c>
      <c r="X117" s="146" t="n">
        <f aca="false">$B$18</f>
        <v>296.186314403533</v>
      </c>
      <c r="Y117" s="146" t="n">
        <f aca="false">$B$18</f>
        <v>296.186314403533</v>
      </c>
      <c r="Z117" s="146" t="n">
        <f aca="false">$B$18</f>
        <v>296.186314403533</v>
      </c>
      <c r="AA117" s="146" t="n">
        <f aca="false">$B$18</f>
        <v>296.186314403533</v>
      </c>
      <c r="AB117" s="146" t="n">
        <f aca="false">$B$18</f>
        <v>296.186314403533</v>
      </c>
      <c r="AC117" s="146" t="n">
        <f aca="false">$B$18</f>
        <v>296.186314403533</v>
      </c>
    </row>
    <row r="118" customFormat="false" ht="12.8" hidden="false" customHeight="false" outlineLevel="0" collapsed="false">
      <c r="A118" s="3" t="s">
        <v>39</v>
      </c>
      <c r="B118" s="2" t="n">
        <f aca="false">SUM(B116:B117)</f>
        <v>1396.35033433904</v>
      </c>
      <c r="C118" s="1" t="n">
        <f aca="false">SUM(C116:C117)</f>
        <v>1396.35033433904</v>
      </c>
      <c r="D118" s="2" t="n">
        <f aca="false">SUM(D116:D117)</f>
        <v>1349.05225029808</v>
      </c>
      <c r="E118" s="2" t="n">
        <f aca="false">SUM(E116:E117)</f>
        <v>1091.84882889896</v>
      </c>
      <c r="F118" s="1" t="n">
        <f aca="false">SUM(F116:F117)</f>
        <v>320.238564701609</v>
      </c>
      <c r="G118" s="1" t="n">
        <f aca="false">SUM(G116:G117)</f>
        <v>320.238564701609</v>
      </c>
      <c r="H118" s="1" t="n">
        <f aca="false">SUM(H116:H117)</f>
        <v>320.238564701609</v>
      </c>
      <c r="I118" s="1" t="n">
        <f aca="false">SUM(I116:I117)</f>
        <v>320.238564701609</v>
      </c>
      <c r="J118" s="1" t="n">
        <f aca="false">SUM(J116:J117)</f>
        <v>320.238564701609</v>
      </c>
      <c r="K118" s="1" t="n">
        <f aca="false">SUM(K116:K117)</f>
        <v>320.238564701609</v>
      </c>
      <c r="L118" s="1" t="n">
        <f aca="false">SUM(L116:L117)</f>
        <v>317.833339671801</v>
      </c>
      <c r="M118" s="1" t="n">
        <f aca="false">SUM(M116:M117)</f>
        <v>318.212004836844</v>
      </c>
      <c r="N118" s="1" t="n">
        <f aca="false">SUM(N116:N117)</f>
        <v>318.212004836844</v>
      </c>
      <c r="O118" s="1" t="n">
        <f aca="false">SUM(O116:O117)</f>
        <v>318.212004836844</v>
      </c>
      <c r="P118" s="1" t="n">
        <f aca="false">SUM(P116:P117)</f>
        <v>318.212004836844</v>
      </c>
      <c r="Q118" s="1" t="n">
        <f aca="false">SUM(Q116:Q117)</f>
        <v>318.212004836844</v>
      </c>
      <c r="R118" s="1" t="n">
        <f aca="false">SUM(R116:R117)</f>
        <v>318.212004836844</v>
      </c>
      <c r="S118" s="1" t="n">
        <f aca="false">SUM(S116:S117)</f>
        <v>315.668637144975</v>
      </c>
      <c r="T118" s="1" t="n">
        <f aca="false">SUM(T116:T117)</f>
        <v>316.009435793513</v>
      </c>
      <c r="U118" s="1" t="n">
        <f aca="false">SUM(U116:U117)</f>
        <v>316.009435793513</v>
      </c>
      <c r="V118" s="1" t="n">
        <f aca="false">SUM(V116:V117)</f>
        <v>316.009435793513</v>
      </c>
      <c r="W118" s="1" t="n">
        <f aca="false">SUM(W116:W117)</f>
        <v>316.009435793513</v>
      </c>
      <c r="X118" s="1" t="n">
        <f aca="false">SUM(X116:X117)</f>
        <v>316.009435793513</v>
      </c>
      <c r="Y118" s="1" t="n">
        <f aca="false">SUM(Y116:Y117)</f>
        <v>316.009435793513</v>
      </c>
      <c r="Z118" s="1" t="n">
        <f aca="false">SUM(Z116:Z117)</f>
        <v>313.72040487083</v>
      </c>
      <c r="AA118" s="1" t="n">
        <f aca="false">SUM(AA116:AA117)</f>
        <v>314.027123654515</v>
      </c>
      <c r="AB118" s="1" t="n">
        <f aca="false">SUM(AB116:AB117)</f>
        <v>313.72040487083</v>
      </c>
      <c r="AC118" s="1" t="n">
        <f aca="false">SUM(AC116:AC117)</f>
        <v>313.72040487083</v>
      </c>
    </row>
    <row r="119" customFormat="false" ht="12.8" hidden="false" customHeight="false" outlineLevel="0" collapsed="false">
      <c r="A119" s="1" t="s">
        <v>40</v>
      </c>
      <c r="B119" s="1" t="n">
        <f aca="false">($B$70*(1-B$90))+($B$77*B$90)</f>
        <v>12365.3240919418</v>
      </c>
      <c r="C119" s="1" t="n">
        <f aca="false">($B$70*(1-C$90))+($B$77*C$90)</f>
        <v>12365.3240919418</v>
      </c>
      <c r="D119" s="1" t="n">
        <f aca="false">($B$70*(1-D$90))+($B$77*D$90)</f>
        <v>12365.3240919418</v>
      </c>
      <c r="E119" s="1" t="n">
        <f aca="false">($B$70*(1-E$90))+($B$77*E$90)</f>
        <v>12365.3240919418</v>
      </c>
      <c r="F119" s="1" t="n">
        <f aca="false">($B$70*(1-F$90))+($B$77*F$90)</f>
        <v>12365.3240919418</v>
      </c>
      <c r="G119" s="1" t="n">
        <f aca="false">($B$70*(1-G$90))+($B$77*G$90)</f>
        <v>12365.3240919418</v>
      </c>
      <c r="H119" s="1" t="n">
        <f aca="false">($B$70*(1-H$90))+($B$77*H$90)</f>
        <v>12365.3240919418</v>
      </c>
      <c r="I119" s="1" t="n">
        <f aca="false">($B$70*(1-I$90))+($B$77*I$90)</f>
        <v>12334.8916182591</v>
      </c>
      <c r="J119" s="1" t="n">
        <f aca="false">($B$70*(1-J$90))+($B$77*J$90)</f>
        <v>12328.8051235226</v>
      </c>
      <c r="K119" s="1" t="n">
        <f aca="false">($B$70*(1-K$90))+($B$77*K$90)</f>
        <v>12321.5013298388</v>
      </c>
      <c r="L119" s="1" t="n">
        <f aca="false">($B$70*(1-L$90))+($B$77*L$90)</f>
        <v>12312.7367774182</v>
      </c>
      <c r="M119" s="1" t="n">
        <f aca="false">($B$70*(1-M$90))+($B$77*M$90)</f>
        <v>12302.2193145135</v>
      </c>
      <c r="N119" s="1" t="n">
        <f aca="false">($B$70*(1-N$90))+($B$77*N$90)</f>
        <v>12289.5983590278</v>
      </c>
      <c r="O119" s="1" t="n">
        <f aca="false">($B$70*(1-O$90))+($B$77*O$90)</f>
        <v>12282.7830430656</v>
      </c>
      <c r="P119" s="1" t="n">
        <f aca="false">($B$70*(1-P$90))+($B$77*P$90)</f>
        <v>12275.3543486667</v>
      </c>
      <c r="Q119" s="1" t="n">
        <f aca="false">($B$70*(1-Q$90))+($B$77*Q$90)</f>
        <v>12267.257071772</v>
      </c>
      <c r="R119" s="1" t="n">
        <f aca="false">($B$70*(1-R$90))+($B$77*R$90)</f>
        <v>12258.4310399567</v>
      </c>
      <c r="S119" s="1" t="n">
        <f aca="false">($B$70*(1-S$90))+($B$77*S$90)</f>
        <v>12248.810665278</v>
      </c>
      <c r="T119" s="1" t="n">
        <f aca="false">($B$70*(1-T$90))+($B$77*T$90)</f>
        <v>12238.3244568783</v>
      </c>
      <c r="U119" s="1" t="n">
        <f aca="false">($B$70*(1-U$90))+($B$77*U$90)</f>
        <v>12226.8944897226</v>
      </c>
      <c r="V119" s="1" t="n">
        <f aca="false">($B$70*(1-V$90))+($B$77*V$90)</f>
        <v>12214.4358255228</v>
      </c>
      <c r="W119" s="1" t="n">
        <f aca="false">($B$70*(1-W$90))+($B$77*W$90)</f>
        <v>12200.8558815451</v>
      </c>
      <c r="X119" s="1" t="n">
        <f aca="false">($B$70*(1-X$90))+($B$77*X$90)</f>
        <v>12186.0537426094</v>
      </c>
      <c r="Y119" s="1" t="n">
        <f aca="false">($B$70*(1-Y$90))+($B$77*Y$90)</f>
        <v>12169.9194111695</v>
      </c>
      <c r="Z119" s="1" t="n">
        <f aca="false">($B$70*(1-Z$90))+($B$77*Z$90)</f>
        <v>12152.3329899</v>
      </c>
      <c r="AA119" s="1" t="n">
        <f aca="false">($B$70*(1-AA$90))+($B$77*AA$90)</f>
        <v>12133.1637907163</v>
      </c>
      <c r="AB119" s="1" t="n">
        <f aca="false">($B$70*(1-AB$90))+($B$77*AB$90)</f>
        <v>12112.269363606</v>
      </c>
      <c r="AC119" s="1" t="n">
        <f aca="false">($B$70*(1-AC$90))+($B$77*AC$90)</f>
        <v>12089.4944380557</v>
      </c>
    </row>
    <row r="120" customFormat="false" ht="12.8" hidden="false" customHeight="false" outlineLevel="0" collapsed="false">
      <c r="A120" s="1" t="s">
        <v>41</v>
      </c>
      <c r="B120" s="1" t="n">
        <f aca="false">($C$57*(1-B$95))+($C$58*B$95)</f>
        <v>4185.72266047358</v>
      </c>
      <c r="C120" s="1" t="n">
        <f aca="false">($C$57*(1-C$95))+($C$58*C$95)</f>
        <v>4185.72266047358</v>
      </c>
      <c r="D120" s="1" t="n">
        <f aca="false">($C$57*(1-D$95))+($C$58*D$95)</f>
        <v>4182.20560357105</v>
      </c>
      <c r="E120" s="1" t="n">
        <f aca="false">($C$57*(1-E$95))+($C$58*E$95)</f>
        <v>4178.25532801241</v>
      </c>
      <c r="F120" s="1" t="n">
        <f aca="false">($C$57*(1-F$95))+($C$58*F$95)</f>
        <v>4173.78081825517</v>
      </c>
      <c r="G120" s="1" t="n">
        <f aca="false">($C$57*(1-G$95))+($C$58*G$95)</f>
        <v>4168.67520979561</v>
      </c>
      <c r="H120" s="1" t="n">
        <f aca="false">($C$57*(1-H$95))+($C$58*H$95)</f>
        <v>4162.81286254793</v>
      </c>
      <c r="I120" s="1" t="n">
        <f aca="false">($C$57*(1-I$95))+($C$58*I$95)</f>
        <v>4156.04590405554</v>
      </c>
      <c r="J120" s="1" t="n">
        <f aca="false">($C$57*(1-J$95))+($C$58*J$95)</f>
        <v>4148.20014589812</v>
      </c>
      <c r="K120" s="1" t="n">
        <f aca="false">($C$57*(1-K$95))+($C$58*K$95)</f>
        <v>4139.07025907894</v>
      </c>
      <c r="L120" s="1" t="n">
        <f aca="false">($C$57*(1-L$95))+($C$58*L$95)</f>
        <v>4128.41407339789</v>
      </c>
      <c r="M120" s="1" t="n">
        <f aca="false">($C$57*(1-M$95))+($C$58*M$95)</f>
        <v>4115.94584125389</v>
      </c>
      <c r="N120" s="1" t="n">
        <f aca="false">($C$57*(1-N$95))+($C$58*N$95)</f>
        <v>4101.32827728887</v>
      </c>
      <c r="O120" s="1" t="n">
        <f aca="false">($C$57*(1-O$95))+($C$58*O$95)</f>
        <v>4084.16315096852</v>
      </c>
      <c r="P120" s="1" t="n">
        <f aca="false">($C$57*(1-P$95))+($C$58*P$95)</f>
        <v>4063.9801686332</v>
      </c>
      <c r="Q120" s="1" t="n">
        <f aca="false">($C$57*(1-Q$95))+($C$58*Q$95)</f>
        <v>4040.22383360729</v>
      </c>
      <c r="R120" s="1" t="n">
        <f aca="false">($C$57*(1-R$95))+($C$58*R$95)</f>
        <v>4012.23791628378</v>
      </c>
      <c r="S120" s="1" t="n">
        <f aca="false">($C$57*(1-S$95))+($C$58*S$95)</f>
        <v>3979.24709911526</v>
      </c>
      <c r="T120" s="1" t="n">
        <f aca="false">($C$57*(1-T$95))+($C$58*T$95)</f>
        <v>3940.33528226478</v>
      </c>
      <c r="U120" s="1" t="n">
        <f aca="false">($C$57*(1-U$95))+($C$58*U$95)</f>
        <v>3894.41994208182</v>
      </c>
      <c r="V120" s="1" t="n">
        <f aca="false">($C$57*(1-V$95))+($C$58*V$95)</f>
        <v>3840.22182394726</v>
      </c>
      <c r="W120" s="1" t="n">
        <f aca="false">($C$57*(1-W$95))+($C$58*W$95)</f>
        <v>3776.22912027617</v>
      </c>
      <c r="X120" s="1" t="n">
        <f aca="false">($C$57*(1-X$95))+($C$58*X$95)</f>
        <v>3700.65512991479</v>
      </c>
      <c r="Y120" s="1" t="n">
        <f aca="false">($C$57*(1-Y$95))+($C$58*Y$95)</f>
        <v>3611.38821248677</v>
      </c>
      <c r="Z120" s="1" t="n">
        <f aca="false">($C$57*(1-Z$95))+($C$58*Z$95)</f>
        <v>3505.93263531429</v>
      </c>
      <c r="AA120" s="1" t="n">
        <f aca="false">($C$57*(1-AA$95))+($C$58*AA$95)</f>
        <v>3381.33865531047</v>
      </c>
      <c r="AB120" s="1" t="n">
        <f aca="false">($C$57*(1-AB$95))+($C$58*AB$95)</f>
        <v>3261.17646137606</v>
      </c>
      <c r="AC120" s="1" t="n">
        <f aca="false">($C$57*(1-AC$95))+($C$58*AC$95)</f>
        <v>3148.08263179074</v>
      </c>
    </row>
    <row r="121" customFormat="false" ht="12.8" hidden="false" customHeight="false" outlineLevel="0" collapsed="false">
      <c r="A121" s="1" t="s">
        <v>20</v>
      </c>
      <c r="B121" s="1" t="n">
        <f aca="false">SUM(B116:B120)</f>
        <v>19343.7474210934</v>
      </c>
      <c r="C121" s="1" t="n">
        <f aca="false">SUM(C116:C120)</f>
        <v>19343.7474210934</v>
      </c>
      <c r="D121" s="1" t="n">
        <f aca="false">SUM(D116:D120)</f>
        <v>19245.634196109</v>
      </c>
      <c r="E121" s="1" t="n">
        <f aca="false">SUM(E116:E120)</f>
        <v>18727.2770777521</v>
      </c>
      <c r="F121" s="1" t="n">
        <f aca="false">SUM(F116:F120)</f>
        <v>17179.5820396002</v>
      </c>
      <c r="G121" s="1" t="n">
        <f aca="false">SUM(G116:G120)</f>
        <v>17174.4764311406</v>
      </c>
      <c r="H121" s="1" t="n">
        <f aca="false">SUM(H116:H120)</f>
        <v>17168.6140838929</v>
      </c>
      <c r="I121" s="1" t="n">
        <f aca="false">SUM(I116:I120)</f>
        <v>17131.4146517179</v>
      </c>
      <c r="J121" s="1" t="n">
        <f aca="false">SUM(J116:J120)</f>
        <v>17117.482398824</v>
      </c>
      <c r="K121" s="1" t="n">
        <f aca="false">SUM(K116:K120)</f>
        <v>17101.048718321</v>
      </c>
      <c r="L121" s="1" t="n">
        <f aca="false">SUM(L116:L120)</f>
        <v>17076.8175301597</v>
      </c>
      <c r="M121" s="1" t="n">
        <f aca="false">SUM(M116:M120)</f>
        <v>17054.5891654411</v>
      </c>
      <c r="N121" s="1" t="n">
        <f aca="false">SUM(N116:N120)</f>
        <v>17027.3506459904</v>
      </c>
      <c r="O121" s="1" t="n">
        <f aca="false">SUM(O116:O120)</f>
        <v>17003.3702037078</v>
      </c>
      <c r="P121" s="1" t="n">
        <f aca="false">SUM(P116:P120)</f>
        <v>16975.7585269736</v>
      </c>
      <c r="Q121" s="1" t="n">
        <f aca="false">SUM(Q116:Q120)</f>
        <v>16943.9049150529</v>
      </c>
      <c r="R121" s="1" t="n">
        <f aca="false">SUM(R116:R120)</f>
        <v>16907.0929659141</v>
      </c>
      <c r="S121" s="1" t="n">
        <f aca="false">SUM(S116:S120)</f>
        <v>16859.3950386832</v>
      </c>
      <c r="T121" s="1" t="n">
        <f aca="false">SUM(T116:T120)</f>
        <v>16810.6786107301</v>
      </c>
      <c r="U121" s="1" t="n">
        <f aca="false">SUM(U116:U120)</f>
        <v>16753.3333033914</v>
      </c>
      <c r="V121" s="1" t="n">
        <f aca="false">SUM(V116:V120)</f>
        <v>16686.6765210571</v>
      </c>
      <c r="W121" s="1" t="n">
        <f aca="false">SUM(W116:W120)</f>
        <v>16609.1038734083</v>
      </c>
      <c r="X121" s="1" t="n">
        <f aca="false">SUM(X116:X120)</f>
        <v>16518.7277441112</v>
      </c>
      <c r="Y121" s="1" t="n">
        <f aca="false">SUM(Y116:Y120)</f>
        <v>16413.3264952433</v>
      </c>
      <c r="Z121" s="1" t="n">
        <f aca="false">SUM(Z116:Z120)</f>
        <v>16285.706434956</v>
      </c>
      <c r="AA121" s="1" t="n">
        <f aca="false">SUM(AA116:AA120)</f>
        <v>16142.5566933358</v>
      </c>
      <c r="AB121" s="1" t="n">
        <f aca="false">SUM(AB116:AB120)</f>
        <v>16000.8866347237</v>
      </c>
      <c r="AC121" s="1" t="n">
        <f aca="false">SUM(AC116:AC120)</f>
        <v>15865.0178795881</v>
      </c>
    </row>
    <row r="123" customFormat="false" ht="12.8" hidden="false" customHeight="false" outlineLevel="0" collapsed="false">
      <c r="A123" s="1" t="s">
        <v>321</v>
      </c>
      <c r="B123" s="1" t="s">
        <v>575</v>
      </c>
      <c r="C123" s="1" t="n">
        <v>2024</v>
      </c>
      <c r="D123" s="1" t="n">
        <v>2025</v>
      </c>
      <c r="E123" s="1" t="n">
        <v>2026</v>
      </c>
      <c r="F123" s="1" t="n">
        <v>2027</v>
      </c>
      <c r="G123" s="1" t="n">
        <v>2028</v>
      </c>
      <c r="H123" s="1" t="n">
        <v>2029</v>
      </c>
      <c r="I123" s="1" t="n">
        <v>2030</v>
      </c>
      <c r="J123" s="1" t="n">
        <v>2031</v>
      </c>
      <c r="K123" s="1" t="n">
        <v>2032</v>
      </c>
      <c r="L123" s="1" t="n">
        <v>2033</v>
      </c>
      <c r="M123" s="1" t="n">
        <v>2034</v>
      </c>
      <c r="N123" s="1" t="n">
        <v>2035</v>
      </c>
      <c r="O123" s="1" t="n">
        <v>2036</v>
      </c>
      <c r="P123" s="1" t="n">
        <v>2037</v>
      </c>
      <c r="Q123" s="1" t="n">
        <v>2038</v>
      </c>
      <c r="R123" s="1" t="n">
        <v>2039</v>
      </c>
      <c r="S123" s="1" t="n">
        <v>2040</v>
      </c>
      <c r="T123" s="1" t="n">
        <v>2041</v>
      </c>
      <c r="U123" s="1" t="n">
        <v>2042</v>
      </c>
      <c r="V123" s="1" t="n">
        <v>2043</v>
      </c>
      <c r="W123" s="1" t="n">
        <v>2044</v>
      </c>
      <c r="X123" s="1" t="n">
        <v>2045</v>
      </c>
      <c r="Y123" s="1" t="n">
        <v>2046</v>
      </c>
      <c r="Z123" s="1" t="n">
        <v>2047</v>
      </c>
      <c r="AA123" s="1" t="n">
        <v>2048</v>
      </c>
      <c r="AB123" s="1" t="n">
        <v>2049</v>
      </c>
      <c r="AC123" s="1" t="n">
        <v>2050</v>
      </c>
    </row>
    <row r="124" customFormat="false" ht="12.8" hidden="false" customHeight="false" outlineLevel="0" collapsed="false">
      <c r="A124" s="1" t="s">
        <v>37</v>
      </c>
      <c r="B124" s="1" t="n">
        <f aca="false">($B$30*$B$28)+($B$39*$B$42)</f>
        <v>71.3503343390438</v>
      </c>
      <c r="C124" s="1" t="n">
        <f aca="false">($B$30*$B$28)+($B$39*$B$42)</f>
        <v>71.3503343390438</v>
      </c>
      <c r="D124" s="1" t="n">
        <f aca="false">($B$30*$B$33)+($B$44*$B$47)</f>
        <v>24.0522502980757</v>
      </c>
      <c r="E124" s="1" t="n">
        <f aca="false">($B$30*$B$33)+($B$44*$B$47)</f>
        <v>24.0522502980757</v>
      </c>
      <c r="F124" s="1" t="n">
        <f aca="false">($B$30*$B$33)+($B$44*$B$47)</f>
        <v>24.0522502980757</v>
      </c>
      <c r="G124" s="1" t="n">
        <f aca="false">($B$30*$B$33)+($B$44*$B$47)</f>
        <v>24.0522502980757</v>
      </c>
      <c r="H124" s="1" t="n">
        <f aca="false">($B$30*$B$33)+($B$44*$B$47)</f>
        <v>24.0522502980757</v>
      </c>
      <c r="I124" s="1" t="n">
        <f aca="false">($B$30*$B$33)+($B$44*$B$47)</f>
        <v>24.0522502980757</v>
      </c>
      <c r="J124" s="1" t="n">
        <f aca="false">($B$30*$B$33)+($B$44*$B$47)</f>
        <v>24.0522502980757</v>
      </c>
      <c r="K124" s="1" t="n">
        <f aca="false">($B$30*$B$33)+($B$44*$B$47)</f>
        <v>24.0522502980757</v>
      </c>
      <c r="L124" s="1" t="n">
        <f aca="false">$K124*0.9</f>
        <v>21.6470252682681</v>
      </c>
      <c r="M124" s="1" t="n">
        <v>22.0256904333107</v>
      </c>
      <c r="N124" s="1" t="n">
        <v>22.0256904333107</v>
      </c>
      <c r="O124" s="1" t="n">
        <v>22.0256904333107</v>
      </c>
      <c r="P124" s="1" t="n">
        <v>22.0256904333107</v>
      </c>
      <c r="Q124" s="1" t="n">
        <v>22.0256904333107</v>
      </c>
      <c r="R124" s="1" t="n">
        <v>22.0256904333107</v>
      </c>
      <c r="S124" s="1" t="n">
        <f aca="false">$L124*0.9</f>
        <v>19.4823227414413</v>
      </c>
      <c r="T124" s="1" t="n">
        <v>19.8231213899797</v>
      </c>
      <c r="U124" s="1" t="n">
        <v>19.8231213899797</v>
      </c>
      <c r="V124" s="1" t="n">
        <v>19.8231213899797</v>
      </c>
      <c r="W124" s="1" t="n">
        <v>19.8231213899797</v>
      </c>
      <c r="X124" s="1" t="n">
        <v>19.8231213899797</v>
      </c>
      <c r="Y124" s="1" t="n">
        <v>19.8231213899797</v>
      </c>
      <c r="Z124" s="1" t="n">
        <f aca="false">$S124*0.9</f>
        <v>17.5340904672972</v>
      </c>
      <c r="AA124" s="1" t="n">
        <v>17.8408092509817</v>
      </c>
      <c r="AB124" s="1" t="n">
        <f aca="false">$S124*0.9</f>
        <v>17.5340904672972</v>
      </c>
      <c r="AC124" s="1" t="n">
        <f aca="false">$S124*0.9</f>
        <v>17.5340904672972</v>
      </c>
    </row>
    <row r="125" customFormat="false" ht="12.8" hidden="false" customHeight="false" outlineLevel="0" collapsed="false">
      <c r="A125" s="1" t="s">
        <v>18</v>
      </c>
      <c r="B125" s="2" t="n">
        <f aca="false">$B$10</f>
        <v>1325</v>
      </c>
      <c r="C125" s="4" t="n">
        <f aca="false">$B$10</f>
        <v>1325</v>
      </c>
      <c r="D125" s="2" t="n">
        <f aca="false">$B$10</f>
        <v>1325</v>
      </c>
      <c r="E125" s="2" t="n">
        <f aca="false">($B$18*0.25)+($B$10*0.75)</f>
        <v>1067.79657860088</v>
      </c>
      <c r="F125" s="146" t="n">
        <f aca="false">$B$18</f>
        <v>296.186314403533</v>
      </c>
      <c r="G125" s="146" t="n">
        <f aca="false">$B$18</f>
        <v>296.186314403533</v>
      </c>
      <c r="H125" s="146" t="n">
        <f aca="false">$B$18</f>
        <v>296.186314403533</v>
      </c>
      <c r="I125" s="146" t="n">
        <f aca="false">$B$18</f>
        <v>296.186314403533</v>
      </c>
      <c r="J125" s="146" t="n">
        <f aca="false">$B$18</f>
        <v>296.186314403533</v>
      </c>
      <c r="K125" s="146" t="n">
        <f aca="false">$B$18</f>
        <v>296.186314403533</v>
      </c>
      <c r="L125" s="146" t="n">
        <f aca="false">$B$18</f>
        <v>296.186314403533</v>
      </c>
      <c r="M125" s="146" t="n">
        <f aca="false">$B$18</f>
        <v>296.186314403533</v>
      </c>
      <c r="N125" s="146" t="n">
        <f aca="false">$B$18</f>
        <v>296.186314403533</v>
      </c>
      <c r="O125" s="146" t="n">
        <f aca="false">$B$18</f>
        <v>296.186314403533</v>
      </c>
      <c r="P125" s="146" t="n">
        <f aca="false">$B$18</f>
        <v>296.186314403533</v>
      </c>
      <c r="Q125" s="146" t="n">
        <f aca="false">$B$18</f>
        <v>296.186314403533</v>
      </c>
      <c r="R125" s="146" t="n">
        <f aca="false">$B$18</f>
        <v>296.186314403533</v>
      </c>
      <c r="S125" s="146" t="n">
        <f aca="false">$B$18</f>
        <v>296.186314403533</v>
      </c>
      <c r="T125" s="146" t="n">
        <f aca="false">$B$18</f>
        <v>296.186314403533</v>
      </c>
      <c r="U125" s="146" t="n">
        <f aca="false">$B$18</f>
        <v>296.186314403533</v>
      </c>
      <c r="V125" s="146" t="n">
        <f aca="false">$B$18</f>
        <v>296.186314403533</v>
      </c>
      <c r="W125" s="146" t="n">
        <f aca="false">$B$18</f>
        <v>296.186314403533</v>
      </c>
      <c r="X125" s="146" t="n">
        <f aca="false">$B$18</f>
        <v>296.186314403533</v>
      </c>
      <c r="Y125" s="146" t="n">
        <f aca="false">$B$18</f>
        <v>296.186314403533</v>
      </c>
      <c r="Z125" s="146" t="n">
        <f aca="false">$B$18</f>
        <v>296.186314403533</v>
      </c>
      <c r="AA125" s="146" t="n">
        <f aca="false">$B$18</f>
        <v>296.186314403533</v>
      </c>
      <c r="AB125" s="146" t="n">
        <f aca="false">$B$18</f>
        <v>296.186314403533</v>
      </c>
      <c r="AC125" s="146" t="n">
        <f aca="false">$B$18</f>
        <v>296.186314403533</v>
      </c>
    </row>
    <row r="126" customFormat="false" ht="12.8" hidden="false" customHeight="false" outlineLevel="0" collapsed="false">
      <c r="A126" s="3" t="s">
        <v>39</v>
      </c>
      <c r="B126" s="2" t="n">
        <f aca="false">SUM(B124:B125)</f>
        <v>1396.35033433904</v>
      </c>
      <c r="C126" s="1" t="n">
        <f aca="false">SUM(C124:C125)</f>
        <v>1396.35033433904</v>
      </c>
      <c r="D126" s="2" t="n">
        <f aca="false">SUM(D124:D125)</f>
        <v>1349.05225029808</v>
      </c>
      <c r="E126" s="2" t="n">
        <f aca="false">SUM(E124:E125)</f>
        <v>1091.84882889896</v>
      </c>
      <c r="F126" s="1" t="n">
        <f aca="false">SUM(F124:F125)</f>
        <v>320.238564701609</v>
      </c>
      <c r="G126" s="1" t="n">
        <f aca="false">SUM(G124:G125)</f>
        <v>320.238564701609</v>
      </c>
      <c r="H126" s="1" t="n">
        <f aca="false">SUM(H124:H125)</f>
        <v>320.238564701609</v>
      </c>
      <c r="I126" s="1" t="n">
        <f aca="false">SUM(I124:I125)</f>
        <v>320.238564701609</v>
      </c>
      <c r="J126" s="1" t="n">
        <f aca="false">SUM(J124:J125)</f>
        <v>320.238564701609</v>
      </c>
      <c r="K126" s="1" t="n">
        <f aca="false">SUM(K124:K125)</f>
        <v>320.238564701609</v>
      </c>
      <c r="L126" s="1" t="n">
        <f aca="false">SUM(L124:L125)</f>
        <v>317.833339671801</v>
      </c>
      <c r="M126" s="1" t="n">
        <f aca="false">SUM(M124:M125)</f>
        <v>318.212004836844</v>
      </c>
      <c r="N126" s="1" t="n">
        <f aca="false">SUM(N124:N125)</f>
        <v>318.212004836844</v>
      </c>
      <c r="O126" s="1" t="n">
        <f aca="false">SUM(O124:O125)</f>
        <v>318.212004836844</v>
      </c>
      <c r="P126" s="1" t="n">
        <f aca="false">SUM(P124:P125)</f>
        <v>318.212004836844</v>
      </c>
      <c r="Q126" s="1" t="n">
        <f aca="false">SUM(Q124:Q125)</f>
        <v>318.212004836844</v>
      </c>
      <c r="R126" s="1" t="n">
        <f aca="false">SUM(R124:R125)</f>
        <v>318.212004836844</v>
      </c>
      <c r="S126" s="1" t="n">
        <f aca="false">SUM(S124:S125)</f>
        <v>315.668637144975</v>
      </c>
      <c r="T126" s="1" t="n">
        <f aca="false">SUM(T124:T125)</f>
        <v>316.009435793513</v>
      </c>
      <c r="U126" s="1" t="n">
        <f aca="false">SUM(U124:U125)</f>
        <v>316.009435793513</v>
      </c>
      <c r="V126" s="1" t="n">
        <f aca="false">SUM(V124:V125)</f>
        <v>316.009435793513</v>
      </c>
      <c r="W126" s="1" t="n">
        <f aca="false">SUM(W124:W125)</f>
        <v>316.009435793513</v>
      </c>
      <c r="X126" s="1" t="n">
        <f aca="false">SUM(X124:X125)</f>
        <v>316.009435793513</v>
      </c>
      <c r="Y126" s="1" t="n">
        <f aca="false">SUM(Y124:Y125)</f>
        <v>316.009435793513</v>
      </c>
      <c r="Z126" s="1" t="n">
        <f aca="false">SUM(Z124:Z125)</f>
        <v>313.72040487083</v>
      </c>
      <c r="AA126" s="1" t="n">
        <f aca="false">SUM(AA124:AA125)</f>
        <v>314.027123654515</v>
      </c>
      <c r="AB126" s="1" t="n">
        <f aca="false">SUM(AB124:AB125)</f>
        <v>313.72040487083</v>
      </c>
      <c r="AC126" s="1" t="n">
        <f aca="false">SUM(AC124:AC125)</f>
        <v>313.72040487083</v>
      </c>
    </row>
    <row r="127" customFormat="false" ht="12.8" hidden="false" customHeight="false" outlineLevel="0" collapsed="false">
      <c r="A127" s="1" t="s">
        <v>40</v>
      </c>
      <c r="B127" s="4" t="n">
        <f aca="false">$B$70</f>
        <v>12365.3240919418</v>
      </c>
      <c r="C127" s="4" t="n">
        <f aca="false">$B$70</f>
        <v>12365.3240919418</v>
      </c>
      <c r="D127" s="1" t="n">
        <f aca="false">($B$70*(1-C$91))+($B$77*C$91)</f>
        <v>12334.8916182591</v>
      </c>
      <c r="E127" s="1" t="n">
        <f aca="false">($B$70*(1-D$91))+($B$77*D$91)</f>
        <v>12334.8916182591</v>
      </c>
      <c r="F127" s="1" t="n">
        <f aca="false">($B$70*(1-E$91))+($B$77*E$91)</f>
        <v>12325.7618761544</v>
      </c>
      <c r="G127" s="1" t="n">
        <f aca="false">($B$70*(1-F$91))+($B$77*F$91)</f>
        <v>12313.8932114181</v>
      </c>
      <c r="H127" s="1" t="n">
        <f aca="false">($B$70*(1-G$91))+($B$77*G$91)</f>
        <v>12298.463947261</v>
      </c>
      <c r="I127" s="1" t="n">
        <f aca="false">($B$70*(1-H$91))+($B$77*H$91)</f>
        <v>12278.4059038568</v>
      </c>
      <c r="J127" s="1" t="n">
        <f aca="false">($B$70*(1-I$91))+($B$77*I$91)</f>
        <v>12252.3304474313</v>
      </c>
      <c r="K127" s="1" t="n">
        <f aca="false">($B$70*(1-J$91))+($B$77*J$91)</f>
        <v>12218.4323540782</v>
      </c>
      <c r="L127" s="1" t="n">
        <f aca="false">($B$70*(1-K$91))+($B$77*K$91)</f>
        <v>12159.6756589328</v>
      </c>
      <c r="M127" s="1" t="n">
        <f aca="false">($B$70*(1-L$91))+($B$77*L$91)</f>
        <v>12077.4162857292</v>
      </c>
      <c r="N127" s="1" t="n">
        <f aca="false">($B$70*(1-M$91))+($B$77*M$91)</f>
        <v>11962.2531632442</v>
      </c>
      <c r="O127" s="1" t="n">
        <f aca="false">($B$70*(1-N$91))+($B$77*N$91)</f>
        <v>11756.6746182893</v>
      </c>
      <c r="P127" s="1" t="n">
        <f aca="false">($B$70*(1-O$91))+($B$77*O$91)</f>
        <v>11701.8961656606</v>
      </c>
      <c r="Q127" s="1" t="n">
        <f aca="false">($B$70*(1-P$91))+($B$77*P$91)</f>
        <v>11642.1876522953</v>
      </c>
      <c r="R127" s="1" t="n">
        <f aca="false">($B$70*(1-Q$91))+($B$77*Q$91)</f>
        <v>11577.1053727271</v>
      </c>
      <c r="S127" s="1" t="n">
        <f aca="false">($B$70*(1-R$91))+($B$77*R$91)</f>
        <v>11506.1656879978</v>
      </c>
      <c r="T127" s="1" t="n">
        <f aca="false">($B$70*(1-S$91))+($B$77*S$91)</f>
        <v>11428.8414316428</v>
      </c>
      <c r="U127" s="1" t="n">
        <f aca="false">($B$70*(1-T$91))+($B$77*T$91)</f>
        <v>11344.5579922159</v>
      </c>
      <c r="V127" s="1" t="n">
        <f aca="false">($B$70*(1-U$91))+($B$77*U$91)</f>
        <v>11252.6890432406</v>
      </c>
      <c r="W127" s="1" t="n">
        <f aca="false">($B$70*(1-V$91))+($B$77*V$91)</f>
        <v>11152.5518888575</v>
      </c>
      <c r="X127" s="1" t="n">
        <f aca="false">($B$70*(1-W$91))+($B$77*W$91)</f>
        <v>11043.4023905799</v>
      </c>
      <c r="Y127" s="1" t="n">
        <f aca="false">($B$70*(1-X$91))+($B$77*X$91)</f>
        <v>10924.4294374574</v>
      </c>
      <c r="Z127" s="1" t="n">
        <f aca="false">($B$70*(1-Y$91))+($B$77*Y$91)</f>
        <v>10794.7489185538</v>
      </c>
      <c r="AA127" s="1" t="n">
        <f aca="false">($B$70*(1-Z$91))+($B$77*Z$91)</f>
        <v>10653.3971529488</v>
      </c>
      <c r="AB127" s="1" t="n">
        <f aca="false">($B$70*(1-AA$91))+($B$77*AA$91)</f>
        <v>10499.3237284395</v>
      </c>
      <c r="AC127" s="1" t="n">
        <f aca="false">($B$70*(1-AB$91))+($B$77*AB$91)</f>
        <v>10331.3836957243</v>
      </c>
    </row>
    <row r="128" customFormat="false" ht="12.8" hidden="false" customHeight="false" outlineLevel="0" collapsed="false">
      <c r="A128" s="1" t="s">
        <v>41</v>
      </c>
      <c r="B128" s="1" t="n">
        <f aca="false">($C$57*(1-B$96))+($C$58*B$96)</f>
        <v>4185.72266047358</v>
      </c>
      <c r="C128" s="1" t="n">
        <f aca="false">($C$57*(1-C$96))+($C$58*C$96)</f>
        <v>4185.72266047358</v>
      </c>
      <c r="D128" s="1" t="n">
        <f aca="false">($C$57*(1-D$96))+($C$58*D$96)</f>
        <v>4177.34871546755</v>
      </c>
      <c r="E128" s="1" t="n">
        <f aca="false">($C$57*(1-E$96))+($C$58*E$96)</f>
        <v>4167.94329747079</v>
      </c>
      <c r="F128" s="1" t="n">
        <f aca="false">($C$57*(1-F$96))+($C$58*F$96)</f>
        <v>4157.28970281071</v>
      </c>
      <c r="G128" s="1" t="n">
        <f aca="false">($C$57*(1-G$96))+($C$58*G$96)</f>
        <v>4145.13349219271</v>
      </c>
      <c r="H128" s="1" t="n">
        <f aca="false">($C$57*(1-H$96))+($C$58*H$96)</f>
        <v>4131.17552255537</v>
      </c>
      <c r="I128" s="1" t="n">
        <f aca="false">($C$57*(1-I$96))+($C$58*I$96)</f>
        <v>4115.0637166211</v>
      </c>
      <c r="J128" s="1" t="n">
        <f aca="false">($C$57*(1-J$96))+($C$58*J$96)</f>
        <v>4096.38334005581</v>
      </c>
      <c r="K128" s="1" t="n">
        <f aca="false">($C$57*(1-K$96))+($C$58*K$96)</f>
        <v>4074.64551429588</v>
      </c>
      <c r="L128" s="1" t="n">
        <f aca="false">($C$57*(1-L$96))+($C$58*L$96)</f>
        <v>4049.27364362669</v>
      </c>
      <c r="M128" s="1" t="n">
        <f aca="false">($C$57*(1-M$96))+($C$58*M$96)</f>
        <v>4019.58737661718</v>
      </c>
      <c r="N128" s="1" t="n">
        <f aca="false">($C$57*(1-N$96))+($C$58*N$96)</f>
        <v>3984.78365289095</v>
      </c>
      <c r="O128" s="1" t="n">
        <f aca="false">($C$57*(1-O$96))+($C$58*O$96)</f>
        <v>3943.91430450916</v>
      </c>
      <c r="P128" s="1" t="n">
        <f aca="false">($C$57*(1-P$96))+($C$58*P$96)</f>
        <v>3895.85958466316</v>
      </c>
      <c r="Q128" s="1" t="n">
        <f aca="false">($C$57*(1-Q$96))+($C$58*Q$96)</f>
        <v>3839.29688222052</v>
      </c>
      <c r="R128" s="1" t="n">
        <f aca="false">($C$57*(1-R$96))+($C$58*R$96)</f>
        <v>3772.66374573597</v>
      </c>
      <c r="S128" s="1" t="n">
        <f aca="false">($C$57*(1-S$96))+($C$58*S$96)</f>
        <v>3694.11418104902</v>
      </c>
      <c r="T128" s="1" t="n">
        <f aca="false">($C$57*(1-T$96))+($C$58*T$96)</f>
        <v>3601.46699807168</v>
      </c>
      <c r="U128" s="1" t="n">
        <f aca="false">($C$57*(1-U$96))+($C$58*U$96)</f>
        <v>3492.14475954082</v>
      </c>
      <c r="V128" s="1" t="n">
        <f aca="false">($C$57*(1-V$96))+($C$58*V$96)</f>
        <v>3365.46455947522</v>
      </c>
      <c r="W128" s="1" t="n">
        <f aca="false">($C$57*(1-W$96))+($C$58*W$96)</f>
        <v>3246.23613588406</v>
      </c>
      <c r="X128" s="1" t="n">
        <f aca="false">($C$57*(1-X$96))+($C$58*X$96)</f>
        <v>3134.02114897474</v>
      </c>
      <c r="Y128" s="1" t="n">
        <f aca="false">($C$57*(1-Y$96))+($C$58*Y$96)</f>
        <v>3028.40704364832</v>
      </c>
      <c r="Z128" s="1" t="n">
        <f aca="false">($C$57*(1-Z$96))+($C$58*Z$96)</f>
        <v>2929.00553275286</v>
      </c>
      <c r="AA128" s="1" t="n">
        <f aca="false">($C$57*(1-AA$96))+($C$58*AA$96)</f>
        <v>2835.45116955714</v>
      </c>
      <c r="AB128" s="1" t="n">
        <f aca="false">($C$57*(1-AB$96))+($C$58*AB$96)</f>
        <v>2747.40000419645</v>
      </c>
      <c r="AC128" s="1" t="n">
        <f aca="false">($C$57*(1-AC$96))+($C$58*AC$96)</f>
        <v>2664.52831915111</v>
      </c>
    </row>
    <row r="129" customFormat="false" ht="12.8" hidden="false" customHeight="false" outlineLevel="0" collapsed="false">
      <c r="A129" s="1" t="s">
        <v>20</v>
      </c>
      <c r="B129" s="1" t="n">
        <f aca="false">SUM(B124:B128)</f>
        <v>19343.7474210934</v>
      </c>
      <c r="C129" s="1" t="n">
        <f aca="false">SUM(C116:C120)</f>
        <v>19343.7474210934</v>
      </c>
      <c r="D129" s="1" t="n">
        <f aca="false">SUM(D116:D120)</f>
        <v>19245.634196109</v>
      </c>
      <c r="E129" s="1" t="n">
        <f aca="false">SUM(E116:E120)</f>
        <v>18727.2770777521</v>
      </c>
      <c r="F129" s="1" t="n">
        <f aca="false">SUM(F116:F120)</f>
        <v>17179.5820396002</v>
      </c>
      <c r="G129" s="1" t="n">
        <f aca="false">SUM(G116:G120)</f>
        <v>17174.4764311406</v>
      </c>
      <c r="H129" s="1" t="n">
        <f aca="false">SUM(H116:H120)</f>
        <v>17168.6140838929</v>
      </c>
      <c r="I129" s="1" t="n">
        <f aca="false">SUM(I116:I120)</f>
        <v>17131.4146517179</v>
      </c>
      <c r="J129" s="1" t="n">
        <f aca="false">SUM(J116:J120)</f>
        <v>17117.482398824</v>
      </c>
      <c r="K129" s="1" t="n">
        <f aca="false">SUM(K116:K120)</f>
        <v>17101.048718321</v>
      </c>
      <c r="L129" s="1" t="n">
        <f aca="false">SUM(L116:L120)</f>
        <v>17076.8175301597</v>
      </c>
      <c r="M129" s="1" t="n">
        <f aca="false">SUM(M116:M120)</f>
        <v>17054.5891654411</v>
      </c>
      <c r="N129" s="1" t="n">
        <f aca="false">SUM(N116:N120)</f>
        <v>17027.3506459904</v>
      </c>
      <c r="O129" s="1" t="n">
        <f aca="false">SUM(O116:O120)</f>
        <v>17003.3702037078</v>
      </c>
      <c r="P129" s="1" t="n">
        <f aca="false">SUM(P116:P120)</f>
        <v>16975.7585269736</v>
      </c>
      <c r="Q129" s="1" t="n">
        <f aca="false">SUM(Q116:Q120)</f>
        <v>16943.9049150529</v>
      </c>
      <c r="R129" s="1" t="n">
        <f aca="false">SUM(R116:R120)</f>
        <v>16907.0929659141</v>
      </c>
      <c r="S129" s="1" t="n">
        <f aca="false">SUM(S116:S120)</f>
        <v>16859.3950386832</v>
      </c>
      <c r="T129" s="1" t="n">
        <f aca="false">SUM(T116:T120)</f>
        <v>16810.6786107301</v>
      </c>
      <c r="U129" s="1" t="n">
        <f aca="false">SUM(U116:U120)</f>
        <v>16753.3333033914</v>
      </c>
      <c r="V129" s="1" t="n">
        <f aca="false">SUM(V116:V120)</f>
        <v>16686.6765210571</v>
      </c>
      <c r="W129" s="1" t="n">
        <f aca="false">SUM(W116:W120)</f>
        <v>16609.1038734083</v>
      </c>
      <c r="X129" s="1" t="n">
        <f aca="false">SUM(X116:X120)</f>
        <v>16518.7277441112</v>
      </c>
      <c r="Y129" s="1" t="n">
        <f aca="false">SUM(Y116:Y120)</f>
        <v>16413.3264952433</v>
      </c>
      <c r="Z129" s="1" t="n">
        <f aca="false">SUM(Z116:Z120)</f>
        <v>16285.706434956</v>
      </c>
      <c r="AA129" s="1" t="n">
        <f aca="false">SUM(AA116:AA120)</f>
        <v>16142.5566933358</v>
      </c>
      <c r="AB129" s="1" t="n">
        <f aca="false">SUM(AB116:AB120)</f>
        <v>16000.8866347237</v>
      </c>
      <c r="AC129" s="1" t="n">
        <f aca="false">SUM(AC116:AC120)</f>
        <v>15865.0178795881</v>
      </c>
    </row>
    <row r="131" customFormat="false" ht="12.8" hidden="false" customHeight="false" outlineLevel="0" collapsed="false">
      <c r="A131" s="1" t="s">
        <v>322</v>
      </c>
      <c r="B131" s="1" t="s">
        <v>575</v>
      </c>
      <c r="C131" s="1" t="n">
        <v>2024</v>
      </c>
      <c r="D131" s="1" t="n">
        <v>2025</v>
      </c>
      <c r="E131" s="1" t="n">
        <v>2026</v>
      </c>
      <c r="F131" s="1" t="n">
        <v>2027</v>
      </c>
      <c r="G131" s="1" t="n">
        <v>2028</v>
      </c>
      <c r="H131" s="1" t="n">
        <v>2029</v>
      </c>
      <c r="I131" s="1" t="n">
        <v>2030</v>
      </c>
      <c r="J131" s="1" t="n">
        <v>2031</v>
      </c>
      <c r="K131" s="1" t="n">
        <v>2032</v>
      </c>
      <c r="L131" s="1" t="n">
        <v>2033</v>
      </c>
      <c r="M131" s="1" t="n">
        <v>2034</v>
      </c>
      <c r="N131" s="1" t="n">
        <v>2035</v>
      </c>
      <c r="O131" s="1" t="n">
        <v>2036</v>
      </c>
      <c r="P131" s="1" t="n">
        <v>2037</v>
      </c>
      <c r="Q131" s="1" t="n">
        <v>2038</v>
      </c>
      <c r="R131" s="1" t="n">
        <v>2039</v>
      </c>
      <c r="S131" s="1" t="n">
        <v>2040</v>
      </c>
      <c r="T131" s="1" t="n">
        <v>2041</v>
      </c>
      <c r="U131" s="1" t="n">
        <v>2042</v>
      </c>
      <c r="V131" s="1" t="n">
        <v>2043</v>
      </c>
      <c r="W131" s="1" t="n">
        <v>2044</v>
      </c>
      <c r="X131" s="1" t="n">
        <v>2045</v>
      </c>
      <c r="Y131" s="1" t="n">
        <v>2046</v>
      </c>
      <c r="Z131" s="1" t="n">
        <v>2047</v>
      </c>
      <c r="AA131" s="1" t="n">
        <v>2048</v>
      </c>
      <c r="AB131" s="1" t="n">
        <v>2049</v>
      </c>
      <c r="AC131" s="1" t="n">
        <v>2050</v>
      </c>
    </row>
    <row r="132" customFormat="false" ht="12.8" hidden="false" customHeight="false" outlineLevel="0" collapsed="false">
      <c r="A132" s="1" t="s">
        <v>37</v>
      </c>
      <c r="B132" s="1" t="n">
        <f aca="false">($B$30*$B$28)+($B$39*$B$42)</f>
        <v>71.3503343390438</v>
      </c>
      <c r="C132" s="1" t="n">
        <f aca="false">($B$30*$B$28)+($B$39*$B$42)</f>
        <v>71.3503343390438</v>
      </c>
      <c r="D132" s="1" t="n">
        <f aca="false">($B$30*$B$33)+($B$44*$B$47)</f>
        <v>24.0522502980757</v>
      </c>
      <c r="E132" s="1" t="n">
        <f aca="false">($B$30*$B$33)+($B$44*$B$47)</f>
        <v>24.0522502980757</v>
      </c>
      <c r="F132" s="1" t="n">
        <f aca="false">($B$30*$B$33)+($B$44*$B$47)</f>
        <v>24.0522502980757</v>
      </c>
      <c r="G132" s="1" t="n">
        <f aca="false">($B$30*$B$33)+($B$44*$B$47)</f>
        <v>24.0522502980757</v>
      </c>
      <c r="H132" s="1" t="n">
        <f aca="false">($B$30*$B$33)+($B$44*$B$47)</f>
        <v>24.0522502980757</v>
      </c>
      <c r="I132" s="1" t="n">
        <f aca="false">($B$30*$B$33)+($B$44*$B$47)</f>
        <v>24.0522502980757</v>
      </c>
      <c r="J132" s="1" t="n">
        <f aca="false">($B$30*$B$33)+($B$44*$B$47)</f>
        <v>24.0522502980757</v>
      </c>
      <c r="K132" s="1" t="n">
        <f aca="false">($B$30*$B$33)+($B$44*$B$47)</f>
        <v>24.0522502980757</v>
      </c>
      <c r="L132" s="1" t="n">
        <f aca="false">$K132*0.9</f>
        <v>21.6470252682681</v>
      </c>
      <c r="M132" s="1" t="n">
        <v>22.0256904333107</v>
      </c>
      <c r="N132" s="1" t="n">
        <v>22.0256904333107</v>
      </c>
      <c r="O132" s="1" t="n">
        <v>22.0256904333107</v>
      </c>
      <c r="P132" s="1" t="n">
        <v>22.0256904333107</v>
      </c>
      <c r="Q132" s="1" t="n">
        <v>22.0256904333107</v>
      </c>
      <c r="R132" s="1" t="n">
        <v>22.0256904333107</v>
      </c>
      <c r="S132" s="1" t="n">
        <f aca="false">$L132*0.9</f>
        <v>19.4823227414413</v>
      </c>
      <c r="T132" s="1" t="n">
        <v>19.8231213899797</v>
      </c>
      <c r="U132" s="1" t="n">
        <v>19.8231213899797</v>
      </c>
      <c r="V132" s="1" t="n">
        <v>19.8231213899797</v>
      </c>
      <c r="W132" s="1" t="n">
        <v>19.8231213899797</v>
      </c>
      <c r="X132" s="1" t="n">
        <v>19.8231213899797</v>
      </c>
      <c r="Y132" s="1" t="n">
        <v>19.8231213899797</v>
      </c>
      <c r="Z132" s="1" t="n">
        <f aca="false">$S132*0.9</f>
        <v>17.5340904672972</v>
      </c>
      <c r="AA132" s="1" t="n">
        <v>17.8408092509817</v>
      </c>
      <c r="AB132" s="1" t="n">
        <f aca="false">$S132*0.9</f>
        <v>17.5340904672972</v>
      </c>
      <c r="AC132" s="1" t="n">
        <f aca="false">$S132*0.9</f>
        <v>17.5340904672972</v>
      </c>
    </row>
    <row r="133" customFormat="false" ht="12.8" hidden="false" customHeight="false" outlineLevel="0" collapsed="false">
      <c r="A133" s="1" t="s">
        <v>18</v>
      </c>
      <c r="B133" s="2" t="n">
        <f aca="false">$B$10</f>
        <v>1325</v>
      </c>
      <c r="C133" s="4" t="n">
        <f aca="false">$B$10</f>
        <v>1325</v>
      </c>
      <c r="D133" s="2" t="n">
        <f aca="false">$B$10</f>
        <v>1325</v>
      </c>
      <c r="E133" s="2" t="n">
        <f aca="false">($B$18*0.25)+($B$10*0.75)</f>
        <v>1067.79657860088</v>
      </c>
      <c r="F133" s="146" t="n">
        <f aca="false">$B$18</f>
        <v>296.186314403533</v>
      </c>
      <c r="G133" s="146" t="n">
        <f aca="false">$B$18</f>
        <v>296.186314403533</v>
      </c>
      <c r="H133" s="146" t="n">
        <f aca="false">$B$18</f>
        <v>296.186314403533</v>
      </c>
      <c r="I133" s="146" t="n">
        <f aca="false">$B$18</f>
        <v>296.186314403533</v>
      </c>
      <c r="J133" s="146" t="n">
        <f aca="false">$B$18</f>
        <v>296.186314403533</v>
      </c>
      <c r="K133" s="146" t="n">
        <f aca="false">$B$18</f>
        <v>296.186314403533</v>
      </c>
      <c r="L133" s="146" t="n">
        <f aca="false">$B$18</f>
        <v>296.186314403533</v>
      </c>
      <c r="M133" s="146" t="n">
        <f aca="false">$B$18</f>
        <v>296.186314403533</v>
      </c>
      <c r="N133" s="146" t="n">
        <f aca="false">$B$18</f>
        <v>296.186314403533</v>
      </c>
      <c r="O133" s="146" t="n">
        <f aca="false">$B$18</f>
        <v>296.186314403533</v>
      </c>
      <c r="P133" s="146" t="n">
        <f aca="false">$B$18</f>
        <v>296.186314403533</v>
      </c>
      <c r="Q133" s="146" t="n">
        <f aca="false">$B$18</f>
        <v>296.186314403533</v>
      </c>
      <c r="R133" s="146" t="n">
        <f aca="false">$B$18</f>
        <v>296.186314403533</v>
      </c>
      <c r="S133" s="146" t="n">
        <f aca="false">$B$18</f>
        <v>296.186314403533</v>
      </c>
      <c r="T133" s="146" t="n">
        <f aca="false">$B$18</f>
        <v>296.186314403533</v>
      </c>
      <c r="U133" s="146" t="n">
        <f aca="false">$B$18</f>
        <v>296.186314403533</v>
      </c>
      <c r="V133" s="146" t="n">
        <f aca="false">$B$18</f>
        <v>296.186314403533</v>
      </c>
      <c r="W133" s="146" t="n">
        <f aca="false">$B$18</f>
        <v>296.186314403533</v>
      </c>
      <c r="X133" s="146" t="n">
        <f aca="false">$B$18</f>
        <v>296.186314403533</v>
      </c>
      <c r="Y133" s="146" t="n">
        <f aca="false">$B$18</f>
        <v>296.186314403533</v>
      </c>
      <c r="Z133" s="146" t="n">
        <f aca="false">$B$18</f>
        <v>296.186314403533</v>
      </c>
      <c r="AA133" s="146" t="n">
        <f aca="false">$B$18</f>
        <v>296.186314403533</v>
      </c>
      <c r="AB133" s="146" t="n">
        <f aca="false">$B$18</f>
        <v>296.186314403533</v>
      </c>
      <c r="AC133" s="146" t="n">
        <f aca="false">$B$18</f>
        <v>296.186314403533</v>
      </c>
    </row>
    <row r="134" customFormat="false" ht="12.8" hidden="false" customHeight="false" outlineLevel="0" collapsed="false">
      <c r="A134" s="3" t="s">
        <v>39</v>
      </c>
      <c r="B134" s="2" t="n">
        <f aca="false">SUM(B132:B133)</f>
        <v>1396.35033433904</v>
      </c>
      <c r="C134" s="1" t="n">
        <f aca="false">SUM(C132:C133)</f>
        <v>1396.35033433904</v>
      </c>
      <c r="D134" s="2" t="n">
        <f aca="false">SUM(D132:D133)</f>
        <v>1349.05225029808</v>
      </c>
      <c r="E134" s="2" t="n">
        <f aca="false">SUM(E132:E133)</f>
        <v>1091.84882889896</v>
      </c>
      <c r="F134" s="1" t="n">
        <f aca="false">SUM(F132:F133)</f>
        <v>320.238564701609</v>
      </c>
      <c r="G134" s="1" t="n">
        <f aca="false">SUM(G132:G133)</f>
        <v>320.238564701609</v>
      </c>
      <c r="H134" s="1" t="n">
        <f aca="false">SUM(H132:H133)</f>
        <v>320.238564701609</v>
      </c>
      <c r="I134" s="1" t="n">
        <f aca="false">SUM(I132:I133)</f>
        <v>320.238564701609</v>
      </c>
      <c r="J134" s="1" t="n">
        <f aca="false">SUM(J132:J133)</f>
        <v>320.238564701609</v>
      </c>
      <c r="K134" s="1" t="n">
        <f aca="false">SUM(K132:K133)</f>
        <v>320.238564701609</v>
      </c>
      <c r="L134" s="1" t="n">
        <f aca="false">SUM(L132:L133)</f>
        <v>317.833339671801</v>
      </c>
      <c r="M134" s="1" t="n">
        <f aca="false">SUM(M132:M133)</f>
        <v>318.212004836844</v>
      </c>
      <c r="N134" s="1" t="n">
        <f aca="false">SUM(N132:N133)</f>
        <v>318.212004836844</v>
      </c>
      <c r="O134" s="1" t="n">
        <f aca="false">SUM(O132:O133)</f>
        <v>318.212004836844</v>
      </c>
      <c r="P134" s="1" t="n">
        <f aca="false">SUM(P132:P133)</f>
        <v>318.212004836844</v>
      </c>
      <c r="Q134" s="1" t="n">
        <f aca="false">SUM(Q132:Q133)</f>
        <v>318.212004836844</v>
      </c>
      <c r="R134" s="1" t="n">
        <f aca="false">SUM(R132:R133)</f>
        <v>318.212004836844</v>
      </c>
      <c r="S134" s="1" t="n">
        <f aca="false">SUM(S132:S133)</f>
        <v>315.668637144975</v>
      </c>
      <c r="T134" s="1" t="n">
        <f aca="false">SUM(T132:T133)</f>
        <v>316.009435793513</v>
      </c>
      <c r="U134" s="1" t="n">
        <f aca="false">SUM(U132:U133)</f>
        <v>316.009435793513</v>
      </c>
      <c r="V134" s="1" t="n">
        <f aca="false">SUM(V132:V133)</f>
        <v>316.009435793513</v>
      </c>
      <c r="W134" s="1" t="n">
        <f aca="false">SUM(W132:W133)</f>
        <v>316.009435793513</v>
      </c>
      <c r="X134" s="1" t="n">
        <f aca="false">SUM(X132:X133)</f>
        <v>316.009435793513</v>
      </c>
      <c r="Y134" s="1" t="n">
        <f aca="false">SUM(Y132:Y133)</f>
        <v>316.009435793513</v>
      </c>
      <c r="Z134" s="1" t="n">
        <f aca="false">SUM(Z132:Z133)</f>
        <v>313.72040487083</v>
      </c>
      <c r="AA134" s="1" t="n">
        <f aca="false">SUM(AA132:AA133)</f>
        <v>314.027123654515</v>
      </c>
      <c r="AB134" s="1" t="n">
        <f aca="false">SUM(AB132:AB133)</f>
        <v>313.72040487083</v>
      </c>
      <c r="AC134" s="1" t="n">
        <f aca="false">SUM(AC132:AC133)</f>
        <v>313.72040487083</v>
      </c>
      <c r="AD134" s="130"/>
    </row>
    <row r="135" customFormat="false" ht="12.8" hidden="false" customHeight="false" outlineLevel="0" collapsed="false">
      <c r="A135" s="1" t="s">
        <v>40</v>
      </c>
      <c r="B135" s="1" t="n">
        <f aca="false">($B$70*(1-B$92))+($B$77*B$92)</f>
        <v>12365.3240919418</v>
      </c>
      <c r="C135" s="1" t="n">
        <f aca="false">($B$70*(1-B$92))+($B$77*B$92)</f>
        <v>12365.3240919418</v>
      </c>
      <c r="D135" s="1" t="n">
        <f aca="false">($B$70*(1-C$92))+($B$77*C$92)</f>
        <v>12304.4591445765</v>
      </c>
      <c r="E135" s="1" t="n">
        <f aca="false">($B$70*(1-D$92))+($B$77*D$92)</f>
        <v>12304.4591445765</v>
      </c>
      <c r="F135" s="1" t="n">
        <f aca="false">($B$70*(1-E$92))+($B$77*E$92)</f>
        <v>12286.1996603669</v>
      </c>
      <c r="G135" s="1" t="n">
        <f aca="false">($B$70*(1-F$92))+($B$77*F$92)</f>
        <v>12262.4623308945</v>
      </c>
      <c r="H135" s="1" t="n">
        <f aca="false">($B$70*(1-G$92))+($B$77*G$92)</f>
        <v>12231.6038025803</v>
      </c>
      <c r="I135" s="1" t="n">
        <f aca="false">($B$70*(1-H$92))+($B$77*H$92)</f>
        <v>12191.4877157719</v>
      </c>
      <c r="J135" s="1" t="n">
        <f aca="false">($B$70*(1-I$92))+($B$77*I$92)</f>
        <v>12139.3368029209</v>
      </c>
      <c r="K135" s="1" t="n">
        <f aca="false">($B$70*(1-J$92))+($B$77*J$92)</f>
        <v>12071.5406162147</v>
      </c>
      <c r="L135" s="1" t="n">
        <f aca="false">($B$70*(1-K$92))+($B$77*K$92)</f>
        <v>11954.0272259238</v>
      </c>
      <c r="M135" s="1" t="n">
        <f aca="false">($B$70*(1-L$92))+($B$77*L$92)</f>
        <v>11789.5084795167</v>
      </c>
      <c r="N135" s="1" t="n">
        <f aca="false">($B$70*(1-M$92))+($B$77*M$92)</f>
        <v>11559.1822345466</v>
      </c>
      <c r="O135" s="1" t="n">
        <f aca="false">($B$70*(1-N$92))+($B$77*N$92)</f>
        <v>11148.0251446369</v>
      </c>
      <c r="P135" s="1" t="n">
        <f aca="false">($B$70*(1-O$92))+($B$77*O$92)</f>
        <v>11038.4682393794</v>
      </c>
      <c r="Q135" s="1" t="n">
        <f aca="false">($B$70*(1-P$92))+($B$77*P$92)</f>
        <v>10919.0512126488</v>
      </c>
      <c r="R135" s="1" t="n">
        <f aca="false">($B$70*(1-Q$92))+($B$77*Q$92)</f>
        <v>10788.8866535125</v>
      </c>
      <c r="S135" s="1" t="n">
        <f aca="false">($B$70*(1-R$92))+($B$77*R$92)</f>
        <v>10647.0072840538</v>
      </c>
      <c r="T135" s="1" t="n">
        <f aca="false">($B$70*(1-S$92))+($B$77*S$92)</f>
        <v>10492.3587713439</v>
      </c>
      <c r="U135" s="1" t="n">
        <f aca="false">($B$70*(1-T$92))+($B$77*T$92)</f>
        <v>10323.7918924901</v>
      </c>
      <c r="V135" s="1" t="n">
        <f aca="false">($B$70*(1-U$92))+($B$77*U$92)</f>
        <v>10140.0539945395</v>
      </c>
      <c r="W135" s="1" t="n">
        <f aca="false">($B$70*(1-V$92))+($B$77*V$92)</f>
        <v>9939.77968577324</v>
      </c>
      <c r="X135" s="1" t="n">
        <f aca="false">($B$70*(1-W$92))+($B$77*W$92)</f>
        <v>9721.48068921807</v>
      </c>
      <c r="Y135" s="1" t="n">
        <f aca="false">($B$70*(1-X$92))+($B$77*X$92)</f>
        <v>9483.53478297294</v>
      </c>
      <c r="Z135" s="1" t="n">
        <f aca="false">($B$70*(1-Y$92))+($B$77*Y$92)</f>
        <v>9224.17374516575</v>
      </c>
      <c r="AA135" s="1" t="n">
        <f aca="false">($B$70*(1-Z$92))+($B$77*Z$92)</f>
        <v>8941.47021395591</v>
      </c>
      <c r="AB135" s="1" t="n">
        <f aca="false">($B$70*(1-AA$92))+($B$77*AA$92)</f>
        <v>8633.32336493718</v>
      </c>
      <c r="AC135" s="1" t="n">
        <f aca="false">($B$70*(1-AB$92))+($B$77*AB$92)</f>
        <v>8297.44329950676</v>
      </c>
    </row>
    <row r="136" customFormat="false" ht="12.8" hidden="false" customHeight="false" outlineLevel="0" collapsed="false">
      <c r="A136" s="1" t="s">
        <v>41</v>
      </c>
      <c r="B136" s="1" t="n">
        <f aca="false">($C$57*(1-B$98))+($C$58*B$98)</f>
        <v>4185.72266047358</v>
      </c>
      <c r="C136" s="1" t="n">
        <f aca="false">($C$57*(1-C$98))+($C$58*C$98)</f>
        <v>4185.72266047358</v>
      </c>
      <c r="D136" s="1" t="n">
        <f aca="false">($C$57*(1-D$97))+($C$58*D$97)</f>
        <v>4173.99913746515</v>
      </c>
      <c r="E136" s="1" t="n">
        <f aca="false">($C$57*(1-E$97))+($C$58*E$97)</f>
        <v>4160.83155226967</v>
      </c>
      <c r="F136" s="1" t="n">
        <f aca="false">($C$57*(1-F$97))+($C$58*F$97)</f>
        <v>4145.91651974556</v>
      </c>
      <c r="G136" s="1" t="n">
        <f aca="false">($C$57*(1-G$97))+($C$58*G$97)</f>
        <v>4128.89782488036</v>
      </c>
      <c r="H136" s="1" t="n">
        <f aca="false">($C$57*(1-H$97))+($C$58*H$97)</f>
        <v>4109.35666738808</v>
      </c>
      <c r="I136" s="1" t="n">
        <f aca="false">($C$57*(1-I$97))+($C$58*I$97)</f>
        <v>4086.80013908011</v>
      </c>
      <c r="J136" s="1" t="n">
        <f aca="false">($C$57*(1-J$97))+($C$58*J$97)</f>
        <v>4060.6476118887</v>
      </c>
      <c r="K136" s="1" t="n">
        <f aca="false">($C$57*(1-K$97))+($C$58*K$97)</f>
        <v>4030.2146558248</v>
      </c>
      <c r="L136" s="1" t="n">
        <f aca="false">($C$57*(1-L$97))+($C$58*L$97)</f>
        <v>3994.69403688794</v>
      </c>
      <c r="M136" s="1" t="n">
        <f aca="false">($C$57*(1-M$97))+($C$58*M$97)</f>
        <v>3953.13326307461</v>
      </c>
      <c r="N136" s="1" t="n">
        <f aca="false">($C$57*(1-N$97))+($C$58*N$97)</f>
        <v>3904.4080498579</v>
      </c>
      <c r="O136" s="1" t="n">
        <f aca="false">($C$57*(1-O$97))+($C$58*O$97)</f>
        <v>3847.19096212339</v>
      </c>
      <c r="P136" s="1" t="n">
        <f aca="false">($C$57*(1-P$97))+($C$58*P$97)</f>
        <v>3779.914354339</v>
      </c>
      <c r="Q136" s="1" t="n">
        <f aca="false">($C$57*(1-Q$97))+($C$58*Q$97)</f>
        <v>3700.72657091929</v>
      </c>
      <c r="R136" s="1" t="n">
        <f aca="false">($C$57*(1-R$97))+($C$58*R$97)</f>
        <v>3607.44017984092</v>
      </c>
      <c r="S136" s="1" t="n">
        <f aca="false">($C$57*(1-S$97))+($C$58*S$97)</f>
        <v>3497.4707892792</v>
      </c>
      <c r="T136" s="1" t="n">
        <f aca="false">($C$57*(1-T$97))+($C$58*T$97)</f>
        <v>3370.47729334663</v>
      </c>
      <c r="U136" s="1" t="n">
        <f aca="false">($C$57*(1-U$97))+($C$58*U$97)</f>
        <v>3250.95400305716</v>
      </c>
      <c r="V136" s="1" t="n">
        <f aca="false">($C$57*(1-V$97))+($C$58*V$97)</f>
        <v>3138.46149454942</v>
      </c>
      <c r="W136" s="1" t="n">
        <f aca="false">($C$57*(1-W$97))+($C$58*W$97)</f>
        <v>3032.58619242448</v>
      </c>
      <c r="X136" s="1" t="n">
        <f aca="false">($C$57*(1-X$97))+($C$58*X$97)</f>
        <v>2932.93884924808</v>
      </c>
      <c r="Y136" s="1" t="n">
        <f aca="false">($C$57*(1-Y$97))+($C$58*Y$97)</f>
        <v>2839.15311449381</v>
      </c>
      <c r="Z136" s="1" t="n">
        <f aca="false">($C$57*(1-Z$97))+($C$58*Z$97)</f>
        <v>2750.88418766627</v>
      </c>
      <c r="AA136" s="1" t="n">
        <f aca="false">($C$57*(1-AA$97))+($C$58*AA$97)</f>
        <v>2667.80755065211</v>
      </c>
      <c r="AB136" s="1" t="n">
        <f aca="false">($C$57*(1-AB$97))+($C$58*AB$97)</f>
        <v>2589.61777463878</v>
      </c>
      <c r="AC136" s="1" t="n">
        <f aca="false">($C$57*(1-AC$97))+($C$58*AC$97)</f>
        <v>2516.02739721447</v>
      </c>
    </row>
    <row r="137" customFormat="false" ht="12.8" hidden="false" customHeight="false" outlineLevel="0" collapsed="false">
      <c r="A137" s="1" t="s">
        <v>20</v>
      </c>
      <c r="B137" s="1" t="n">
        <f aca="false">SUM(B132:B136)</f>
        <v>19343.7474210934</v>
      </c>
      <c r="C137" s="1" t="n">
        <f aca="false">SUM(C132:C136)</f>
        <v>19343.7474210934</v>
      </c>
      <c r="D137" s="1" t="n">
        <f aca="false">SUM(D132:D136)</f>
        <v>19176.5627826378</v>
      </c>
      <c r="E137" s="1" t="n">
        <f aca="false">SUM(E132:E136)</f>
        <v>18648.9883546441</v>
      </c>
      <c r="F137" s="1" t="n">
        <f aca="false">SUM(F132:F136)</f>
        <v>17072.5933095157</v>
      </c>
      <c r="G137" s="1" t="n">
        <f aca="false">SUM(G132:G136)</f>
        <v>17031.8372851781</v>
      </c>
      <c r="H137" s="1" t="n">
        <f aca="false">SUM(H132:H136)</f>
        <v>16981.4375993716</v>
      </c>
      <c r="I137" s="1" t="n">
        <f aca="false">SUM(I132:I136)</f>
        <v>16918.7649842552</v>
      </c>
      <c r="J137" s="1" t="n">
        <f aca="false">SUM(J132:J136)</f>
        <v>16840.4615442129</v>
      </c>
      <c r="K137" s="1" t="n">
        <f aca="false">SUM(K132:K136)</f>
        <v>16742.2324014427</v>
      </c>
      <c r="L137" s="1" t="n">
        <f aca="false">SUM(L132:L136)</f>
        <v>16584.3879421554</v>
      </c>
      <c r="M137" s="1" t="n">
        <f aca="false">SUM(M132:M136)</f>
        <v>16379.065752265</v>
      </c>
      <c r="N137" s="1" t="n">
        <f aca="false">SUM(N132:N136)</f>
        <v>16100.0142940782</v>
      </c>
      <c r="O137" s="1" t="n">
        <f aca="false">SUM(O132:O136)</f>
        <v>15631.640116434</v>
      </c>
      <c r="P137" s="1" t="n">
        <f aca="false">SUM(P132:P136)</f>
        <v>15454.8066033921</v>
      </c>
      <c r="Q137" s="1" t="n">
        <f aca="false">SUM(Q132:Q136)</f>
        <v>15256.2017932418</v>
      </c>
      <c r="R137" s="1" t="n">
        <f aca="false">SUM(R132:R136)</f>
        <v>15032.7508430271</v>
      </c>
      <c r="S137" s="1" t="n">
        <f aca="false">SUM(S132:S136)</f>
        <v>14775.815347623</v>
      </c>
      <c r="T137" s="1" t="n">
        <f aca="false">SUM(T132:T136)</f>
        <v>14494.8549362776</v>
      </c>
      <c r="U137" s="1" t="n">
        <f aca="false">SUM(U132:U136)</f>
        <v>14206.7647671343</v>
      </c>
      <c r="V137" s="1" t="n">
        <f aca="false">SUM(V132:V136)</f>
        <v>13910.5343606759</v>
      </c>
      <c r="W137" s="1" t="n">
        <f aca="false">SUM(W132:W136)</f>
        <v>13604.3847497848</v>
      </c>
      <c r="X137" s="1" t="n">
        <f aca="false">SUM(X132:X136)</f>
        <v>13286.4384100532</v>
      </c>
      <c r="Y137" s="1" t="n">
        <f aca="false">SUM(Y132:Y136)</f>
        <v>12954.7067690538</v>
      </c>
      <c r="Z137" s="1" t="n">
        <f aca="false">SUM(Z132:Z136)</f>
        <v>12602.4987425737</v>
      </c>
      <c r="AA137" s="1" t="n">
        <f aca="false">SUM(AA132:AA136)</f>
        <v>12237.332011917</v>
      </c>
      <c r="AB137" s="1" t="n">
        <f aca="false">SUM(AB132:AB136)</f>
        <v>11850.3819493176</v>
      </c>
      <c r="AC137" s="1" t="n">
        <f aca="false">SUM(AC132:AC136)</f>
        <v>11440.9115064629</v>
      </c>
    </row>
    <row r="140" customFormat="false" ht="12.8" hidden="false" customHeight="false" outlineLevel="0" collapsed="false">
      <c r="C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30"/>
    </row>
    <row r="143" customFormat="false" ht="12.8" hidden="false" customHeight="false" outlineLevel="0" collapsed="false">
      <c r="A143" s="1" t="s">
        <v>42</v>
      </c>
      <c r="B143" s="1" t="s">
        <v>575</v>
      </c>
      <c r="C143" s="1" t="n">
        <v>2024</v>
      </c>
      <c r="D143" s="1" t="n">
        <v>2025</v>
      </c>
      <c r="E143" s="1" t="n">
        <v>2026</v>
      </c>
      <c r="F143" s="1" t="n">
        <v>2027</v>
      </c>
      <c r="G143" s="1" t="n">
        <v>2028</v>
      </c>
      <c r="H143" s="1" t="n">
        <v>2029</v>
      </c>
      <c r="I143" s="1" t="n">
        <v>2030</v>
      </c>
      <c r="J143" s="1" t="n">
        <v>2031</v>
      </c>
      <c r="K143" s="1" t="n">
        <v>2032</v>
      </c>
      <c r="L143" s="1" t="n">
        <v>2033</v>
      </c>
      <c r="M143" s="1" t="n">
        <v>2034</v>
      </c>
      <c r="N143" s="1" t="n">
        <v>2035</v>
      </c>
      <c r="O143" s="1" t="n">
        <v>2036</v>
      </c>
      <c r="P143" s="1" t="n">
        <v>2037</v>
      </c>
      <c r="Q143" s="1" t="n">
        <v>2038</v>
      </c>
      <c r="R143" s="1" t="n">
        <v>2039</v>
      </c>
      <c r="S143" s="1" t="n">
        <v>2040</v>
      </c>
      <c r="T143" s="1" t="n">
        <v>2041</v>
      </c>
      <c r="U143" s="1" t="n">
        <v>2042</v>
      </c>
      <c r="V143" s="1" t="n">
        <v>2043</v>
      </c>
      <c r="W143" s="1" t="n">
        <v>2044</v>
      </c>
      <c r="X143" s="1" t="n">
        <v>2045</v>
      </c>
      <c r="Y143" s="1" t="n">
        <v>2046</v>
      </c>
      <c r="Z143" s="1" t="n">
        <v>2047</v>
      </c>
      <c r="AA143" s="1" t="n">
        <v>2048</v>
      </c>
      <c r="AB143" s="1" t="n">
        <v>2049</v>
      </c>
      <c r="AC143" s="1" t="n">
        <v>2050</v>
      </c>
    </row>
    <row r="144" customFormat="false" ht="12.8" hidden="false" customHeight="false" outlineLevel="0" collapsed="false">
      <c r="A144" s="1" t="s">
        <v>37</v>
      </c>
      <c r="B144" s="1" t="n">
        <f aca="false">($B$30*$B$28)+($B$39*$B$42)</f>
        <v>71.3503343390438</v>
      </c>
      <c r="C144" s="1" t="n">
        <f aca="false">($B$30*$B$28)+($B$39*$B$42)</f>
        <v>71.3503343390438</v>
      </c>
      <c r="D144" s="1" t="n">
        <f aca="false">($B$30*$B$33)+($B$44*$B$47)</f>
        <v>24.0522502980757</v>
      </c>
      <c r="E144" s="1" t="n">
        <f aca="false">($B$30*$B$33)+($B$44*$B$47)</f>
        <v>24.0522502980757</v>
      </c>
      <c r="F144" s="1" t="n">
        <f aca="false">($B$30*$B$33)+($B$44*$B$47)</f>
        <v>24.0522502980757</v>
      </c>
      <c r="G144" s="1" t="n">
        <f aca="false">($B$30*$B$33)+($B$44*$B$47)</f>
        <v>24.0522502980757</v>
      </c>
      <c r="H144" s="1" t="n">
        <f aca="false">($B$30*$B$33)+($B$44*$B$47)</f>
        <v>24.0522502980757</v>
      </c>
      <c r="I144" s="1" t="n">
        <f aca="false">($B$30*$B$33)+($B$44*$B$47)</f>
        <v>24.0522502980757</v>
      </c>
      <c r="J144" s="1" t="n">
        <f aca="false">($B$30*$B$33)+($B$44*$B$47)</f>
        <v>24.0522502980757</v>
      </c>
      <c r="K144" s="1" t="n">
        <f aca="false">($B$30*$B$33)+($B$44*$B$47)</f>
        <v>24.0522502980757</v>
      </c>
      <c r="L144" s="1" t="n">
        <f aca="false">$K144*0.9</f>
        <v>21.6470252682681</v>
      </c>
      <c r="M144" s="1" t="n">
        <v>22.0256904333107</v>
      </c>
      <c r="N144" s="1" t="n">
        <v>22.0256904333107</v>
      </c>
      <c r="O144" s="1" t="n">
        <v>22.0256904333107</v>
      </c>
      <c r="P144" s="1" t="n">
        <v>22.0256904333107</v>
      </c>
      <c r="Q144" s="1" t="n">
        <v>22.0256904333107</v>
      </c>
      <c r="R144" s="1" t="n">
        <v>22.0256904333107</v>
      </c>
      <c r="S144" s="1" t="n">
        <f aca="false">$L144*0.9</f>
        <v>19.4823227414413</v>
      </c>
      <c r="T144" s="1" t="n">
        <v>19.8231213899797</v>
      </c>
      <c r="U144" s="1" t="n">
        <v>19.8231213899797</v>
      </c>
      <c r="V144" s="1" t="n">
        <v>19.8231213899797</v>
      </c>
      <c r="W144" s="1" t="n">
        <v>19.8231213899797</v>
      </c>
      <c r="X144" s="1" t="n">
        <v>19.8231213899797</v>
      </c>
      <c r="Y144" s="1" t="n">
        <v>19.8231213899797</v>
      </c>
      <c r="Z144" s="1" t="n">
        <f aca="false">$S144*0.9</f>
        <v>17.5340904672972</v>
      </c>
      <c r="AA144" s="1" t="n">
        <v>17.8408092509817</v>
      </c>
      <c r="AB144" s="1" t="n">
        <f aca="false">$S144*0.9</f>
        <v>17.5340904672972</v>
      </c>
      <c r="AC144" s="1" t="n">
        <f aca="false">$S144*0.9</f>
        <v>17.5340904672972</v>
      </c>
    </row>
    <row r="145" customFormat="false" ht="12.8" hidden="false" customHeight="false" outlineLevel="0" collapsed="false">
      <c r="A145" s="1" t="s">
        <v>18</v>
      </c>
      <c r="B145" s="2" t="n">
        <f aca="false">$B$10</f>
        <v>1325</v>
      </c>
      <c r="C145" s="4" t="n">
        <f aca="false">$B$10</f>
        <v>1325</v>
      </c>
      <c r="D145" s="2" t="n">
        <f aca="false">$B$10</f>
        <v>1325</v>
      </c>
      <c r="E145" s="2" t="n">
        <f aca="false">($B$18*0.25)+($B$10*0.75)</f>
        <v>1067.79657860088</v>
      </c>
      <c r="F145" s="146" t="n">
        <f aca="false">$B$18</f>
        <v>296.186314403533</v>
      </c>
      <c r="G145" s="146" t="n">
        <f aca="false">$B$18</f>
        <v>296.186314403533</v>
      </c>
      <c r="H145" s="146" t="n">
        <f aca="false">$B$18</f>
        <v>296.186314403533</v>
      </c>
      <c r="I145" s="146" t="n">
        <f aca="false">$B$18</f>
        <v>296.186314403533</v>
      </c>
      <c r="J145" s="146" t="n">
        <f aca="false">$B$18</f>
        <v>296.186314403533</v>
      </c>
      <c r="K145" s="146" t="n">
        <f aca="false">$B$18</f>
        <v>296.186314403533</v>
      </c>
      <c r="L145" s="146" t="n">
        <f aca="false">$B$18</f>
        <v>296.186314403533</v>
      </c>
      <c r="M145" s="146" t="n">
        <f aca="false">$B$18</f>
        <v>296.186314403533</v>
      </c>
      <c r="N145" s="146" t="n">
        <f aca="false">$B$18</f>
        <v>296.186314403533</v>
      </c>
      <c r="O145" s="146" t="n">
        <f aca="false">$B$18</f>
        <v>296.186314403533</v>
      </c>
      <c r="P145" s="146" t="n">
        <f aca="false">$B$18</f>
        <v>296.186314403533</v>
      </c>
      <c r="Q145" s="146" t="n">
        <f aca="false">$B$18</f>
        <v>296.186314403533</v>
      </c>
      <c r="R145" s="146" t="n">
        <f aca="false">$B$18</f>
        <v>296.186314403533</v>
      </c>
      <c r="S145" s="146" t="n">
        <f aca="false">$B$18</f>
        <v>296.186314403533</v>
      </c>
      <c r="T145" s="146" t="n">
        <f aca="false">$B$18</f>
        <v>296.186314403533</v>
      </c>
      <c r="U145" s="146" t="n">
        <f aca="false">$B$18</f>
        <v>296.186314403533</v>
      </c>
      <c r="V145" s="146" t="n">
        <f aca="false">$B$18</f>
        <v>296.186314403533</v>
      </c>
      <c r="W145" s="146" t="n">
        <f aca="false">$B$18</f>
        <v>296.186314403533</v>
      </c>
      <c r="X145" s="146" t="n">
        <f aca="false">$B$18</f>
        <v>296.186314403533</v>
      </c>
      <c r="Y145" s="146" t="n">
        <f aca="false">$B$18</f>
        <v>296.186314403533</v>
      </c>
      <c r="Z145" s="146" t="n">
        <f aca="false">$B$18</f>
        <v>296.186314403533</v>
      </c>
      <c r="AA145" s="146" t="n">
        <f aca="false">$B$18</f>
        <v>296.186314403533</v>
      </c>
      <c r="AB145" s="146" t="n">
        <f aca="false">$B$18</f>
        <v>296.186314403533</v>
      </c>
      <c r="AC145" s="146" t="n">
        <f aca="false">$B$18</f>
        <v>296.186314403533</v>
      </c>
    </row>
    <row r="146" customFormat="false" ht="12.8" hidden="false" customHeight="false" outlineLevel="0" collapsed="false">
      <c r="A146" s="3" t="s">
        <v>39</v>
      </c>
      <c r="B146" s="2" t="n">
        <f aca="false">SUM(B144:B145)</f>
        <v>1396.35033433904</v>
      </c>
      <c r="C146" s="1" t="n">
        <f aca="false">SUM(C144:C145)</f>
        <v>1396.35033433904</v>
      </c>
      <c r="D146" s="2" t="n">
        <f aca="false">SUM(D144:D145)</f>
        <v>1349.05225029808</v>
      </c>
      <c r="E146" s="2" t="n">
        <f aca="false">SUM(E144:E145)</f>
        <v>1091.84882889896</v>
      </c>
      <c r="F146" s="1" t="n">
        <f aca="false">SUM(F144:F145)</f>
        <v>320.238564701609</v>
      </c>
      <c r="G146" s="1" t="n">
        <f aca="false">SUM(G144:G145)</f>
        <v>320.238564701609</v>
      </c>
      <c r="H146" s="1" t="n">
        <f aca="false">SUM(H144:H145)</f>
        <v>320.238564701609</v>
      </c>
      <c r="I146" s="1" t="n">
        <f aca="false">SUM(I144:I145)</f>
        <v>320.238564701609</v>
      </c>
      <c r="J146" s="1" t="n">
        <f aca="false">SUM(J144:J145)</f>
        <v>320.238564701609</v>
      </c>
      <c r="K146" s="1" t="n">
        <f aca="false">SUM(K144:K145)</f>
        <v>320.238564701609</v>
      </c>
      <c r="L146" s="1" t="n">
        <f aca="false">SUM(L144:L145)</f>
        <v>317.833339671801</v>
      </c>
      <c r="M146" s="1" t="n">
        <f aca="false">SUM(M144:M145)</f>
        <v>318.212004836844</v>
      </c>
      <c r="N146" s="1" t="n">
        <f aca="false">SUM(N144:N145)</f>
        <v>318.212004836844</v>
      </c>
      <c r="O146" s="1" t="n">
        <f aca="false">SUM(O144:O145)</f>
        <v>318.212004836844</v>
      </c>
      <c r="P146" s="1" t="n">
        <f aca="false">SUM(P144:P145)</f>
        <v>318.212004836844</v>
      </c>
      <c r="Q146" s="1" t="n">
        <f aca="false">SUM(Q144:Q145)</f>
        <v>318.212004836844</v>
      </c>
      <c r="R146" s="1" t="n">
        <f aca="false">SUM(R144:R145)</f>
        <v>318.212004836844</v>
      </c>
      <c r="S146" s="1" t="n">
        <f aca="false">SUM(S144:S145)</f>
        <v>315.668637144975</v>
      </c>
      <c r="T146" s="1" t="n">
        <f aca="false">SUM(T144:T145)</f>
        <v>316.009435793513</v>
      </c>
      <c r="U146" s="1" t="n">
        <f aca="false">SUM(U144:U145)</f>
        <v>316.009435793513</v>
      </c>
      <c r="V146" s="1" t="n">
        <f aca="false">SUM(V144:V145)</f>
        <v>316.009435793513</v>
      </c>
      <c r="W146" s="1" t="n">
        <f aca="false">SUM(W144:W145)</f>
        <v>316.009435793513</v>
      </c>
      <c r="X146" s="1" t="n">
        <f aca="false">SUM(X144:X145)</f>
        <v>316.009435793513</v>
      </c>
      <c r="Y146" s="1" t="n">
        <f aca="false">SUM(Y144:Y145)</f>
        <v>316.009435793513</v>
      </c>
      <c r="Z146" s="1" t="n">
        <f aca="false">SUM(Z144:Z145)</f>
        <v>313.72040487083</v>
      </c>
      <c r="AA146" s="1" t="n">
        <f aca="false">SUM(AA144:AA145)</f>
        <v>314.027123654515</v>
      </c>
      <c r="AB146" s="1" t="n">
        <f aca="false">SUM(AB144:AB145)</f>
        <v>313.72040487083</v>
      </c>
      <c r="AC146" s="1" t="n">
        <f aca="false">SUM(AC144:AC145)</f>
        <v>313.72040487083</v>
      </c>
      <c r="AD146" s="130"/>
    </row>
    <row r="147" customFormat="false" ht="12.8" hidden="false" customHeight="false" outlineLevel="0" collapsed="false">
      <c r="A147" s="1" t="s">
        <v>40</v>
      </c>
      <c r="B147" s="4" t="n">
        <f aca="false">$B$70</f>
        <v>12365.3240919418</v>
      </c>
      <c r="C147" s="4" t="n">
        <f aca="false">$B$70</f>
        <v>12365.3240919418</v>
      </c>
      <c r="D147" s="1" t="n">
        <f aca="false">($B$70*(1-C$93))+($B$77*C$93)</f>
        <v>12243.5941972113</v>
      </c>
      <c r="E147" s="1" t="n">
        <f aca="false">($B$70*(1-D$93))+($B$77*D$93)</f>
        <v>12243.5941972113</v>
      </c>
      <c r="F147" s="1" t="n">
        <f aca="false">($B$70*(1-E$93))+($B$77*E$93)</f>
        <v>12207.0752287921</v>
      </c>
      <c r="G147" s="1" t="n">
        <f aca="false">($B$70*(1-F$93))+($B$77*F$93)</f>
        <v>12159.6005698472</v>
      </c>
      <c r="H147" s="1" t="n">
        <f aca="false">($B$70*(1-G$93))+($B$77*G$93)</f>
        <v>12077.3111610094</v>
      </c>
      <c r="I147" s="1" t="n">
        <f aca="false">($B$70*(1-H$93))+($B$77*H$93)</f>
        <v>11962.1059886365</v>
      </c>
      <c r="J147" s="1" t="n">
        <f aca="false">($B$70*(1-I$93))+($B$77*I$93)</f>
        <v>11800.8187473144</v>
      </c>
      <c r="K147" s="1" t="n">
        <f aca="false">($B$70*(1-J$93))+($B$77*J$93)</f>
        <v>11575.0166094634</v>
      </c>
      <c r="L147" s="1" t="n">
        <f aca="false">($B$70*(1-K$93))+($B$77*K$93)</f>
        <v>11258.8936164721</v>
      </c>
      <c r="M147" s="1" t="n">
        <f aca="false">($B$70*(1-L$93))+($B$77*L$93)</f>
        <v>10816.3214262842</v>
      </c>
      <c r="N147" s="1" t="n">
        <f aca="false">($B$70*(1-M$93))+($B$77*M$93)</f>
        <v>10196.7203600212</v>
      </c>
      <c r="O147" s="1" t="n">
        <f aca="false">($B$70*(1-N$93))+($B$77*N$93)</f>
        <v>9322.07672367954</v>
      </c>
      <c r="P147" s="1" t="n">
        <f aca="false">($B$70*(1-O$93))+($B$77*O$93)</f>
        <v>9048.18446053594</v>
      </c>
      <c r="Q147" s="1" t="n">
        <f aca="false">($B$70*(1-P$93))+($B$77*P$93)</f>
        <v>8749.64189370942</v>
      </c>
      <c r="R147" s="1" t="n">
        <f aca="false">($B$70*(1-Q$93))+($B$77*Q$93)</f>
        <v>8424.2304958685</v>
      </c>
      <c r="S147" s="1" t="n">
        <f aca="false">($B$70*(1-R$93))+($B$77*R$93)</f>
        <v>8069.53207222191</v>
      </c>
      <c r="T147" s="1" t="n">
        <f aca="false">($B$70*(1-S$93))+($B$77*S$93)</f>
        <v>7682.91079044712</v>
      </c>
      <c r="U147" s="1" t="n">
        <f aca="false">($B$70*(1-T$93))+($B$77*T$93)</f>
        <v>7261.4935933126</v>
      </c>
      <c r="V147" s="1" t="n">
        <f aca="false">($B$70*(1-U$93))+($B$77*U$93)</f>
        <v>6802.14884843598</v>
      </c>
      <c r="W147" s="1" t="n">
        <f aca="false">($B$70*(1-V$93))+($B$77*V$93)</f>
        <v>6301.46307652046</v>
      </c>
      <c r="X147" s="1" t="n">
        <f aca="false">($B$70*(1-W$93))+($B$77*W$93)</f>
        <v>5755.71558513254</v>
      </c>
      <c r="Y147" s="1" t="n">
        <f aca="false">($B$70*(1-X$93))+($B$77*X$93)</f>
        <v>5160.85081951971</v>
      </c>
      <c r="Z147" s="1" t="n">
        <f aca="false">($B$70*(1-Y$93))+($B$77*Y$93)</f>
        <v>4512.44822500172</v>
      </c>
      <c r="AA147" s="1" t="n">
        <f aca="false">($B$70*(1-Z$93))+($B$77*Z$93)</f>
        <v>3805.68939697712</v>
      </c>
      <c r="AB147" s="1" t="n">
        <f aca="false">($B$70*(1-AA$93))+($B$77*AA$93)</f>
        <v>3035.3222744303</v>
      </c>
      <c r="AC147" s="1" t="n">
        <f aca="false">($B$70*(1-AB$93))+($B$77*AB$93)</f>
        <v>2195.62211085426</v>
      </c>
    </row>
    <row r="148" customFormat="false" ht="12.8" hidden="false" customHeight="false" outlineLevel="0" collapsed="false">
      <c r="A148" s="1" t="s">
        <v>41</v>
      </c>
      <c r="B148" s="1" t="n">
        <f aca="false">($C$57*(1-B$98))+($C$58*B$98)</f>
        <v>4185.72266047358</v>
      </c>
      <c r="C148" s="1" t="n">
        <f aca="false">($C$57*(1-C$98))+($C$58*C$98)</f>
        <v>4185.72266047358</v>
      </c>
      <c r="D148" s="1" t="n">
        <f aca="false">($C$57*(1-D$98))+($C$58*D$98)</f>
        <v>4162.27561445671</v>
      </c>
      <c r="E148" s="1" t="n">
        <f aca="false">($C$57*(1-E$98))+($C$58*E$98)</f>
        <v>4135.94044406577</v>
      </c>
      <c r="F148" s="1" t="n">
        <f aca="false">($C$57*(1-F$98))+($C$58*F$98)</f>
        <v>4106.11037901755</v>
      </c>
      <c r="G148" s="1" t="n">
        <f aca="false">($C$57*(1-G$98))+($C$58*G$98)</f>
        <v>4072.07298928714</v>
      </c>
      <c r="H148" s="1" t="n">
        <f aca="false">($C$57*(1-H$98))+($C$58*H$98)</f>
        <v>4032.99067430259</v>
      </c>
      <c r="I148" s="1" t="n">
        <f aca="false">($C$57*(1-I$98))+($C$58*I$98)</f>
        <v>3987.87761768665</v>
      </c>
      <c r="J148" s="1" t="n">
        <f aca="false">($C$57*(1-J$98))+($C$58*J$98)</f>
        <v>3935.57256330383</v>
      </c>
      <c r="K148" s="1" t="n">
        <f aca="false">($C$57*(1-K$98))+($C$58*K$98)</f>
        <v>3874.70665117602</v>
      </c>
      <c r="L148" s="1" t="n">
        <f aca="false">($C$57*(1-L$98))+($C$58*L$98)</f>
        <v>3803.6654133023</v>
      </c>
      <c r="M148" s="1" t="n">
        <f aca="false">($C$57*(1-M$98))+($C$58*M$98)</f>
        <v>3720.54386567565</v>
      </c>
      <c r="N148" s="1" t="n">
        <f aca="false">($C$57*(1-N$98))+($C$58*N$98)</f>
        <v>3623.09343924222</v>
      </c>
      <c r="O148" s="1" t="n">
        <f aca="false">($C$57*(1-O$98))+($C$58*O$98)</f>
        <v>3508.65926377321</v>
      </c>
      <c r="P148" s="1" t="n">
        <f aca="false">($C$57*(1-P$98))+($C$58*P$98)</f>
        <v>3381.00762228217</v>
      </c>
      <c r="Q148" s="1" t="n">
        <f aca="false">($C$57*(1-Q$98))+($C$58*Q$98)</f>
        <v>3260.86490087884</v>
      </c>
      <c r="R148" s="1" t="n">
        <f aca="false">($C$57*(1-R$98))+($C$58*R$98)</f>
        <v>3147.78939838159</v>
      </c>
      <c r="S148" s="1" t="n">
        <f aca="false">($C$57*(1-S$98))+($C$58*S$98)</f>
        <v>3041.36539603123</v>
      </c>
      <c r="T148" s="1" t="n">
        <f aca="false">($C$57*(1-T$98))+($C$58*T$98)</f>
        <v>2941.20162911325</v>
      </c>
      <c r="U148" s="1" t="n">
        <f aca="false">($C$57*(1-U$98))+($C$58*U$98)</f>
        <v>2846.92984848456</v>
      </c>
      <c r="V148" s="1" t="n">
        <f aca="false">($C$57*(1-V$98))+($C$58*V$98)</f>
        <v>2758.20346671639</v>
      </c>
      <c r="W148" s="1" t="n">
        <f aca="false">($C$57*(1-W$98))+($C$58*W$98)</f>
        <v>2674.69628387575</v>
      </c>
      <c r="X148" s="1" t="n">
        <f aca="false">($C$57*(1-X$98))+($C$58*X$98)</f>
        <v>2596.10128826103</v>
      </c>
      <c r="Y148" s="1" t="n">
        <f aca="false">($C$57*(1-Y$98))+($C$58*Y$98)</f>
        <v>2522.12952768248</v>
      </c>
      <c r="Z148" s="1" t="n">
        <f aca="false">($C$57*(1-Z$98))+($C$58*Z$98)</f>
        <v>2452.50904713795</v>
      </c>
      <c r="AA148" s="1" t="n">
        <f aca="false">($C$57*(1-AA$98))+($C$58*AA$98)</f>
        <v>2386.9838889784</v>
      </c>
      <c r="AB148" s="1" t="n">
        <f aca="false">($C$57*(1-AB$98))+($C$58*AB$98)</f>
        <v>2325.31315188706</v>
      </c>
      <c r="AC148" s="1" t="n">
        <f aca="false">($C$57*(1-AC$98))+($C$58*AC$98)</f>
        <v>2267.27010521285</v>
      </c>
    </row>
    <row r="149" customFormat="false" ht="12.8" hidden="false" customHeight="false" outlineLevel="0" collapsed="false">
      <c r="A149" s="1" t="s">
        <v>20</v>
      </c>
      <c r="B149" s="1" t="n">
        <f aca="false">SUM(B144:B148)</f>
        <v>19343.7474210934</v>
      </c>
      <c r="C149" s="1" t="n">
        <f aca="false">SUM(C144:C148)</f>
        <v>19343.7474210934</v>
      </c>
      <c r="D149" s="1" t="n">
        <f aca="false">SUM(D144:D148)</f>
        <v>19103.9743122641</v>
      </c>
      <c r="E149" s="1" t="n">
        <f aca="false">SUM(E144:E148)</f>
        <v>18563.232299075</v>
      </c>
      <c r="F149" s="1" t="n">
        <f aca="false">SUM(F144:F148)</f>
        <v>16953.6627372129</v>
      </c>
      <c r="G149" s="1" t="n">
        <f aca="false">SUM(G144:G148)</f>
        <v>16872.1506885376</v>
      </c>
      <c r="H149" s="1" t="n">
        <f aca="false">SUM(H144:H148)</f>
        <v>16750.7789647152</v>
      </c>
      <c r="I149" s="1" t="n">
        <f aca="false">SUM(I144:I148)</f>
        <v>16590.4607357264</v>
      </c>
      <c r="J149" s="1" t="n">
        <f aca="false">SUM(J144:J148)</f>
        <v>16376.8684400214</v>
      </c>
      <c r="K149" s="1" t="n">
        <f aca="false">SUM(K144:K148)</f>
        <v>16090.2003900427</v>
      </c>
      <c r="L149" s="1" t="n">
        <f aca="false">SUM(L144:L148)</f>
        <v>15698.225709118</v>
      </c>
      <c r="M149" s="1" t="n">
        <f aca="false">SUM(M144:M148)</f>
        <v>15173.2893016336</v>
      </c>
      <c r="N149" s="1" t="n">
        <f aca="false">SUM(N144:N148)</f>
        <v>14456.2378089371</v>
      </c>
      <c r="O149" s="1" t="n">
        <f aca="false">SUM(O144:O148)</f>
        <v>13467.1599971264</v>
      </c>
      <c r="P149" s="1" t="n">
        <f aca="false">SUM(P144:P148)</f>
        <v>13065.6160924918</v>
      </c>
      <c r="Q149" s="1" t="n">
        <f aca="false">SUM(Q144:Q148)</f>
        <v>12646.9308042619</v>
      </c>
      <c r="R149" s="1" t="n">
        <f aca="false">SUM(R144:R148)</f>
        <v>12208.4439039238</v>
      </c>
      <c r="S149" s="1" t="n">
        <f aca="false">SUM(S144:S148)</f>
        <v>11742.2347425431</v>
      </c>
      <c r="T149" s="1" t="n">
        <f aca="false">SUM(T144:T148)</f>
        <v>11256.1312911474</v>
      </c>
      <c r="U149" s="1" t="n">
        <f aca="false">SUM(U144:U148)</f>
        <v>10740.4423133842</v>
      </c>
      <c r="V149" s="1" t="n">
        <f aca="false">SUM(V144:V148)</f>
        <v>10192.3711867394</v>
      </c>
      <c r="W149" s="1" t="n">
        <f aca="false">SUM(W144:W148)</f>
        <v>9608.17823198323</v>
      </c>
      <c r="X149" s="1" t="n">
        <f aca="false">SUM(X144:X148)</f>
        <v>8983.8357449806</v>
      </c>
      <c r="Y149" s="1" t="n">
        <f aca="false">SUM(Y144:Y148)</f>
        <v>8314.99921878921</v>
      </c>
      <c r="Z149" s="1" t="n">
        <f aca="false">SUM(Z144:Z148)</f>
        <v>7592.39808188133</v>
      </c>
      <c r="AA149" s="1" t="n">
        <f aca="false">SUM(AA144:AA148)</f>
        <v>6820.72753326454</v>
      </c>
      <c r="AB149" s="1" t="n">
        <f aca="false">SUM(AB144:AB148)</f>
        <v>5988.07623605901</v>
      </c>
      <c r="AC149" s="1" t="n">
        <f aca="false">SUM(AC144:AC148)</f>
        <v>5090.33302580878</v>
      </c>
    </row>
    <row r="151" customFormat="false" ht="12.8" hidden="false" customHeight="false" outlineLevel="0" collapsed="false">
      <c r="A151" s="1" t="s">
        <v>323</v>
      </c>
      <c r="B151" s="1" t="s">
        <v>575</v>
      </c>
      <c r="C151" s="1" t="n">
        <v>2024</v>
      </c>
      <c r="D151" s="1" t="n">
        <v>2025</v>
      </c>
      <c r="E151" s="1" t="n">
        <v>2026</v>
      </c>
      <c r="F151" s="1" t="n">
        <v>2027</v>
      </c>
      <c r="G151" s="1" t="n">
        <v>2028</v>
      </c>
      <c r="H151" s="1" t="n">
        <v>2029</v>
      </c>
      <c r="I151" s="1" t="n">
        <v>2030</v>
      </c>
      <c r="J151" s="1" t="n">
        <v>2031</v>
      </c>
      <c r="K151" s="1" t="n">
        <v>2032</v>
      </c>
      <c r="L151" s="1" t="n">
        <v>2033</v>
      </c>
      <c r="M151" s="1" t="n">
        <v>2034</v>
      </c>
      <c r="N151" s="1" t="n">
        <v>2035</v>
      </c>
      <c r="O151" s="1" t="n">
        <v>2036</v>
      </c>
      <c r="P151" s="1" t="n">
        <v>2037</v>
      </c>
      <c r="Q151" s="1" t="n">
        <v>2038</v>
      </c>
      <c r="R151" s="1" t="n">
        <v>2039</v>
      </c>
      <c r="S151" s="1" t="n">
        <v>2040</v>
      </c>
      <c r="T151" s="1" t="n">
        <v>2041</v>
      </c>
      <c r="U151" s="1" t="n">
        <v>2042</v>
      </c>
      <c r="V151" s="1" t="n">
        <v>2043</v>
      </c>
      <c r="W151" s="1" t="n">
        <v>2044</v>
      </c>
      <c r="X151" s="1" t="n">
        <v>2045</v>
      </c>
      <c r="Y151" s="1" t="n">
        <v>2046</v>
      </c>
      <c r="Z151" s="1" t="n">
        <v>2047</v>
      </c>
      <c r="AA151" s="1" t="n">
        <v>2048</v>
      </c>
      <c r="AB151" s="1" t="n">
        <v>2049</v>
      </c>
      <c r="AC151" s="1" t="n">
        <v>2050</v>
      </c>
    </row>
    <row r="152" customFormat="false" ht="12.8" hidden="false" customHeight="false" outlineLevel="0" collapsed="false">
      <c r="A152" s="1" t="s">
        <v>318</v>
      </c>
      <c r="B152" s="2" t="n">
        <f aca="false">B103</f>
        <v>1396.35033433904</v>
      </c>
      <c r="C152" s="1" t="n">
        <f aca="false">C103</f>
        <v>1396.35033433904</v>
      </c>
      <c r="D152" s="2" t="n">
        <f aca="false">D103</f>
        <v>1396.35033433904</v>
      </c>
      <c r="E152" s="2" t="n">
        <f aca="false">E103</f>
        <v>1396.35033433904</v>
      </c>
      <c r="F152" s="2" t="n">
        <f aca="false">F103</f>
        <v>1396.35033433904</v>
      </c>
      <c r="G152" s="2" t="n">
        <f aca="false">G103</f>
        <v>1396.35033433904</v>
      </c>
      <c r="H152" s="2" t="n">
        <f aca="false">H103</f>
        <v>1396.35033433904</v>
      </c>
      <c r="I152" s="2" t="n">
        <f aca="false">I103</f>
        <v>1395.84446076254</v>
      </c>
      <c r="J152" s="2" t="n">
        <f aca="false">J103</f>
        <v>1395.71072102078</v>
      </c>
      <c r="K152" s="2" t="n">
        <f aca="false">K103</f>
        <v>1395.55509186666</v>
      </c>
      <c r="L152" s="2" t="n">
        <f aca="false">L103</f>
        <v>1395.37344523768</v>
      </c>
      <c r="M152" s="2" t="n">
        <f aca="false">M103</f>
        <v>1395.1609102457</v>
      </c>
      <c r="N152" s="2" t="n">
        <f aca="false">N103</f>
        <v>1394.91173748373</v>
      </c>
      <c r="O152" s="2" t="n">
        <f aca="false">O103</f>
        <v>1394.61913866597</v>
      </c>
      <c r="P152" s="2" t="n">
        <f aca="false">P103</f>
        <v>1394.27509710985</v>
      </c>
      <c r="Q152" s="2" t="n">
        <f aca="false">Q103</f>
        <v>1393.87014375191</v>
      </c>
      <c r="R152" s="2" t="n">
        <f aca="false">R103</f>
        <v>1393.39309242296</v>
      </c>
      <c r="S152" s="2" t="n">
        <f aca="false">S103</f>
        <v>1392.83072696637</v>
      </c>
      <c r="T152" s="2" t="n">
        <f aca="false">T103</f>
        <v>1392.16743143362</v>
      </c>
      <c r="U152" s="2" t="n">
        <f aca="false">U103</f>
        <v>1391.38475299573</v>
      </c>
      <c r="V152" s="2" t="n">
        <f aca="false">V103</f>
        <v>1390.46088532386</v>
      </c>
      <c r="W152" s="2" t="n">
        <f aca="false">W103</f>
        <v>1389.37005796319</v>
      </c>
      <c r="X152" s="2" t="n">
        <f aca="false">X103</f>
        <v>1388.08181458994</v>
      </c>
      <c r="Y152" s="2" t="n">
        <f aca="false">Y103</f>
        <v>1386.56015992705</v>
      </c>
      <c r="Z152" s="2" t="n">
        <f aca="false">Z103</f>
        <v>1384.76255141365</v>
      </c>
      <c r="AA152" s="2" t="n">
        <f aca="false">AA103</f>
        <v>1382.63870737261</v>
      </c>
      <c r="AB152" s="2" t="n">
        <f aca="false">AB103</f>
        <v>1380.59040809251</v>
      </c>
      <c r="AC152" s="2" t="n">
        <f aca="false">AC103</f>
        <v>1378.66259700536</v>
      </c>
      <c r="AD152" s="130"/>
    </row>
    <row r="153" customFormat="false" ht="12.8" hidden="false" customHeight="false" outlineLevel="0" collapsed="false">
      <c r="A153" s="1" t="s">
        <v>54</v>
      </c>
      <c r="B153" s="2" t="n">
        <f aca="false">B118</f>
        <v>1396.35033433904</v>
      </c>
      <c r="C153" s="1" t="n">
        <f aca="false">C114</f>
        <v>19343.7474210934</v>
      </c>
      <c r="D153" s="1" t="n">
        <f aca="false">D114</f>
        <v>19245.634196109</v>
      </c>
      <c r="E153" s="1" t="n">
        <f aca="false">E114</f>
        <v>18727.2770777521</v>
      </c>
      <c r="F153" s="1" t="n">
        <f aca="false">F114</f>
        <v>17179.5820396002</v>
      </c>
      <c r="G153" s="1" t="n">
        <f aca="false">G114</f>
        <v>17174.4764311406</v>
      </c>
      <c r="H153" s="1" t="n">
        <f aca="false">H114</f>
        <v>17168.6140838929</v>
      </c>
      <c r="I153" s="1" t="n">
        <f aca="false">I114</f>
        <v>17131.4146517179</v>
      </c>
      <c r="J153" s="1" t="n">
        <f aca="false">J114</f>
        <v>17117.482398824</v>
      </c>
      <c r="K153" s="1" t="n">
        <f aca="false">K114</f>
        <v>17101.048718321</v>
      </c>
      <c r="L153" s="1" t="n">
        <f aca="false">L114</f>
        <v>17076.8175301597</v>
      </c>
      <c r="M153" s="1" t="n">
        <f aca="false">M114</f>
        <v>17054.5891654411</v>
      </c>
      <c r="N153" s="1" t="n">
        <f aca="false">N114</f>
        <v>17027.3506459904</v>
      </c>
      <c r="O153" s="1" t="n">
        <f aca="false">O114</f>
        <v>17003.3702037078</v>
      </c>
      <c r="P153" s="1" t="n">
        <f aca="false">P114</f>
        <v>16975.7585269736</v>
      </c>
      <c r="Q153" s="1" t="n">
        <f aca="false">Q114</f>
        <v>16943.9049150529</v>
      </c>
      <c r="R153" s="1" t="n">
        <f aca="false">R114</f>
        <v>16907.0929659141</v>
      </c>
      <c r="S153" s="1" t="n">
        <f aca="false">S114</f>
        <v>16859.3950386832</v>
      </c>
      <c r="T153" s="1" t="n">
        <f aca="false">T114</f>
        <v>16810.6786107301</v>
      </c>
      <c r="U153" s="1" t="n">
        <f aca="false">U114</f>
        <v>16753.3333033914</v>
      </c>
      <c r="V153" s="1" t="n">
        <f aca="false">V114</f>
        <v>16686.6765210571</v>
      </c>
      <c r="W153" s="1" t="n">
        <f aca="false">W114</f>
        <v>16609.1038734083</v>
      </c>
      <c r="X153" s="1" t="n">
        <f aca="false">X114</f>
        <v>16518.7277441112</v>
      </c>
      <c r="Y153" s="1" t="n">
        <f aca="false">Y114</f>
        <v>16413.3264952433</v>
      </c>
      <c r="Z153" s="1" t="n">
        <f aca="false">Z114</f>
        <v>16285.706434956</v>
      </c>
      <c r="AA153" s="1" t="n">
        <f aca="false">AA114</f>
        <v>16142.5566933358</v>
      </c>
      <c r="AB153" s="1" t="n">
        <f aca="false">AB114</f>
        <v>16000.8866347237</v>
      </c>
      <c r="AC153" s="1" t="n">
        <f aca="false">AC114</f>
        <v>15865.0178795881</v>
      </c>
    </row>
    <row r="155" customFormat="false" ht="12.8" hidden="false" customHeight="false" outlineLevel="0" collapsed="false">
      <c r="A155" s="1" t="s">
        <v>324</v>
      </c>
      <c r="B155" s="1" t="s">
        <v>575</v>
      </c>
      <c r="C155" s="1" t="n">
        <v>2024</v>
      </c>
      <c r="D155" s="1" t="n">
        <v>2025</v>
      </c>
      <c r="E155" s="1" t="n">
        <v>2026</v>
      </c>
      <c r="F155" s="1" t="n">
        <v>2027</v>
      </c>
      <c r="G155" s="1" t="n">
        <v>2028</v>
      </c>
      <c r="H155" s="1" t="n">
        <v>2029</v>
      </c>
      <c r="I155" s="1" t="n">
        <v>2030</v>
      </c>
      <c r="J155" s="1" t="n">
        <v>2031</v>
      </c>
      <c r="K155" s="1" t="n">
        <v>2032</v>
      </c>
      <c r="L155" s="1" t="n">
        <v>2033</v>
      </c>
      <c r="M155" s="1" t="n">
        <v>2034</v>
      </c>
      <c r="N155" s="1" t="n">
        <v>2035</v>
      </c>
      <c r="O155" s="1" t="n">
        <v>2036</v>
      </c>
      <c r="P155" s="1" t="n">
        <v>2037</v>
      </c>
      <c r="Q155" s="1" t="n">
        <v>2038</v>
      </c>
      <c r="R155" s="1" t="n">
        <v>2039</v>
      </c>
      <c r="S155" s="1" t="n">
        <v>2040</v>
      </c>
      <c r="T155" s="1" t="n">
        <v>2041</v>
      </c>
      <c r="U155" s="1" t="n">
        <v>2042</v>
      </c>
      <c r="V155" s="1" t="n">
        <v>2043</v>
      </c>
      <c r="W155" s="1" t="n">
        <v>2044</v>
      </c>
      <c r="X155" s="1" t="n">
        <v>2045</v>
      </c>
      <c r="Y155" s="1" t="n">
        <v>2046</v>
      </c>
      <c r="Z155" s="1" t="n">
        <v>2047</v>
      </c>
      <c r="AA155" s="1" t="n">
        <v>2048</v>
      </c>
      <c r="AB155" s="1" t="n">
        <v>2049</v>
      </c>
      <c r="AC155" s="1" t="n">
        <v>2050</v>
      </c>
    </row>
    <row r="156" customFormat="false" ht="12.8" hidden="false" customHeight="false" outlineLevel="0" collapsed="false">
      <c r="A156" s="1" t="s">
        <v>318</v>
      </c>
      <c r="B156" s="2" t="n">
        <f aca="false">B103</f>
        <v>1396.35033433904</v>
      </c>
      <c r="C156" s="1" t="n">
        <f aca="false">C103</f>
        <v>1396.35033433904</v>
      </c>
      <c r="D156" s="2" t="n">
        <f aca="false">D103</f>
        <v>1396.35033433904</v>
      </c>
      <c r="E156" s="2" t="n">
        <f aca="false">E103</f>
        <v>1396.35033433904</v>
      </c>
      <c r="F156" s="2" t="n">
        <f aca="false">F103</f>
        <v>1396.35033433904</v>
      </c>
      <c r="G156" s="2" t="n">
        <f aca="false">G103</f>
        <v>1396.35033433904</v>
      </c>
      <c r="H156" s="2" t="n">
        <f aca="false">H103</f>
        <v>1396.35033433904</v>
      </c>
      <c r="I156" s="2" t="n">
        <f aca="false">I103</f>
        <v>1395.84446076254</v>
      </c>
      <c r="J156" s="2" t="n">
        <f aca="false">J103</f>
        <v>1395.71072102078</v>
      </c>
      <c r="K156" s="2" t="n">
        <f aca="false">K103</f>
        <v>1395.55509186666</v>
      </c>
      <c r="L156" s="2" t="n">
        <f aca="false">L103</f>
        <v>1395.37344523768</v>
      </c>
      <c r="M156" s="2" t="n">
        <f aca="false">M103</f>
        <v>1395.1609102457</v>
      </c>
      <c r="N156" s="2" t="n">
        <f aca="false">N103</f>
        <v>1394.91173748373</v>
      </c>
      <c r="O156" s="2" t="n">
        <f aca="false">O103</f>
        <v>1394.61913866597</v>
      </c>
      <c r="P156" s="2" t="n">
        <f aca="false">P103</f>
        <v>1394.27509710985</v>
      </c>
      <c r="Q156" s="2" t="n">
        <f aca="false">Q103</f>
        <v>1393.87014375191</v>
      </c>
      <c r="R156" s="2" t="n">
        <f aca="false">R103</f>
        <v>1393.39309242296</v>
      </c>
      <c r="S156" s="2" t="n">
        <f aca="false">S103</f>
        <v>1392.83072696637</v>
      </c>
      <c r="T156" s="2" t="n">
        <f aca="false">T103</f>
        <v>1392.16743143362</v>
      </c>
      <c r="U156" s="2" t="n">
        <f aca="false">U103</f>
        <v>1391.38475299573</v>
      </c>
      <c r="V156" s="2" t="n">
        <f aca="false">V103</f>
        <v>1390.46088532386</v>
      </c>
      <c r="W156" s="2" t="n">
        <f aca="false">W103</f>
        <v>1389.37005796319</v>
      </c>
      <c r="X156" s="2" t="n">
        <f aca="false">X103</f>
        <v>1388.08181458994</v>
      </c>
      <c r="Y156" s="2" t="n">
        <f aca="false">Y103</f>
        <v>1386.56015992705</v>
      </c>
      <c r="Z156" s="2" t="n">
        <f aca="false">Z103</f>
        <v>1384.76255141365</v>
      </c>
      <c r="AA156" s="2" t="n">
        <f aca="false">AA103</f>
        <v>1382.63870737261</v>
      </c>
      <c r="AB156" s="2" t="n">
        <f aca="false">AB103</f>
        <v>1380.59040809251</v>
      </c>
      <c r="AC156" s="2" t="n">
        <f aca="false">AC103</f>
        <v>1378.66259700536</v>
      </c>
    </row>
    <row r="157" customFormat="false" ht="12.8" hidden="false" customHeight="false" outlineLevel="0" collapsed="false">
      <c r="A157" s="1" t="s">
        <v>54</v>
      </c>
      <c r="B157" s="2" t="n">
        <f aca="false">B118</f>
        <v>1396.35033433904</v>
      </c>
      <c r="C157" s="1" t="n">
        <f aca="false">C118</f>
        <v>1396.35033433904</v>
      </c>
      <c r="D157" s="2" t="n">
        <f aca="false">D118</f>
        <v>1349.05225029808</v>
      </c>
      <c r="E157" s="2" t="n">
        <f aca="false">E118</f>
        <v>1091.84882889896</v>
      </c>
      <c r="F157" s="1" t="n">
        <f aca="false">F118</f>
        <v>320.238564701609</v>
      </c>
      <c r="G157" s="1" t="n">
        <f aca="false">G118</f>
        <v>320.238564701609</v>
      </c>
      <c r="H157" s="1" t="n">
        <f aca="false">H118</f>
        <v>320.238564701609</v>
      </c>
      <c r="I157" s="1" t="n">
        <f aca="false">I118</f>
        <v>320.238564701609</v>
      </c>
      <c r="J157" s="1" t="n">
        <f aca="false">J118</f>
        <v>320.238564701609</v>
      </c>
      <c r="K157" s="1" t="n">
        <f aca="false">K118</f>
        <v>320.238564701609</v>
      </c>
      <c r="L157" s="1" t="n">
        <f aca="false">L118</f>
        <v>317.833339671801</v>
      </c>
      <c r="M157" s="1" t="n">
        <f aca="false">M118</f>
        <v>318.212004836844</v>
      </c>
      <c r="N157" s="1" t="n">
        <f aca="false">N118</f>
        <v>318.212004836844</v>
      </c>
      <c r="O157" s="1" t="n">
        <f aca="false">O118</f>
        <v>318.212004836844</v>
      </c>
      <c r="P157" s="1" t="n">
        <f aca="false">P118</f>
        <v>318.212004836844</v>
      </c>
      <c r="Q157" s="1" t="n">
        <f aca="false">Q118</f>
        <v>318.212004836844</v>
      </c>
      <c r="R157" s="1" t="n">
        <f aca="false">R118</f>
        <v>318.212004836844</v>
      </c>
      <c r="S157" s="1" t="n">
        <f aca="false">S118</f>
        <v>315.668637144975</v>
      </c>
      <c r="T157" s="1" t="n">
        <f aca="false">T118</f>
        <v>316.009435793513</v>
      </c>
      <c r="U157" s="1" t="n">
        <f aca="false">U118</f>
        <v>316.009435793513</v>
      </c>
      <c r="V157" s="1" t="n">
        <f aca="false">V118</f>
        <v>316.009435793513</v>
      </c>
      <c r="W157" s="1" t="n">
        <f aca="false">W118</f>
        <v>316.009435793513</v>
      </c>
      <c r="X157" s="1" t="n">
        <f aca="false">X118</f>
        <v>316.009435793513</v>
      </c>
      <c r="Y157" s="1" t="n">
        <f aca="false">Y118</f>
        <v>316.009435793513</v>
      </c>
      <c r="Z157" s="1" t="n">
        <f aca="false">Z118</f>
        <v>313.72040487083</v>
      </c>
      <c r="AA157" s="1" t="n">
        <f aca="false">AA118</f>
        <v>314.027123654515</v>
      </c>
      <c r="AB157" s="1" t="n">
        <f aca="false">AB118</f>
        <v>313.72040487083</v>
      </c>
      <c r="AC157" s="1" t="n">
        <f aca="false">AC118</f>
        <v>313.72040487083</v>
      </c>
    </row>
    <row r="158" customFormat="false" ht="12.8" hidden="false" customHeight="false" outlineLevel="0" collapsed="false">
      <c r="A158" s="1" t="s">
        <v>325</v>
      </c>
      <c r="B158" s="2" t="n">
        <f aca="false">B156-B157</f>
        <v>0</v>
      </c>
      <c r="C158" s="1" t="n">
        <f aca="false">C156-C157</f>
        <v>0</v>
      </c>
      <c r="D158" s="2" t="n">
        <f aca="false">D156-D157</f>
        <v>47.2980840409682</v>
      </c>
      <c r="E158" s="2" t="n">
        <f aca="false">E156-E157</f>
        <v>304.501505440085</v>
      </c>
      <c r="F158" s="2" t="n">
        <f aca="false">F156-F157</f>
        <v>1076.11176963744</v>
      </c>
      <c r="G158" s="2" t="n">
        <f aca="false">G156-G157</f>
        <v>1076.11176963744</v>
      </c>
      <c r="H158" s="2" t="n">
        <f aca="false">H156-H157</f>
        <v>1076.11176963744</v>
      </c>
      <c r="I158" s="2" t="n">
        <f aca="false">I156-I157</f>
        <v>1075.60589606093</v>
      </c>
      <c r="J158" s="2" t="n">
        <f aca="false">J156-J157</f>
        <v>1075.47215631917</v>
      </c>
      <c r="K158" s="2" t="n">
        <f aca="false">K156-K157</f>
        <v>1075.31652716505</v>
      </c>
      <c r="L158" s="2" t="n">
        <f aca="false">L156-L157</f>
        <v>1077.54010556588</v>
      </c>
      <c r="M158" s="2" t="n">
        <f aca="false">M156-M157</f>
        <v>1076.94890540885</v>
      </c>
      <c r="N158" s="2" t="n">
        <f aca="false">N156-N157</f>
        <v>1076.69973264689</v>
      </c>
      <c r="O158" s="2" t="n">
        <f aca="false">O156-O157</f>
        <v>1076.40713382913</v>
      </c>
      <c r="P158" s="2" t="n">
        <f aca="false">P156-P157</f>
        <v>1076.06309227301</v>
      </c>
      <c r="Q158" s="2" t="n">
        <f aca="false">Q156-Q157</f>
        <v>1075.65813891507</v>
      </c>
      <c r="R158" s="2" t="n">
        <f aca="false">R156-R157</f>
        <v>1075.18108758611</v>
      </c>
      <c r="S158" s="2" t="n">
        <f aca="false">S156-S157</f>
        <v>1077.1620898214</v>
      </c>
      <c r="T158" s="2" t="n">
        <f aca="false">T156-T157</f>
        <v>1076.15799564011</v>
      </c>
      <c r="U158" s="2" t="n">
        <f aca="false">U156-U157</f>
        <v>1075.37531720222</v>
      </c>
      <c r="V158" s="2" t="n">
        <f aca="false">V156-V157</f>
        <v>1074.45144953034</v>
      </c>
      <c r="W158" s="2" t="n">
        <f aca="false">W156-W157</f>
        <v>1073.36062216968</v>
      </c>
      <c r="X158" s="2" t="n">
        <f aca="false">X156-X157</f>
        <v>1072.07237879643</v>
      </c>
      <c r="Y158" s="2" t="n">
        <f aca="false">Y156-Y157</f>
        <v>1070.55072413353</v>
      </c>
      <c r="Z158" s="2" t="n">
        <f aca="false">Z156-Z157</f>
        <v>1071.04214654282</v>
      </c>
      <c r="AA158" s="2" t="n">
        <f aca="false">AA156-AA157</f>
        <v>1068.61158371809</v>
      </c>
      <c r="AB158" s="2" t="n">
        <f aca="false">AB156-AB157</f>
        <v>1066.87000322168</v>
      </c>
      <c r="AC158" s="2" t="n">
        <f aca="false">AC156-AC157</f>
        <v>1064.94219213453</v>
      </c>
    </row>
    <row r="159" customFormat="false" ht="12.8" hidden="false" customHeight="false" outlineLevel="0" collapsed="false">
      <c r="A159" s="130" t="s">
        <v>326</v>
      </c>
      <c r="B159" s="130" t="n">
        <f aca="false">B158/B156</f>
        <v>0</v>
      </c>
      <c r="C159" s="130" t="n">
        <f aca="false">C158/C156</f>
        <v>0</v>
      </c>
      <c r="D159" s="130" t="n">
        <f aca="false">D158/D156</f>
        <v>0.0338726484878571</v>
      </c>
      <c r="E159" s="130" t="n">
        <f aca="false">E158/E156</f>
        <v>0.218069561736611</v>
      </c>
      <c r="F159" s="130" t="n">
        <f aca="false">F158/F156</f>
        <v>0.770660301482871</v>
      </c>
      <c r="G159" s="130" t="n">
        <f aca="false">G158/G156</f>
        <v>0.770660301482871</v>
      </c>
      <c r="H159" s="130" t="n">
        <f aca="false">H158/H156</f>
        <v>0.770660301482871</v>
      </c>
      <c r="I159" s="130" t="n">
        <f aca="false">I158/I156</f>
        <v>0.770577185565026</v>
      </c>
      <c r="J159" s="130" t="n">
        <f aca="false">J158/J156</f>
        <v>0.770555201820477</v>
      </c>
      <c r="K159" s="130" t="n">
        <f aca="false">K158/K156</f>
        <v>0.770529614654434</v>
      </c>
      <c r="L159" s="130" t="n">
        <f aca="false">L158/L156</f>
        <v>0.772223456912882</v>
      </c>
      <c r="M159" s="130" t="n">
        <f aca="false">M158/M156</f>
        <v>0.771917344802325</v>
      </c>
      <c r="N159" s="130" t="n">
        <f aca="false">N158/N156</f>
        <v>0.771876602450228</v>
      </c>
      <c r="O159" s="130" t="n">
        <f aca="false">O158/O156</f>
        <v>0.771828740898228</v>
      </c>
      <c r="P159" s="130" t="n">
        <f aca="false">P158/P156</f>
        <v>0.771772438956663</v>
      </c>
      <c r="Q159" s="130" t="n">
        <f aca="false">Q158/Q156</f>
        <v>0.771706133269843</v>
      </c>
      <c r="R159" s="130" t="n">
        <f aca="false">R158/R156</f>
        <v>0.771627973062858</v>
      </c>
      <c r="S159" s="130" t="n">
        <f aca="false">S158/S156</f>
        <v>0.77336180841407</v>
      </c>
      <c r="T159" s="130" t="n">
        <f aca="false">T158/T156</f>
        <v>0.77300902990663</v>
      </c>
      <c r="U159" s="130" t="n">
        <f aca="false">U158/U156</f>
        <v>0.772881343486677</v>
      </c>
      <c r="V159" s="130" t="n">
        <f aca="false">V158/V156</f>
        <v>0.772730438425882</v>
      </c>
      <c r="W159" s="130" t="n">
        <f aca="false">W158/W156</f>
        <v>0.772552003706788</v>
      </c>
      <c r="X159" s="130" t="n">
        <f aca="false">X158/X156</f>
        <v>0.772340915015254</v>
      </c>
      <c r="Y159" s="130" t="n">
        <f aca="false">Y158/Y156</f>
        <v>0.772091074786009</v>
      </c>
      <c r="Z159" s="130" t="n">
        <f aca="false">Z158/Z156</f>
        <v>0.773448231575468</v>
      </c>
      <c r="AA159" s="130" t="n">
        <f aca="false">AA158/AA156</f>
        <v>0.772878394059102</v>
      </c>
      <c r="AB159" s="130" t="n">
        <f aca="false">AB158/AB156</f>
        <v>0.772763592277683</v>
      </c>
      <c r="AC159" s="130" t="n">
        <f aca="false">AC158/AC156</f>
        <v>0.772445843129223</v>
      </c>
    </row>
    <row r="161" customFormat="false" ht="12.8" hidden="false" customHeight="false" outlineLevel="0" collapsed="false">
      <c r="A161" s="1" t="s">
        <v>327</v>
      </c>
      <c r="B161" s="1" t="s">
        <v>575</v>
      </c>
      <c r="C161" s="1" t="n">
        <v>2024</v>
      </c>
      <c r="D161" s="1" t="n">
        <v>2025</v>
      </c>
      <c r="E161" s="1" t="n">
        <v>2026</v>
      </c>
      <c r="F161" s="1" t="n">
        <v>2027</v>
      </c>
      <c r="G161" s="1" t="n">
        <v>2028</v>
      </c>
      <c r="H161" s="1" t="n">
        <v>2029</v>
      </c>
      <c r="I161" s="1" t="n">
        <v>2030</v>
      </c>
      <c r="J161" s="1" t="n">
        <v>2031</v>
      </c>
      <c r="K161" s="1" t="n">
        <v>2032</v>
      </c>
      <c r="L161" s="1" t="n">
        <v>2033</v>
      </c>
      <c r="M161" s="1" t="n">
        <v>2034</v>
      </c>
      <c r="N161" s="1" t="n">
        <v>2035</v>
      </c>
      <c r="O161" s="1" t="n">
        <v>2036</v>
      </c>
      <c r="P161" s="1" t="n">
        <v>2037</v>
      </c>
      <c r="Q161" s="1" t="n">
        <v>2038</v>
      </c>
      <c r="R161" s="1" t="n">
        <v>2039</v>
      </c>
      <c r="S161" s="1" t="n">
        <v>2040</v>
      </c>
      <c r="T161" s="1" t="n">
        <v>2041</v>
      </c>
      <c r="U161" s="1" t="n">
        <v>2042</v>
      </c>
      <c r="V161" s="1" t="n">
        <v>2043</v>
      </c>
      <c r="W161" s="1" t="n">
        <v>2044</v>
      </c>
      <c r="X161" s="1" t="n">
        <v>2045</v>
      </c>
      <c r="Y161" s="1" t="n">
        <v>2046</v>
      </c>
      <c r="Z161" s="1" t="n">
        <v>2047</v>
      </c>
      <c r="AA161" s="1" t="n">
        <v>2048</v>
      </c>
      <c r="AB161" s="1" t="n">
        <v>2049</v>
      </c>
      <c r="AC161" s="1" t="n">
        <v>2050</v>
      </c>
    </row>
    <row r="162" customFormat="false" ht="12.8" hidden="false" customHeight="false" outlineLevel="0" collapsed="false">
      <c r="A162" s="1" t="s">
        <v>318</v>
      </c>
      <c r="B162" s="1" t="n">
        <f aca="false">B106</f>
        <v>19343.7474210934</v>
      </c>
      <c r="C162" s="1" t="n">
        <f aca="false">C106</f>
        <v>19343.7474210934</v>
      </c>
      <c r="D162" s="1" t="n">
        <f aca="false">D106</f>
        <v>19340.2303641909</v>
      </c>
      <c r="E162" s="1" t="n">
        <f aca="false">E106</f>
        <v>19336.2800886323</v>
      </c>
      <c r="F162" s="1" t="n">
        <f aca="false">F106</f>
        <v>19331.805578875</v>
      </c>
      <c r="G162" s="1" t="n">
        <f aca="false">G106</f>
        <v>19326.6999704155</v>
      </c>
      <c r="H162" s="1" t="n">
        <f aca="false">H106</f>
        <v>19320.8376231678</v>
      </c>
      <c r="I162" s="1" t="n">
        <f aca="false">I106</f>
        <v>19282.6264438398</v>
      </c>
      <c r="J162" s="1" t="n">
        <f aca="false">J106</f>
        <v>19268.4267114623</v>
      </c>
      <c r="K162" s="1" t="n">
        <f aca="false">K106</f>
        <v>19251.6817726511</v>
      </c>
      <c r="L162" s="1" t="n">
        <f aca="false">L106</f>
        <v>19231.8977412914</v>
      </c>
      <c r="M162" s="1" t="n">
        <f aca="false">M106</f>
        <v>19208.4869762588</v>
      </c>
      <c r="N162" s="1" t="n">
        <f aca="false">N106</f>
        <v>19180.7501112842</v>
      </c>
      <c r="O162" s="1" t="n">
        <f aca="false">O106</f>
        <v>19156.184471366</v>
      </c>
      <c r="P162" s="1" t="n">
        <f aca="false">P106</f>
        <v>19127.8847115196</v>
      </c>
      <c r="Q162" s="1" t="n">
        <f aca="false">Q106</f>
        <v>19095.2211928831</v>
      </c>
      <c r="R162" s="1" t="n">
        <f aca="false">R106</f>
        <v>19057.4551410864</v>
      </c>
      <c r="S162" s="1" t="n">
        <f aca="false">S106</f>
        <v>19013.719218326</v>
      </c>
      <c r="T162" s="1" t="n">
        <f aca="false">T106</f>
        <v>18962.9946020103</v>
      </c>
      <c r="U162" s="1" t="n">
        <f aca="false">U106</f>
        <v>18904.0839377958</v>
      </c>
      <c r="V162" s="1" t="n">
        <f aca="false">V106</f>
        <v>18835.5794201178</v>
      </c>
      <c r="W162" s="1" t="n">
        <f aca="false">W106</f>
        <v>18755.8251177477</v>
      </c>
      <c r="X162" s="1" t="n">
        <f aca="false">X106</f>
        <v>18662.8725017041</v>
      </c>
      <c r="Y162" s="1" t="n">
        <f aca="false">Y106</f>
        <v>18554.4279435104</v>
      </c>
      <c r="Z162" s="1" t="n">
        <f aca="false">Z106</f>
        <v>18427.7907280416</v>
      </c>
      <c r="AA162" s="1" t="n">
        <f aca="false">AA106</f>
        <v>18279.779860772</v>
      </c>
      <c r="AB162" s="1" t="n">
        <f aca="false">AB106</f>
        <v>18134.6266411671</v>
      </c>
      <c r="AC162" s="1" t="n">
        <f aca="false">AC106</f>
        <v>17994.9022638572</v>
      </c>
    </row>
    <row r="163" customFormat="false" ht="12.8" hidden="false" customHeight="false" outlineLevel="0" collapsed="false">
      <c r="A163" s="1" t="s">
        <v>321</v>
      </c>
      <c r="B163" s="1" t="n">
        <f aca="false">B129</f>
        <v>19343.7474210934</v>
      </c>
      <c r="C163" s="1" t="n">
        <f aca="false">C129</f>
        <v>19343.7474210934</v>
      </c>
      <c r="D163" s="1" t="n">
        <f aca="false">D129</f>
        <v>19245.634196109</v>
      </c>
      <c r="E163" s="1" t="n">
        <f aca="false">E129</f>
        <v>18727.2770777521</v>
      </c>
      <c r="F163" s="1" t="n">
        <f aca="false">F129</f>
        <v>17179.5820396002</v>
      </c>
      <c r="G163" s="1" t="n">
        <f aca="false">G129</f>
        <v>17174.4764311406</v>
      </c>
      <c r="H163" s="1" t="n">
        <f aca="false">H129</f>
        <v>17168.6140838929</v>
      </c>
      <c r="I163" s="1" t="n">
        <f aca="false">I129</f>
        <v>17131.4146517179</v>
      </c>
      <c r="J163" s="1" t="n">
        <f aca="false">J129</f>
        <v>17117.482398824</v>
      </c>
      <c r="K163" s="1" t="n">
        <f aca="false">K129</f>
        <v>17101.048718321</v>
      </c>
      <c r="L163" s="1" t="n">
        <f aca="false">L129</f>
        <v>17076.8175301597</v>
      </c>
      <c r="M163" s="1" t="n">
        <f aca="false">M129</f>
        <v>17054.5891654411</v>
      </c>
      <c r="N163" s="1" t="n">
        <f aca="false">N129</f>
        <v>17027.3506459904</v>
      </c>
      <c r="O163" s="1" t="n">
        <f aca="false">O129</f>
        <v>17003.3702037078</v>
      </c>
      <c r="P163" s="1" t="n">
        <f aca="false">P129</f>
        <v>16975.7585269736</v>
      </c>
      <c r="Q163" s="1" t="n">
        <f aca="false">Q129</f>
        <v>16943.9049150529</v>
      </c>
      <c r="R163" s="1" t="n">
        <f aca="false">R129</f>
        <v>16907.0929659141</v>
      </c>
      <c r="S163" s="1" t="n">
        <f aca="false">S129</f>
        <v>16859.3950386832</v>
      </c>
      <c r="T163" s="1" t="n">
        <f aca="false">T129</f>
        <v>16810.6786107301</v>
      </c>
      <c r="U163" s="1" t="n">
        <f aca="false">U129</f>
        <v>16753.3333033914</v>
      </c>
      <c r="V163" s="1" t="n">
        <f aca="false">V129</f>
        <v>16686.6765210571</v>
      </c>
      <c r="W163" s="1" t="n">
        <f aca="false">W129</f>
        <v>16609.1038734083</v>
      </c>
      <c r="X163" s="1" t="n">
        <f aca="false">X129</f>
        <v>16518.7277441112</v>
      </c>
      <c r="Y163" s="1" t="n">
        <f aca="false">Y129</f>
        <v>16413.3264952433</v>
      </c>
      <c r="Z163" s="1" t="n">
        <f aca="false">Z129</f>
        <v>16285.706434956</v>
      </c>
      <c r="AA163" s="1" t="n">
        <f aca="false">AA129</f>
        <v>16142.5566933358</v>
      </c>
      <c r="AB163" s="1" t="n">
        <f aca="false">AB129</f>
        <v>16000.8866347237</v>
      </c>
      <c r="AC163" s="1" t="n">
        <f aca="false">AC129</f>
        <v>15865.0178795881</v>
      </c>
    </row>
    <row r="164" customFormat="false" ht="12.8" hidden="false" customHeight="false" outlineLevel="0" collapsed="false">
      <c r="A164" s="1" t="s">
        <v>325</v>
      </c>
      <c r="B164" s="1" t="n">
        <f aca="false">B162-B163</f>
        <v>0</v>
      </c>
      <c r="C164" s="1" t="n">
        <f aca="false">C162-C163</f>
        <v>0</v>
      </c>
      <c r="D164" s="1" t="n">
        <f aca="false">D162-D163</f>
        <v>94.5961680819382</v>
      </c>
      <c r="E164" s="1" t="n">
        <f aca="false">E162-E163</f>
        <v>609.003010880166</v>
      </c>
      <c r="F164" s="1" t="n">
        <f aca="false">F162-F163</f>
        <v>2152.22353927487</v>
      </c>
      <c r="G164" s="1" t="n">
        <f aca="false">G162-G163</f>
        <v>2152.22353927487</v>
      </c>
      <c r="H164" s="1" t="n">
        <f aca="false">H162-H163</f>
        <v>2152.22353927487</v>
      </c>
      <c r="I164" s="1" t="n">
        <f aca="false">I162-I163</f>
        <v>2151.21179212185</v>
      </c>
      <c r="J164" s="1" t="n">
        <f aca="false">J162-J163</f>
        <v>2150.94431263834</v>
      </c>
      <c r="K164" s="1" t="n">
        <f aca="false">K162-K163</f>
        <v>2150.6330543301</v>
      </c>
      <c r="L164" s="1" t="n">
        <f aca="false">L162-L163</f>
        <v>2155.08021113175</v>
      </c>
      <c r="M164" s="1" t="n">
        <f aca="false">M162-M163</f>
        <v>2153.8978108177</v>
      </c>
      <c r="N164" s="1" t="n">
        <f aca="false">N162-N163</f>
        <v>2153.39946529378</v>
      </c>
      <c r="O164" s="1" t="n">
        <f aca="false">O162-O163</f>
        <v>2152.81426765825</v>
      </c>
      <c r="P164" s="1" t="n">
        <f aca="false">P162-P163</f>
        <v>2152.12618454602</v>
      </c>
      <c r="Q164" s="1" t="n">
        <f aca="false">Q162-Q163</f>
        <v>2151.31627783014</v>
      </c>
      <c r="R164" s="1" t="n">
        <f aca="false">R162-R163</f>
        <v>2150.36217517222</v>
      </c>
      <c r="S164" s="1" t="n">
        <f aca="false">S162-S163</f>
        <v>2154.3241796428</v>
      </c>
      <c r="T164" s="1" t="n">
        <f aca="false">T162-T163</f>
        <v>2152.31599128022</v>
      </c>
      <c r="U164" s="1" t="n">
        <f aca="false">U162-U163</f>
        <v>2150.75063440444</v>
      </c>
      <c r="V164" s="1" t="n">
        <f aca="false">V162-V163</f>
        <v>2148.90289906069</v>
      </c>
      <c r="W164" s="1" t="n">
        <f aca="false">W162-W163</f>
        <v>2146.72124433936</v>
      </c>
      <c r="X164" s="1" t="n">
        <f aca="false">X162-X163</f>
        <v>2144.14475759286</v>
      </c>
      <c r="Y164" s="1" t="n">
        <f aca="false">Y162-Y163</f>
        <v>2141.10144826707</v>
      </c>
      <c r="Z164" s="1" t="n">
        <f aca="false">Z162-Z163</f>
        <v>2142.08429308565</v>
      </c>
      <c r="AA164" s="1" t="n">
        <f aca="false">AA162-AA163</f>
        <v>2137.22316743619</v>
      </c>
      <c r="AB164" s="1" t="n">
        <f aca="false">AB162-AB163</f>
        <v>2133.74000644336</v>
      </c>
      <c r="AC164" s="1" t="n">
        <f aca="false">AC162-AC163</f>
        <v>2129.88438426907</v>
      </c>
    </row>
    <row r="165" customFormat="false" ht="12.8" hidden="false" customHeight="false" outlineLevel="0" collapsed="false">
      <c r="A165" s="130" t="s">
        <v>326</v>
      </c>
      <c r="B165" s="130" t="n">
        <f aca="false">B164/B162</f>
        <v>0</v>
      </c>
      <c r="C165" s="130" t="n">
        <f aca="false">C164/C162</f>
        <v>0</v>
      </c>
      <c r="D165" s="130" t="n">
        <f aca="false">D164/D162</f>
        <v>0.00489116035851808</v>
      </c>
      <c r="E165" s="130" t="n">
        <f aca="false">E164/E162</f>
        <v>0.0314953552642319</v>
      </c>
      <c r="F165" s="130" t="n">
        <f aca="false">F164/F162</f>
        <v>0.11133070475459</v>
      </c>
      <c r="G165" s="130" t="n">
        <f aca="false">G164/G162</f>
        <v>0.111360115413879</v>
      </c>
      <c r="H165" s="130" t="n">
        <f aca="false">H164/H162</f>
        <v>0.111393904407857</v>
      </c>
      <c r="I165" s="130" t="n">
        <f aca="false">I164/I162</f>
        <v>0.111562177402918</v>
      </c>
      <c r="J165" s="130" t="n">
        <f aca="false">J164/J162</f>
        <v>0.111630510619676</v>
      </c>
      <c r="K165" s="130" t="n">
        <f aca="false">K164/K162</f>
        <v>0.111711437978644</v>
      </c>
      <c r="L165" s="130" t="n">
        <f aca="false">L164/L162</f>
        <v>0.11205759515374</v>
      </c>
      <c r="M165" s="130" t="n">
        <f aca="false">M164/M162</f>
        <v>0.112132611666909</v>
      </c>
      <c r="N165" s="130" t="n">
        <f aca="false">N164/N162</f>
        <v>0.112268782649273</v>
      </c>
      <c r="O165" s="130" t="n">
        <f aca="false">O164/O162</f>
        <v>0.112382205907246</v>
      </c>
      <c r="P165" s="130" t="n">
        <f aca="false">P164/P162</f>
        <v>0.112512502924587</v>
      </c>
      <c r="Q165" s="130" t="n">
        <f aca="false">Q164/Q162</f>
        <v>0.112662548189384</v>
      </c>
      <c r="R165" s="130" t="n">
        <f aca="false">R164/R162</f>
        <v>0.112835746391774</v>
      </c>
      <c r="S165" s="130" t="n">
        <f aca="false">S164/S162</f>
        <v>0.113303670623599</v>
      </c>
      <c r="T165" s="130" t="n">
        <f aca="false">T164/T162</f>
        <v>0.113500849230429</v>
      </c>
      <c r="U165" s="130" t="n">
        <f aca="false">U164/U162</f>
        <v>0.11377174590853</v>
      </c>
      <c r="V165" s="130" t="n">
        <f aca="false">V164/V162</f>
        <v>0.114087432678896</v>
      </c>
      <c r="W165" s="130" t="n">
        <f aca="false">W164/W162</f>
        <v>0.114456241240383</v>
      </c>
      <c r="X165" s="130" t="n">
        <f aca="false">X164/X162</f>
        <v>0.114888249780256</v>
      </c>
      <c r="Y165" s="130" t="n">
        <f aca="false">Y164/Y162</f>
        <v>0.115395713345931</v>
      </c>
      <c r="Z165" s="130" t="n">
        <f aca="false">Z164/Z162</f>
        <v>0.116242056614309</v>
      </c>
      <c r="AA165" s="130" t="n">
        <f aca="false">AA164/AA162</f>
        <v>0.116917336188639</v>
      </c>
      <c r="AB165" s="130" t="n">
        <f aca="false">AB164/AB162</f>
        <v>0.117661093810424</v>
      </c>
      <c r="AC165" s="130" t="n">
        <f aca="false">AC164/AC162</f>
        <v>0.118360430806392</v>
      </c>
    </row>
    <row r="167" customFormat="false" ht="12.8" hidden="false" customHeight="false" outlineLevel="0" collapsed="false">
      <c r="A167" s="1" t="s">
        <v>577</v>
      </c>
    </row>
    <row r="168" customFormat="false" ht="12.8" hidden="false" customHeight="false" outlineLevel="0" collapsed="false">
      <c r="A168" s="1" t="s">
        <v>318</v>
      </c>
      <c r="B168" s="1" t="n">
        <f aca="false">B106</f>
        <v>19343.7474210934</v>
      </c>
      <c r="C168" s="1" t="n">
        <f aca="false">C106</f>
        <v>19343.7474210934</v>
      </c>
      <c r="D168" s="1" t="n">
        <f aca="false">D106</f>
        <v>19340.2303641909</v>
      </c>
      <c r="E168" s="1" t="n">
        <f aca="false">E106</f>
        <v>19336.2800886323</v>
      </c>
      <c r="F168" s="1" t="n">
        <f aca="false">F106</f>
        <v>19331.805578875</v>
      </c>
      <c r="G168" s="1" t="n">
        <f aca="false">G106</f>
        <v>19326.6999704155</v>
      </c>
      <c r="H168" s="1" t="n">
        <f aca="false">H106</f>
        <v>19320.8376231678</v>
      </c>
      <c r="I168" s="1" t="n">
        <f aca="false">I106</f>
        <v>19282.6264438398</v>
      </c>
      <c r="J168" s="1" t="n">
        <f aca="false">J106</f>
        <v>19268.4267114623</v>
      </c>
      <c r="K168" s="1" t="n">
        <f aca="false">K106</f>
        <v>19251.6817726511</v>
      </c>
      <c r="L168" s="1" t="n">
        <f aca="false">L106</f>
        <v>19231.8977412914</v>
      </c>
      <c r="M168" s="1" t="n">
        <f aca="false">M106</f>
        <v>19208.4869762588</v>
      </c>
      <c r="N168" s="1" t="n">
        <f aca="false">N106</f>
        <v>19180.7501112842</v>
      </c>
      <c r="O168" s="1" t="n">
        <f aca="false">O106</f>
        <v>19156.184471366</v>
      </c>
      <c r="P168" s="1" t="n">
        <f aca="false">P106</f>
        <v>19127.8847115196</v>
      </c>
      <c r="Q168" s="1" t="n">
        <f aca="false">Q106</f>
        <v>19095.2211928831</v>
      </c>
      <c r="R168" s="1" t="n">
        <f aca="false">R106</f>
        <v>19057.4551410864</v>
      </c>
      <c r="S168" s="1" t="n">
        <f aca="false">S106</f>
        <v>19013.719218326</v>
      </c>
      <c r="T168" s="1" t="n">
        <f aca="false">T106</f>
        <v>18962.9946020103</v>
      </c>
      <c r="U168" s="1" t="n">
        <f aca="false">U106</f>
        <v>18904.0839377958</v>
      </c>
      <c r="V168" s="1" t="n">
        <f aca="false">V106</f>
        <v>18835.5794201178</v>
      </c>
      <c r="W168" s="1" t="n">
        <f aca="false">W106</f>
        <v>18755.8251177477</v>
      </c>
      <c r="X168" s="1" t="n">
        <f aca="false">X106</f>
        <v>18662.8725017041</v>
      </c>
      <c r="Y168" s="1" t="n">
        <f aca="false">Y106</f>
        <v>18554.4279435104</v>
      </c>
      <c r="Z168" s="1" t="n">
        <f aca="false">Z106</f>
        <v>18427.7907280416</v>
      </c>
      <c r="AA168" s="1" t="n">
        <f aca="false">AA106</f>
        <v>18279.779860772</v>
      </c>
      <c r="AB168" s="1" t="n">
        <f aca="false">AB106</f>
        <v>18134.6266411671</v>
      </c>
      <c r="AC168" s="1" t="n">
        <f aca="false">AC106</f>
        <v>17994.9022638572</v>
      </c>
    </row>
    <row r="169" customFormat="false" ht="12.8" hidden="false" customHeight="false" outlineLevel="0" collapsed="false">
      <c r="A169" s="1" t="s">
        <v>322</v>
      </c>
      <c r="B169" s="1" t="n">
        <f aca="false">B137</f>
        <v>19343.7474210934</v>
      </c>
      <c r="C169" s="1" t="n">
        <f aca="false">C137</f>
        <v>19343.7474210934</v>
      </c>
      <c r="D169" s="1" t="n">
        <f aca="false">D137</f>
        <v>19176.5627826378</v>
      </c>
      <c r="E169" s="1" t="n">
        <f aca="false">E137</f>
        <v>18648.9883546441</v>
      </c>
      <c r="F169" s="1" t="n">
        <f aca="false">F137</f>
        <v>17072.5933095157</v>
      </c>
      <c r="G169" s="1" t="n">
        <f aca="false">G137</f>
        <v>17031.8372851781</v>
      </c>
      <c r="H169" s="1" t="n">
        <f aca="false">H137</f>
        <v>16981.4375993716</v>
      </c>
      <c r="I169" s="1" t="n">
        <f aca="false">I137</f>
        <v>16918.7649842552</v>
      </c>
      <c r="J169" s="1" t="n">
        <f aca="false">J137</f>
        <v>16840.4615442129</v>
      </c>
      <c r="K169" s="1" t="n">
        <f aca="false">K137</f>
        <v>16742.2324014427</v>
      </c>
      <c r="L169" s="1" t="n">
        <f aca="false">L137</f>
        <v>16584.3879421554</v>
      </c>
      <c r="M169" s="1" t="n">
        <f aca="false">M137</f>
        <v>16379.065752265</v>
      </c>
      <c r="N169" s="1" t="n">
        <f aca="false">N137</f>
        <v>16100.0142940782</v>
      </c>
      <c r="O169" s="1" t="n">
        <f aca="false">O137</f>
        <v>15631.640116434</v>
      </c>
      <c r="P169" s="1" t="n">
        <f aca="false">P137</f>
        <v>15454.8066033921</v>
      </c>
      <c r="Q169" s="1" t="n">
        <f aca="false">Q137</f>
        <v>15256.2017932418</v>
      </c>
      <c r="R169" s="1" t="n">
        <f aca="false">R137</f>
        <v>15032.7508430271</v>
      </c>
      <c r="S169" s="1" t="n">
        <f aca="false">S137</f>
        <v>14775.815347623</v>
      </c>
      <c r="T169" s="1" t="n">
        <f aca="false">T137</f>
        <v>14494.8549362776</v>
      </c>
      <c r="U169" s="1" t="n">
        <f aca="false">U137</f>
        <v>14206.7647671343</v>
      </c>
      <c r="V169" s="1" t="n">
        <f aca="false">V137</f>
        <v>13910.5343606759</v>
      </c>
      <c r="W169" s="1" t="n">
        <f aca="false">W137</f>
        <v>13604.3847497848</v>
      </c>
      <c r="X169" s="1" t="n">
        <f aca="false">X137</f>
        <v>13286.4384100532</v>
      </c>
      <c r="Y169" s="1" t="n">
        <f aca="false">Y137</f>
        <v>12954.7067690538</v>
      </c>
      <c r="Z169" s="1" t="n">
        <f aca="false">Z137</f>
        <v>12602.4987425737</v>
      </c>
      <c r="AA169" s="1" t="n">
        <f aca="false">AA137</f>
        <v>12237.332011917</v>
      </c>
      <c r="AB169" s="1" t="n">
        <f aca="false">AB137</f>
        <v>11850.3819493176</v>
      </c>
      <c r="AC169" s="1" t="n">
        <f aca="false">AC137</f>
        <v>11440.9115064629</v>
      </c>
    </row>
    <row r="170" customFormat="false" ht="12.8" hidden="false" customHeight="false" outlineLevel="0" collapsed="false">
      <c r="A170" s="1" t="s">
        <v>325</v>
      </c>
      <c r="B170" s="1" t="n">
        <f aca="false">B168-B169</f>
        <v>0</v>
      </c>
      <c r="C170" s="1" t="n">
        <f aca="false">C168-C169</f>
        <v>0</v>
      </c>
      <c r="D170" s="1" t="n">
        <f aca="false">D168-D169</f>
        <v>163.667581553083</v>
      </c>
      <c r="E170" s="1" t="n">
        <f aca="false">E168-E169</f>
        <v>687.291733988146</v>
      </c>
      <c r="F170" s="1" t="n">
        <f aca="false">F168-F169</f>
        <v>2259.2122693593</v>
      </c>
      <c r="G170" s="1" t="n">
        <f aca="false">G168-G169</f>
        <v>2294.86268523739</v>
      </c>
      <c r="H170" s="1" t="n">
        <f aca="false">H168-H169</f>
        <v>2339.40002379616</v>
      </c>
      <c r="I170" s="1" t="n">
        <f aca="false">I168-I169</f>
        <v>2363.86145958454</v>
      </c>
      <c r="J170" s="1" t="n">
        <f aca="false">J168-J169</f>
        <v>2427.96516724944</v>
      </c>
      <c r="K170" s="1" t="n">
        <f aca="false">K168-K169</f>
        <v>2509.44937120836</v>
      </c>
      <c r="L170" s="1" t="n">
        <f aca="false">L168-L169</f>
        <v>2647.50979913606</v>
      </c>
      <c r="M170" s="1" t="n">
        <f aca="false">M168-M169</f>
        <v>2829.42122399379</v>
      </c>
      <c r="N170" s="1" t="n">
        <f aca="false">N168-N169</f>
        <v>3080.73581720594</v>
      </c>
      <c r="O170" s="1" t="n">
        <f aca="false">O168-O169</f>
        <v>3524.54435493208</v>
      </c>
      <c r="P170" s="1" t="n">
        <f aca="false">P168-P169</f>
        <v>3673.0781081275</v>
      </c>
      <c r="Q170" s="1" t="n">
        <f aca="false">Q168-Q169</f>
        <v>3839.01939964127</v>
      </c>
      <c r="R170" s="1" t="n">
        <f aca="false">R168-R169</f>
        <v>4024.7042980593</v>
      </c>
      <c r="S170" s="1" t="n">
        <f aca="false">S168-S169</f>
        <v>4237.90387070305</v>
      </c>
      <c r="T170" s="1" t="n">
        <f aca="false">T168-T169</f>
        <v>4468.13966573274</v>
      </c>
      <c r="U170" s="1" t="n">
        <f aca="false">U168-U169</f>
        <v>4697.31917066157</v>
      </c>
      <c r="V170" s="1" t="n">
        <f aca="false">V168-V169</f>
        <v>4925.04505944192</v>
      </c>
      <c r="W170" s="1" t="n">
        <f aca="false">W168-W169</f>
        <v>5151.44036796294</v>
      </c>
      <c r="X170" s="1" t="n">
        <f aca="false">X168-X169</f>
        <v>5376.43409165093</v>
      </c>
      <c r="Y170" s="1" t="n">
        <f aca="false">Y168-Y169</f>
        <v>5599.72117445661</v>
      </c>
      <c r="Z170" s="1" t="n">
        <f aca="false">Z168-Z169</f>
        <v>5825.29198546795</v>
      </c>
      <c r="AA170" s="1" t="n">
        <f aca="false">AA168-AA169</f>
        <v>6042.44784885491</v>
      </c>
      <c r="AB170" s="1" t="n">
        <f aca="false">AB168-AB169</f>
        <v>6284.24469184944</v>
      </c>
      <c r="AC170" s="1" t="n">
        <f aca="false">AC168-AC169</f>
        <v>6553.99075739432</v>
      </c>
    </row>
    <row r="171" customFormat="false" ht="12.8" hidden="false" customHeight="false" outlineLevel="0" collapsed="false">
      <c r="A171" s="130" t="s">
        <v>326</v>
      </c>
      <c r="B171" s="130" t="n">
        <f aca="false">B170/B168</f>
        <v>0</v>
      </c>
      <c r="C171" s="130" t="n">
        <f aca="false">C170/C168</f>
        <v>0</v>
      </c>
      <c r="D171" s="130" t="n">
        <f aca="false">D170/D168</f>
        <v>0.00846254560939044</v>
      </c>
      <c r="E171" s="130" t="n">
        <f aca="false">E170/E168</f>
        <v>0.0355441548652475</v>
      </c>
      <c r="F171" s="130" t="n">
        <f aca="false">F170/F168</f>
        <v>0.11686504191973</v>
      </c>
      <c r="G171" s="130" t="n">
        <f aca="false">G170/G168</f>
        <v>0.118740534532552</v>
      </c>
      <c r="H171" s="130" t="n">
        <f aca="false">H170/H168</f>
        <v>0.121081708227337</v>
      </c>
      <c r="I171" s="130" t="n">
        <f aca="false">I170/I168</f>
        <v>0.122590222160307</v>
      </c>
      <c r="J171" s="130" t="n">
        <f aca="false">J170/J168</f>
        <v>0.12600744231002</v>
      </c>
      <c r="K171" s="130" t="n">
        <f aca="false">K170/K168</f>
        <v>0.130349618326503</v>
      </c>
      <c r="L171" s="130" t="n">
        <f aca="false">L170/L168</f>
        <v>0.137662431172966</v>
      </c>
      <c r="M171" s="130" t="n">
        <f aca="false">M170/M168</f>
        <v>0.147300577473431</v>
      </c>
      <c r="N171" s="130" t="n">
        <f aca="false">N170/N168</f>
        <v>0.160616023843276</v>
      </c>
      <c r="O171" s="130" t="n">
        <f aca="false">O170/O168</f>
        <v>0.183989894240183</v>
      </c>
      <c r="P171" s="130" t="n">
        <f aca="false">P170/P168</f>
        <v>0.192027407291692</v>
      </c>
      <c r="Q171" s="130" t="n">
        <f aca="false">Q170/Q168</f>
        <v>0.20104608167996</v>
      </c>
      <c r="R171" s="130" t="n">
        <f aca="false">R170/R168</f>
        <v>0.211187919282169</v>
      </c>
      <c r="S171" s="130" t="n">
        <f aca="false">S170/S168</f>
        <v>0.222886633700703</v>
      </c>
      <c r="T171" s="130" t="n">
        <f aca="false">T170/T168</f>
        <v>0.23562415955437</v>
      </c>
      <c r="U171" s="130" t="n">
        <f aca="false">U170/U168</f>
        <v>0.248481713587295</v>
      </c>
      <c r="V171" s="130" t="n">
        <f aca="false">V170/V168</f>
        <v>0.261475633405872</v>
      </c>
      <c r="W171" s="130" t="n">
        <f aca="false">W170/W168</f>
        <v>0.274658157432295</v>
      </c>
      <c r="X171" s="130" t="n">
        <f aca="false">X170/X168</f>
        <v>0.288081810083631</v>
      </c>
      <c r="Y171" s="130" t="n">
        <f aca="false">Y170/Y168</f>
        <v>0.301799720880922</v>
      </c>
      <c r="Z171" s="130" t="n">
        <f aca="false">Z170/Z168</f>
        <v>0.316114507237353</v>
      </c>
      <c r="AA171" s="130" t="n">
        <f aca="false">AA170/AA168</f>
        <v>0.330553644238456</v>
      </c>
      <c r="AB171" s="130" t="n">
        <f aca="false">AB170/AB168</f>
        <v>0.346532896220962</v>
      </c>
      <c r="AC171" s="130" t="n">
        <f aca="false">AC170/AC168</f>
        <v>0.364213745720532</v>
      </c>
    </row>
    <row r="173" customFormat="false" ht="12.8" hidden="false" customHeight="false" outlineLevel="0" collapsed="false">
      <c r="A173" s="1" t="s">
        <v>578</v>
      </c>
    </row>
    <row r="174" customFormat="false" ht="12.8" hidden="false" customHeight="false" outlineLevel="0" collapsed="false">
      <c r="A174" s="1" t="s">
        <v>318</v>
      </c>
      <c r="B174" s="1" t="n">
        <f aca="false">B106</f>
        <v>19343.7474210934</v>
      </c>
      <c r="C174" s="1" t="n">
        <f aca="false">C106</f>
        <v>19343.7474210934</v>
      </c>
      <c r="D174" s="1" t="n">
        <f aca="false">D106</f>
        <v>19340.2303641909</v>
      </c>
      <c r="E174" s="1" t="n">
        <f aca="false">E106</f>
        <v>19336.2800886323</v>
      </c>
      <c r="F174" s="1" t="n">
        <f aca="false">F106</f>
        <v>19331.805578875</v>
      </c>
      <c r="G174" s="1" t="n">
        <f aca="false">G106</f>
        <v>19326.6999704155</v>
      </c>
      <c r="H174" s="1" t="n">
        <f aca="false">H106</f>
        <v>19320.8376231678</v>
      </c>
      <c r="I174" s="1" t="n">
        <f aca="false">I106</f>
        <v>19282.6264438398</v>
      </c>
      <c r="J174" s="1" t="n">
        <f aca="false">J106</f>
        <v>19268.4267114623</v>
      </c>
      <c r="K174" s="1" t="n">
        <f aca="false">K106</f>
        <v>19251.6817726511</v>
      </c>
      <c r="L174" s="1" t="n">
        <f aca="false">L106</f>
        <v>19231.8977412914</v>
      </c>
      <c r="M174" s="1" t="n">
        <f aca="false">M106</f>
        <v>19208.4869762588</v>
      </c>
      <c r="N174" s="1" t="n">
        <f aca="false">N106</f>
        <v>19180.7501112842</v>
      </c>
      <c r="O174" s="1" t="n">
        <f aca="false">O106</f>
        <v>19156.184471366</v>
      </c>
      <c r="P174" s="1" t="n">
        <f aca="false">P106</f>
        <v>19127.8847115196</v>
      </c>
      <c r="Q174" s="1" t="n">
        <f aca="false">Q106</f>
        <v>19095.2211928831</v>
      </c>
      <c r="R174" s="1" t="n">
        <f aca="false">R106</f>
        <v>19057.4551410864</v>
      </c>
      <c r="S174" s="1" t="n">
        <f aca="false">S106</f>
        <v>19013.719218326</v>
      </c>
      <c r="T174" s="1" t="n">
        <f aca="false">T106</f>
        <v>18962.9946020103</v>
      </c>
      <c r="U174" s="1" t="n">
        <f aca="false">U106</f>
        <v>18904.0839377958</v>
      </c>
      <c r="V174" s="1" t="n">
        <f aca="false">V106</f>
        <v>18835.5794201178</v>
      </c>
      <c r="W174" s="1" t="n">
        <f aca="false">W106</f>
        <v>18755.8251177477</v>
      </c>
      <c r="X174" s="1" t="n">
        <f aca="false">X106</f>
        <v>18662.8725017041</v>
      </c>
      <c r="Y174" s="1" t="n">
        <f aca="false">Y106</f>
        <v>18554.4279435104</v>
      </c>
      <c r="Z174" s="1" t="n">
        <f aca="false">Z106</f>
        <v>18427.7907280416</v>
      </c>
      <c r="AA174" s="1" t="n">
        <f aca="false">AA106</f>
        <v>18279.779860772</v>
      </c>
      <c r="AB174" s="1" t="n">
        <f aca="false">AB106</f>
        <v>18134.6266411671</v>
      </c>
      <c r="AC174" s="1" t="n">
        <f aca="false">AC106</f>
        <v>17994.9022638572</v>
      </c>
    </row>
    <row r="175" customFormat="false" ht="12.8" hidden="false" customHeight="false" outlineLevel="0" collapsed="false">
      <c r="A175" s="1" t="s">
        <v>42</v>
      </c>
      <c r="B175" s="1" t="n">
        <f aca="false">B149</f>
        <v>19343.7474210934</v>
      </c>
      <c r="C175" s="1" t="n">
        <f aca="false">C149</f>
        <v>19343.7474210934</v>
      </c>
      <c r="D175" s="1" t="n">
        <f aca="false">D149</f>
        <v>19103.9743122641</v>
      </c>
      <c r="E175" s="1" t="n">
        <f aca="false">E149</f>
        <v>18563.232299075</v>
      </c>
      <c r="F175" s="1" t="n">
        <f aca="false">F149</f>
        <v>16953.6627372129</v>
      </c>
      <c r="G175" s="1" t="n">
        <f aca="false">G149</f>
        <v>16872.1506885376</v>
      </c>
      <c r="H175" s="1" t="n">
        <f aca="false">H149</f>
        <v>16750.7789647152</v>
      </c>
      <c r="I175" s="1" t="n">
        <f aca="false">I149</f>
        <v>16590.4607357264</v>
      </c>
      <c r="J175" s="1" t="n">
        <f aca="false">J149</f>
        <v>16376.8684400214</v>
      </c>
      <c r="K175" s="1" t="n">
        <f aca="false">K149</f>
        <v>16090.2003900427</v>
      </c>
      <c r="L175" s="1" t="n">
        <f aca="false">L149</f>
        <v>15698.225709118</v>
      </c>
      <c r="M175" s="1" t="n">
        <f aca="false">M149</f>
        <v>15173.2893016336</v>
      </c>
      <c r="N175" s="1" t="n">
        <f aca="false">N149</f>
        <v>14456.2378089371</v>
      </c>
      <c r="O175" s="1" t="n">
        <f aca="false">O149</f>
        <v>13467.1599971264</v>
      </c>
      <c r="P175" s="1" t="n">
        <f aca="false">P149</f>
        <v>13065.6160924918</v>
      </c>
      <c r="Q175" s="1" t="n">
        <f aca="false">Q149</f>
        <v>12646.9308042619</v>
      </c>
      <c r="R175" s="1" t="n">
        <f aca="false">R149</f>
        <v>12208.4439039238</v>
      </c>
      <c r="S175" s="1" t="n">
        <f aca="false">S149</f>
        <v>11742.2347425431</v>
      </c>
      <c r="T175" s="1" t="n">
        <f aca="false">T149</f>
        <v>11256.1312911474</v>
      </c>
      <c r="U175" s="1" t="n">
        <f aca="false">U149</f>
        <v>10740.4423133842</v>
      </c>
      <c r="V175" s="1" t="n">
        <f aca="false">V149</f>
        <v>10192.3711867394</v>
      </c>
      <c r="W175" s="1" t="n">
        <f aca="false">W149</f>
        <v>9608.17823198323</v>
      </c>
      <c r="X175" s="1" t="n">
        <f aca="false">X149</f>
        <v>8983.8357449806</v>
      </c>
      <c r="Y175" s="1" t="n">
        <f aca="false">Y149</f>
        <v>8314.99921878921</v>
      </c>
      <c r="Z175" s="1" t="n">
        <f aca="false">Z149</f>
        <v>7592.39808188133</v>
      </c>
      <c r="AA175" s="1" t="n">
        <f aca="false">AA149</f>
        <v>6820.72753326454</v>
      </c>
      <c r="AB175" s="1" t="n">
        <f aca="false">AB149</f>
        <v>5988.07623605901</v>
      </c>
      <c r="AC175" s="1" t="n">
        <f aca="false">AC149</f>
        <v>5090.33302580878</v>
      </c>
    </row>
    <row r="176" customFormat="false" ht="12.8" hidden="false" customHeight="false" outlineLevel="0" collapsed="false">
      <c r="A176" s="1" t="s">
        <v>325</v>
      </c>
      <c r="B176" s="1" t="n">
        <f aca="false">B174-B175</f>
        <v>0</v>
      </c>
      <c r="C176" s="1" t="n">
        <f aca="false">C174-C175</f>
        <v>0</v>
      </c>
      <c r="D176" s="1" t="n">
        <f aca="false">D174-D175</f>
        <v>236.256051926761</v>
      </c>
      <c r="E176" s="1" t="n">
        <f aca="false">E174-E175</f>
        <v>773.047789557295</v>
      </c>
      <c r="F176" s="1" t="n">
        <f aca="false">F174-F175</f>
        <v>2378.14284166213</v>
      </c>
      <c r="G176" s="1" t="n">
        <f aca="false">G174-G175</f>
        <v>2454.54928187787</v>
      </c>
      <c r="H176" s="1" t="n">
        <f aca="false">H174-H175</f>
        <v>2570.05865845255</v>
      </c>
      <c r="I176" s="1" t="n">
        <f aca="false">I174-I175</f>
        <v>2692.1657081134</v>
      </c>
      <c r="J176" s="1" t="n">
        <f aca="false">J174-J175</f>
        <v>2891.55827144086</v>
      </c>
      <c r="K176" s="1" t="n">
        <f aca="false">K174-K175</f>
        <v>3161.48138260838</v>
      </c>
      <c r="L176" s="1" t="n">
        <f aca="false">L174-L175</f>
        <v>3533.67203217344</v>
      </c>
      <c r="M176" s="1" t="n">
        <f aca="false">M174-M175</f>
        <v>4035.19767462519</v>
      </c>
      <c r="N176" s="1" t="n">
        <f aca="false">N174-N175</f>
        <v>4724.51230234704</v>
      </c>
      <c r="O176" s="1" t="n">
        <f aca="false">O174-O175</f>
        <v>5689.0244742396</v>
      </c>
      <c r="P176" s="1" t="n">
        <f aca="false">P174-P175</f>
        <v>6062.26861902783</v>
      </c>
      <c r="Q176" s="1" t="n">
        <f aca="false">Q174-Q175</f>
        <v>6448.29038862113</v>
      </c>
      <c r="R176" s="1" t="n">
        <f aca="false">R174-R175</f>
        <v>6849.01123716259</v>
      </c>
      <c r="S176" s="1" t="n">
        <f aca="false">S174-S175</f>
        <v>7271.48447578293</v>
      </c>
      <c r="T176" s="1" t="n">
        <f aca="false">T174-T175</f>
        <v>7706.8633108629</v>
      </c>
      <c r="U176" s="1" t="n">
        <f aca="false">U174-U175</f>
        <v>8163.64162441166</v>
      </c>
      <c r="V176" s="1" t="n">
        <f aca="false">V174-V175</f>
        <v>8643.20823337842</v>
      </c>
      <c r="W176" s="1" t="n">
        <f aca="false">W174-W175</f>
        <v>9147.64688576446</v>
      </c>
      <c r="X176" s="1" t="n">
        <f aca="false">X174-X175</f>
        <v>9679.03675672351</v>
      </c>
      <c r="Y176" s="1" t="n">
        <f aca="false">Y174-Y175</f>
        <v>10239.4287247212</v>
      </c>
      <c r="Z176" s="1" t="n">
        <f aca="false">Z174-Z175</f>
        <v>10835.3926461603</v>
      </c>
      <c r="AA176" s="1" t="n">
        <f aca="false">AA174-AA175</f>
        <v>11459.0523275074</v>
      </c>
      <c r="AB176" s="1" t="n">
        <f aca="false">AB174-AB175</f>
        <v>12146.550405108</v>
      </c>
      <c r="AC176" s="1" t="n">
        <f aca="false">AC174-AC175</f>
        <v>12904.5692380484</v>
      </c>
    </row>
    <row r="177" customFormat="false" ht="12.8" hidden="false" customHeight="false" outlineLevel="0" collapsed="false">
      <c r="A177" s="130" t="s">
        <v>326</v>
      </c>
      <c r="B177" s="130" t="n">
        <f aca="false">B176/B174</f>
        <v>0</v>
      </c>
      <c r="C177" s="130" t="n">
        <f aca="false">C176/C174</f>
        <v>0</v>
      </c>
      <c r="D177" s="130" t="n">
        <f aca="false">D176/D174</f>
        <v>0.0122157827222264</v>
      </c>
      <c r="E177" s="130" t="n">
        <f aca="false">E176/E174</f>
        <v>0.0399791369391555</v>
      </c>
      <c r="F177" s="130" t="n">
        <f aca="false">F176/F174</f>
        <v>0.123017109393075</v>
      </c>
      <c r="G177" s="130" t="n">
        <f aca="false">G176/G174</f>
        <v>0.127003020983158</v>
      </c>
      <c r="H177" s="130" t="n">
        <f aca="false">H176/H174</f>
        <v>0.133020043363481</v>
      </c>
      <c r="I177" s="130" t="n">
        <f aca="false">I176/I174</f>
        <v>0.139616131441133</v>
      </c>
      <c r="J177" s="130" t="n">
        <f aca="false">J176/J174</f>
        <v>0.150067170233507</v>
      </c>
      <c r="K177" s="130" t="n">
        <f aca="false">K176/K174</f>
        <v>0.164218452182167</v>
      </c>
      <c r="L177" s="130" t="n">
        <f aca="false">L176/L174</f>
        <v>0.18374016333222</v>
      </c>
      <c r="M177" s="130" t="n">
        <f aca="false">M176/M174</f>
        <v>0.210073686678841</v>
      </c>
      <c r="N177" s="130" t="n">
        <f aca="false">N176/N174</f>
        <v>0.246315304403428</v>
      </c>
      <c r="O177" s="130" t="n">
        <f aca="false">O176/O174</f>
        <v>0.296981086329762</v>
      </c>
      <c r="P177" s="130" t="n">
        <f aca="false">P176/P174</f>
        <v>0.316933561157281</v>
      </c>
      <c r="Q177" s="130" t="n">
        <f aca="false">Q176/Q174</f>
        <v>0.337691316769059</v>
      </c>
      <c r="R177" s="130" t="n">
        <f aca="false">R176/R174</f>
        <v>0.35938750407428</v>
      </c>
      <c r="S177" s="130" t="n">
        <f aca="false">S176/S174</f>
        <v>0.382433567693292</v>
      </c>
      <c r="T177" s="130" t="n">
        <f aca="false">T176/T174</f>
        <v>0.406415941817854</v>
      </c>
      <c r="U177" s="130" t="n">
        <f aca="false">U176/U174</f>
        <v>0.431845396543637</v>
      </c>
      <c r="V177" s="130" t="n">
        <f aca="false">V176/V174</f>
        <v>0.458876684417089</v>
      </c>
      <c r="W177" s="130" t="n">
        <f aca="false">W176/W174</f>
        <v>0.487722978239358</v>
      </c>
      <c r="X177" s="130" t="n">
        <f aca="false">X176/X174</f>
        <v>0.5186252414166</v>
      </c>
      <c r="Y177" s="130" t="n">
        <f aca="false">Y176/Y174</f>
        <v>0.551859036338683</v>
      </c>
      <c r="Z177" s="130" t="n">
        <f aca="false">Z176/Z174</f>
        <v>0.587991952267617</v>
      </c>
      <c r="AA177" s="130" t="n">
        <f aca="false">AA176/AA174</f>
        <v>0.626870367957675</v>
      </c>
      <c r="AB177" s="130" t="n">
        <f aca="false">AB176/AB174</f>
        <v>0.669798758223916</v>
      </c>
      <c r="AC177" s="130" t="n">
        <f aca="false">AC176/AC174</f>
        <v>0.71712360805467</v>
      </c>
    </row>
    <row r="179" customFormat="false" ht="12.8" hidden="false" customHeight="false" outlineLevel="0" collapsed="false">
      <c r="A179" s="1" t="s">
        <v>330</v>
      </c>
      <c r="B179" s="1" t="s">
        <v>1</v>
      </c>
      <c r="C179" s="1" t="s">
        <v>2</v>
      </c>
      <c r="D179" s="1" t="s">
        <v>331</v>
      </c>
    </row>
    <row r="180" customFormat="false" ht="12.8" hidden="false" customHeight="false" outlineLevel="0" collapsed="false">
      <c r="A180" s="1" t="s">
        <v>332</v>
      </c>
      <c r="B180" s="2" t="n">
        <f aca="false">B157-(SUM(D157:I157)/6)</f>
        <v>776.041111338466</v>
      </c>
      <c r="C180" s="2" t="n">
        <f aca="false">B157-SUM(D157:N157)/11</f>
        <v>913.023987361573</v>
      </c>
      <c r="D180" s="2" t="n">
        <f aca="false">B157-(SUM(N157:AC157)/21)</f>
        <v>1155.49444794108</v>
      </c>
    </row>
    <row r="181" customFormat="false" ht="12.8" hidden="false" customHeight="false" outlineLevel="0" collapsed="false">
      <c r="A181" s="1" t="s">
        <v>333</v>
      </c>
    </row>
    <row r="182" customFormat="false" ht="12.8" hidden="false" customHeight="false" outlineLevel="0" collapsed="false">
      <c r="A182" s="1" t="s">
        <v>334</v>
      </c>
      <c r="B182" s="1" t="n">
        <f aca="false">B162-(AVERAGE(D162:I162))</f>
        <v>20.6674095732305</v>
      </c>
      <c r="C182" s="1" t="n">
        <f aca="false">B162-AVERAGE(D162:N162)</f>
        <v>63.7725681780757</v>
      </c>
      <c r="D182" s="1" t="n">
        <f aca="false">B163-(AVERAGE(N162:AC162))</f>
        <v>584.7413046441</v>
      </c>
    </row>
    <row r="183" customFormat="false" ht="12.8" hidden="false" customHeight="false" outlineLevel="0" collapsed="false">
      <c r="A183" s="1" t="s">
        <v>335</v>
      </c>
      <c r="B183" s="1" t="n">
        <f aca="false">B163-(AVERAGE(D163:I163))</f>
        <v>1572.58100772466</v>
      </c>
      <c r="C183" s="1" t="n">
        <f aca="false">B163-AVERAGE(D163:N163)</f>
        <v>1888.81224482537</v>
      </c>
      <c r="D183" s="1" t="n">
        <f aca="false">B163-(AVERAGE(N163:AC163))</f>
        <v>2731.06701566423</v>
      </c>
    </row>
    <row r="184" customFormat="false" ht="12.8" hidden="false" customHeight="false" outlineLevel="0" collapsed="false">
      <c r="A184" s="1" t="s">
        <v>336</v>
      </c>
      <c r="B184" s="1" t="n">
        <f aca="false">B169-AVERAGE(D169:I169)</f>
        <v>1705.383368493</v>
      </c>
      <c r="C184" s="1" t="n">
        <f aca="false">B169-AVERAGE(D169:N169)</f>
        <v>2209.534125661</v>
      </c>
      <c r="D184" s="1" t="n">
        <f aca="false">B169-(AVERAGE(N169:AC169))</f>
        <v>5416.24509602801</v>
      </c>
    </row>
    <row r="185" customFormat="false" ht="12.8" hidden="false" customHeight="false" outlineLevel="0" collapsed="false">
      <c r="A185" s="1" t="s">
        <v>337</v>
      </c>
      <c r="B185" s="1" t="n">
        <f aca="false">B175-(AVERAGE(D175:I175))</f>
        <v>1871.37079817157</v>
      </c>
      <c r="C185" s="1" t="n">
        <f aca="false">B175-AVERAGE(D175:N175)</f>
        <v>2741.10365861307</v>
      </c>
      <c r="D185" s="1" t="n">
        <f aca="false">B175-(AVERAGE(N175:AC175))</f>
        <v>9207.86515776082</v>
      </c>
    </row>
    <row r="186" customFormat="false" ht="12.8" hidden="false" customHeight="false" outlineLevel="0" collapsed="false">
      <c r="A186" s="1" t="s">
        <v>338</v>
      </c>
    </row>
    <row r="187" customFormat="false" ht="12.8" hidden="false" customHeight="false" outlineLevel="0" collapsed="false">
      <c r="A187" s="1" t="s">
        <v>332</v>
      </c>
      <c r="B187" s="130" t="n">
        <f aca="false">B180/$B$157</f>
        <v>0.555763902692658</v>
      </c>
      <c r="C187" s="130" t="n">
        <f aca="false">C180/$B$157</f>
        <v>0.653864553120009</v>
      </c>
      <c r="D187" s="130" t="n">
        <f aca="false">D180/$B$157</f>
        <v>0.827510417353842</v>
      </c>
    </row>
    <row r="188" customFormat="false" ht="12.8" hidden="false" customHeight="false" outlineLevel="0" collapsed="false">
      <c r="B188" s="130"/>
      <c r="C188" s="130"/>
      <c r="D188" s="130"/>
    </row>
    <row r="189" customFormat="false" ht="12.8" hidden="false" customHeight="false" outlineLevel="0" collapsed="false">
      <c r="A189" s="1" t="s">
        <v>335</v>
      </c>
      <c r="B189" s="130" t="n">
        <f aca="false">B183/$B$169</f>
        <v>0.0812966057450604</v>
      </c>
      <c r="C189" s="130" t="n">
        <f aca="false">C183/$B$169</f>
        <v>0.0976445878716195</v>
      </c>
      <c r="D189" s="130" t="n">
        <f aca="false">D183/$B$169</f>
        <v>0.141186035787778</v>
      </c>
    </row>
    <row r="190" customFormat="false" ht="12.8" hidden="false" customHeight="false" outlineLevel="0" collapsed="false">
      <c r="A190" s="1" t="s">
        <v>336</v>
      </c>
      <c r="B190" s="130" t="n">
        <f aca="false">B184/$B$169</f>
        <v>0.0881619952622707</v>
      </c>
      <c r="C190" s="130" t="n">
        <f aca="false">C184/$B$169</f>
        <v>0.114224719624472</v>
      </c>
      <c r="D190" s="130" t="n">
        <f aca="false">D184/$B$169</f>
        <v>0.279999783812409</v>
      </c>
    </row>
    <row r="191" customFormat="false" ht="12.8" hidden="false" customHeight="false" outlineLevel="0" collapsed="false">
      <c r="A191" s="1" t="s">
        <v>337</v>
      </c>
      <c r="B191" s="130" t="n">
        <f aca="false">B185/$B$169</f>
        <v>0.0967429297660766</v>
      </c>
      <c r="C191" s="130" t="n">
        <f aca="false">C185/$B$169</f>
        <v>0.141704893004549</v>
      </c>
      <c r="D191" s="130" t="n">
        <f aca="false">D185/$B$169</f>
        <v>0.476012478725817</v>
      </c>
    </row>
    <row r="193" customFormat="false" ht="12.8" hidden="false" customHeight="false" outlineLevel="0" collapsed="false">
      <c r="A193" s="1" t="s">
        <v>339</v>
      </c>
      <c r="B193" s="1" t="s">
        <v>1</v>
      </c>
      <c r="C193" s="1" t="s">
        <v>2</v>
      </c>
      <c r="D193" s="1" t="s">
        <v>331</v>
      </c>
    </row>
    <row r="194" customFormat="false" ht="12.8" hidden="false" customHeight="false" outlineLevel="0" collapsed="false">
      <c r="A194" s="1" t="s">
        <v>332</v>
      </c>
      <c r="B194" s="2" t="n">
        <f aca="false">(SUM(D158:I158)/6)</f>
        <v>775.956799075714</v>
      </c>
      <c r="C194" s="2" t="n">
        <f aca="false">SUM(D158:N158)/11</f>
        <v>912.519838323648</v>
      </c>
      <c r="D194" s="2" t="n">
        <f aca="false">(SUM(N158:AC158)/21)</f>
        <v>817.647889912431</v>
      </c>
    </row>
    <row r="195" customFormat="false" ht="12.8" hidden="false" customHeight="false" outlineLevel="0" collapsed="false">
      <c r="A195" s="1" t="s">
        <v>335</v>
      </c>
      <c r="B195" s="1" t="n">
        <f aca="false">(SUM(D164:I164)/6)</f>
        <v>1551.91359815143</v>
      </c>
      <c r="C195" s="1" t="n">
        <f aca="false">SUM(D164:N164)/11</f>
        <v>1825.03967664729</v>
      </c>
      <c r="D195" s="1" t="n">
        <f aca="false">(SUM(N164:AC164)/21)</f>
        <v>1635.29577982486</v>
      </c>
    </row>
    <row r="196" customFormat="false" ht="12.8" hidden="false" customHeight="false" outlineLevel="0" collapsed="false">
      <c r="A196" s="1" t="s">
        <v>336</v>
      </c>
      <c r="B196" s="1" t="n">
        <f aca="false">(SUM(D170:I170)/6)</f>
        <v>1684.71595891977</v>
      </c>
      <c r="C196" s="1" t="n">
        <f aca="false">SUM(D170:N170)/11</f>
        <v>2145.76155748293</v>
      </c>
      <c r="D196" s="1" t="n">
        <f aca="false">(SUM(N170:AC170)/21)</f>
        <v>3681.14574581631</v>
      </c>
    </row>
    <row r="197" customFormat="false" ht="12.8" hidden="false" customHeight="false" outlineLevel="0" collapsed="false">
      <c r="A197" s="1" t="s">
        <v>337</v>
      </c>
      <c r="B197" s="1" t="n">
        <f aca="false">(SUM(D176:I176)/6)</f>
        <v>1850.70338859833</v>
      </c>
      <c r="C197" s="1" t="n">
        <f aca="false">SUM(D176:N176)/11</f>
        <v>2677.33109043499</v>
      </c>
      <c r="D197" s="1" t="n">
        <f aca="false">(SUM(N176:AC176)/21)</f>
        <v>6569.99912618416</v>
      </c>
    </row>
    <row r="198" customFormat="false" ht="12.8" hidden="false" customHeight="false" outlineLevel="0" collapsed="false">
      <c r="A198" s="1" t="s">
        <v>338</v>
      </c>
    </row>
    <row r="199" customFormat="false" ht="12.8" hidden="false" customHeight="false" outlineLevel="0" collapsed="false">
      <c r="A199" s="1" t="s">
        <v>332</v>
      </c>
      <c r="B199" s="130" t="n">
        <f aca="false">B194/$B$157</f>
        <v>0.555703522241795</v>
      </c>
      <c r="C199" s="130" t="n">
        <f aca="false">C194/$B$157</f>
        <v>0.65350350544771</v>
      </c>
      <c r="D199" s="130" t="n">
        <f aca="false">D194/$B$157</f>
        <v>0.585560707656837</v>
      </c>
    </row>
    <row r="200" customFormat="false" ht="12.8" hidden="false" customHeight="false" outlineLevel="0" collapsed="false">
      <c r="A200" s="1" t="s">
        <v>335</v>
      </c>
      <c r="B200" s="130" t="n">
        <f aca="false">B195/$B$169</f>
        <v>0.0802281773209642</v>
      </c>
      <c r="C200" s="130" t="n">
        <f aca="false">C195/$B$169</f>
        <v>0.0943477826151295</v>
      </c>
      <c r="D200" s="130" t="n">
        <f aca="false">D195/$B$169</f>
        <v>0.0845387268674554</v>
      </c>
    </row>
    <row r="201" customFormat="false" ht="12.8" hidden="false" customHeight="false" outlineLevel="0" collapsed="false">
      <c r="A201" s="1" t="s">
        <v>336</v>
      </c>
      <c r="B201" s="130" t="n">
        <f aca="false">B196/$B$169</f>
        <v>0.0870935668381746</v>
      </c>
      <c r="C201" s="130" t="n">
        <f aca="false">C196/$B$169</f>
        <v>0.110927914367982</v>
      </c>
      <c r="D201" s="130" t="n">
        <f aca="false">D196/$B$169</f>
        <v>0.19030158250527</v>
      </c>
    </row>
    <row r="202" customFormat="false" ht="12.8" hidden="false" customHeight="false" outlineLevel="0" collapsed="false">
      <c r="A202" s="1" t="s">
        <v>337</v>
      </c>
      <c r="B202" s="130" t="n">
        <f aca="false">B197/$B$169</f>
        <v>0.0956745013419805</v>
      </c>
      <c r="C202" s="130" t="n">
        <f aca="false">C197/$B$169</f>
        <v>0.138408087748059</v>
      </c>
      <c r="D202" s="130" t="n">
        <f aca="false">D197/$B$169</f>
        <v>0.339644588153581</v>
      </c>
    </row>
    <row r="204" customFormat="false" ht="12.8" hidden="false" customHeight="false" outlineLevel="0" collapsed="false">
      <c r="A204" s="1" t="s">
        <v>345</v>
      </c>
      <c r="B204" s="1" t="s">
        <v>575</v>
      </c>
      <c r="C204" s="1" t="n">
        <v>2024</v>
      </c>
      <c r="D204" s="1" t="n">
        <v>2025</v>
      </c>
      <c r="E204" s="1" t="n">
        <v>2026</v>
      </c>
      <c r="F204" s="1" t="n">
        <v>2027</v>
      </c>
      <c r="G204" s="1" t="n">
        <v>2028</v>
      </c>
      <c r="H204" s="1" t="n">
        <v>2029</v>
      </c>
      <c r="I204" s="1" t="n">
        <v>2030</v>
      </c>
    </row>
    <row r="205" customFormat="false" ht="12.8" hidden="false" customHeight="false" outlineLevel="0" collapsed="false">
      <c r="A205" s="1" t="s">
        <v>341</v>
      </c>
      <c r="B205" s="1" t="n">
        <f aca="false">($B$30*$B$28)+($B$39*$B$42)</f>
        <v>71.3503343390438</v>
      </c>
      <c r="C205" s="1" t="n">
        <f aca="false">($B$30*$B$28)+($B$39*$B$42)</f>
        <v>71.3503343390438</v>
      </c>
      <c r="D205" s="1" t="n">
        <f aca="false">($B$30*$B$33)+($B$44*$B$47)</f>
        <v>24.0522502980757</v>
      </c>
      <c r="E205" s="1" t="n">
        <f aca="false">($B$30*$B$33)+($B$44*$B$47)</f>
        <v>24.0522502980757</v>
      </c>
      <c r="F205" s="1" t="n">
        <f aca="false">($B$30*$B$33)+($B$44*$B$47)</f>
        <v>24.0522502980757</v>
      </c>
      <c r="G205" s="1" t="n">
        <f aca="false">($B$30*$B$33)+($B$44*$B$47)</f>
        <v>24.0522502980757</v>
      </c>
      <c r="H205" s="1" t="n">
        <f aca="false">($B$30*$B$33)+($B$44*$B$47)</f>
        <v>24.0522502980757</v>
      </c>
      <c r="I205" s="1" t="n">
        <f aca="false">($B$30*$B$33)+($B$44*$B$47)</f>
        <v>24.0522502980757</v>
      </c>
    </row>
    <row r="206" customFormat="false" ht="12.8" hidden="false" customHeight="false" outlineLevel="0" collapsed="false">
      <c r="A206" s="1" t="s">
        <v>18</v>
      </c>
      <c r="B206" s="2" t="n">
        <f aca="false">$B$10</f>
        <v>1325</v>
      </c>
      <c r="C206" s="2" t="n">
        <f aca="false">$B$10</f>
        <v>1325</v>
      </c>
      <c r="D206" s="2" t="n">
        <f aca="false">$B$10</f>
        <v>1325</v>
      </c>
      <c r="E206" s="2" t="n">
        <f aca="false">($B$18*0.25)+($B$10*0.75)</f>
        <v>1067.79657860088</v>
      </c>
      <c r="F206" s="146" t="n">
        <f aca="false">$B$18</f>
        <v>296.186314403533</v>
      </c>
      <c r="G206" s="146" t="n">
        <f aca="false">$B$18</f>
        <v>296.186314403533</v>
      </c>
      <c r="H206" s="146" t="n">
        <f aca="false">$B$18</f>
        <v>296.186314403533</v>
      </c>
      <c r="I206" s="146" t="n">
        <f aca="false">$B$18</f>
        <v>296.186314403533</v>
      </c>
    </row>
    <row r="207" customFormat="false" ht="12.8" hidden="false" customHeight="false" outlineLevel="0" collapsed="false">
      <c r="A207" s="3" t="s">
        <v>39</v>
      </c>
      <c r="B207" s="2" t="n">
        <f aca="false">SUM(B205:B206)</f>
        <v>1396.35033433904</v>
      </c>
      <c r="C207" s="2" t="n">
        <f aca="false">SUM(C205:C206)</f>
        <v>1396.35033433904</v>
      </c>
      <c r="D207" s="2" t="n">
        <f aca="false">SUM(D205:D206)</f>
        <v>1349.05225029808</v>
      </c>
      <c r="E207" s="2" t="n">
        <f aca="false">SUM(E205:E206)</f>
        <v>1091.84882889896</v>
      </c>
      <c r="F207" s="1" t="n">
        <f aca="false">SUM(F205:F206)</f>
        <v>320.238564701609</v>
      </c>
      <c r="G207" s="1" t="n">
        <f aca="false">SUM(G205:G206)</f>
        <v>320.238564701609</v>
      </c>
      <c r="H207" s="1" t="n">
        <f aca="false">SUM(H205:H206)</f>
        <v>320.238564701609</v>
      </c>
      <c r="I207" s="1" t="n">
        <f aca="false">SUM(I205:I206)</f>
        <v>320.238564701609</v>
      </c>
    </row>
    <row r="208" customFormat="false" ht="12.8" hidden="false" customHeight="false" outlineLevel="0" collapsed="false">
      <c r="A208" s="1" t="s">
        <v>342</v>
      </c>
      <c r="B208" s="2" t="n">
        <f aca="false">($B207-B207)</f>
        <v>0</v>
      </c>
      <c r="C208" s="2" t="n">
        <f aca="false">($B207-C207)</f>
        <v>0</v>
      </c>
      <c r="D208" s="2" t="n">
        <f aca="false">($B207-D207)</f>
        <v>47.2980840409682</v>
      </c>
      <c r="E208" s="2" t="n">
        <f aca="false">($B207-E207)</f>
        <v>304.501505440085</v>
      </c>
      <c r="F208" s="2" t="n">
        <f aca="false">($B207-F207)</f>
        <v>1076.11176963744</v>
      </c>
      <c r="G208" s="2" t="n">
        <f aca="false">($B207-G207)</f>
        <v>1076.11176963744</v>
      </c>
      <c r="H208" s="2" t="n">
        <f aca="false">($B207-H207)</f>
        <v>1076.11176963744</v>
      </c>
      <c r="I208" s="2" t="n">
        <f aca="false">($B207-I207)</f>
        <v>1076.11176963744</v>
      </c>
    </row>
    <row r="209" customFormat="false" ht="12.8" hidden="false" customHeight="false" outlineLevel="0" collapsed="false">
      <c r="A209" s="124" t="s">
        <v>343</v>
      </c>
      <c r="B209" s="130" t="n">
        <f aca="false">($B207-B207)/$B207</f>
        <v>0</v>
      </c>
      <c r="C209" s="130" t="n">
        <f aca="false">($B207-C207)/$B207</f>
        <v>0</v>
      </c>
      <c r="D209" s="130" t="n">
        <f aca="false">($B207-D207)/$B207</f>
        <v>0.0338726484878571</v>
      </c>
      <c r="E209" s="130" t="n">
        <f aca="false">($B207-E207)/$B207</f>
        <v>0.218069561736611</v>
      </c>
      <c r="F209" s="130" t="n">
        <f aca="false">($B207-F207)/$B207</f>
        <v>0.770660301482871</v>
      </c>
      <c r="G209" s="130" t="n">
        <f aca="false">($B207-G207)/$B207</f>
        <v>0.770660301482871</v>
      </c>
      <c r="H209" s="130" t="n">
        <f aca="false">($B207-H207)/$B207</f>
        <v>0.770660301482871</v>
      </c>
      <c r="I209" s="130" t="n">
        <f aca="false">($B207-I207)/$B207</f>
        <v>0.770660301482871</v>
      </c>
    </row>
    <row r="211" customFormat="false" ht="12.8" hidden="false" customHeight="false" outlineLevel="0" collapsed="false">
      <c r="A211" s="1" t="s">
        <v>603</v>
      </c>
    </row>
    <row r="212" customFormat="false" ht="12.8" hidden="false" customHeight="false" outlineLevel="0" collapsed="false">
      <c r="A212" s="1" t="s">
        <v>345</v>
      </c>
      <c r="B212" s="1" t="s">
        <v>575</v>
      </c>
      <c r="C212" s="1" t="n">
        <v>2024</v>
      </c>
      <c r="D212" s="1" t="n">
        <v>2025</v>
      </c>
      <c r="E212" s="1" t="n">
        <v>2026</v>
      </c>
      <c r="F212" s="1" t="n">
        <v>2027</v>
      </c>
      <c r="G212" s="1" t="n">
        <v>2028</v>
      </c>
      <c r="H212" s="1" t="n">
        <v>2029</v>
      </c>
      <c r="I212" s="1" t="n">
        <v>2030</v>
      </c>
    </row>
    <row r="213" customFormat="false" ht="12.8" hidden="false" customHeight="false" outlineLevel="0" collapsed="false">
      <c r="A213" s="1" t="s">
        <v>341</v>
      </c>
      <c r="B213" s="1" t="n">
        <f aca="false">($B$30*$B$28)+($B$39*$B$42)</f>
        <v>71.3503343390438</v>
      </c>
      <c r="C213" s="1" t="n">
        <f aca="false">($B$30*$B$28)+($B$39*$B$42)</f>
        <v>71.3503343390438</v>
      </c>
      <c r="D213" s="1" t="n">
        <f aca="false">($B$30*$B$33)+($B$44*$B$47)</f>
        <v>24.0522502980757</v>
      </c>
      <c r="E213" s="1" t="n">
        <f aca="false">($B$30*$B$33)+($B$44*$B$47)</f>
        <v>24.0522502980757</v>
      </c>
      <c r="F213" s="1" t="n">
        <f aca="false">($B$30*$B$33)+($B$44*$B$47)</f>
        <v>24.0522502980757</v>
      </c>
      <c r="G213" s="1" t="n">
        <f aca="false">($B$30*$B$33)+($B$44*$B$47)</f>
        <v>24.0522502980757</v>
      </c>
      <c r="H213" s="1" t="n">
        <f aca="false">($B$30*$B$33)+($B$44*$B$47)</f>
        <v>24.0522502980757</v>
      </c>
      <c r="I213" s="1" t="n">
        <f aca="false">($B$30*$B$33)+($B$44*$B$47)</f>
        <v>24.0522502980757</v>
      </c>
    </row>
    <row r="214" customFormat="false" ht="12.8" hidden="false" customHeight="false" outlineLevel="0" collapsed="false">
      <c r="A214" s="1" t="s">
        <v>18</v>
      </c>
      <c r="B214" s="2" t="n">
        <f aca="false">$B$10</f>
        <v>1325</v>
      </c>
      <c r="C214" s="2" t="n">
        <f aca="false">$B$10</f>
        <v>1325</v>
      </c>
      <c r="D214" s="2" t="n">
        <f aca="false">$B$10</f>
        <v>1325</v>
      </c>
      <c r="E214" s="2" t="n">
        <f aca="false">(D18*0.25)+($B$10*0.75)</f>
        <v>993.771635863242</v>
      </c>
      <c r="F214" s="190" t="n">
        <f aca="false">$D$18</f>
        <v>0.0865434529683759</v>
      </c>
      <c r="G214" s="190" t="n">
        <f aca="false">$D$18</f>
        <v>0.0865434529683759</v>
      </c>
      <c r="H214" s="190" t="n">
        <f aca="false">$D$18</f>
        <v>0.0865434529683759</v>
      </c>
      <c r="I214" s="190" t="n">
        <f aca="false">$D$18</f>
        <v>0.0865434529683759</v>
      </c>
    </row>
    <row r="215" customFormat="false" ht="12.8" hidden="false" customHeight="false" outlineLevel="0" collapsed="false">
      <c r="A215" s="3" t="s">
        <v>39</v>
      </c>
      <c r="B215" s="2" t="n">
        <f aca="false">SUM(B213:B214)</f>
        <v>1396.35033433904</v>
      </c>
      <c r="C215" s="2" t="n">
        <f aca="false">SUM(C213:C214)</f>
        <v>1396.35033433904</v>
      </c>
      <c r="D215" s="2" t="n">
        <f aca="false">SUM(D213:D214)</f>
        <v>1349.05225029808</v>
      </c>
      <c r="E215" s="2" t="n">
        <f aca="false">SUM(E213:E214)</f>
        <v>1017.82388616132</v>
      </c>
      <c r="F215" s="2" t="n">
        <f aca="false">SUM(F213:F214)</f>
        <v>24.1387937510441</v>
      </c>
      <c r="G215" s="2" t="n">
        <f aca="false">SUM(G213:G214)</f>
        <v>24.1387937510441</v>
      </c>
      <c r="H215" s="2" t="n">
        <f aca="false">SUM(H213:H214)</f>
        <v>24.1387937510441</v>
      </c>
      <c r="I215" s="2" t="n">
        <f aca="false">SUM(I213:I214)</f>
        <v>24.1387937510441</v>
      </c>
    </row>
    <row r="216" customFormat="false" ht="12.8" hidden="false" customHeight="false" outlineLevel="0" collapsed="false">
      <c r="A216" s="1" t="s">
        <v>342</v>
      </c>
      <c r="B216" s="2" t="n">
        <f aca="false">($B215-B215)</f>
        <v>0</v>
      </c>
      <c r="C216" s="2" t="n">
        <f aca="false">($B215-C215)</f>
        <v>0</v>
      </c>
      <c r="D216" s="2" t="n">
        <f aca="false">($B215-D215)</f>
        <v>47.2980840409682</v>
      </c>
      <c r="E216" s="2" t="n">
        <f aca="false">($B215-E215)</f>
        <v>378.526448177726</v>
      </c>
      <c r="F216" s="2" t="n">
        <f aca="false">($B215-F215)</f>
        <v>1372.211540588</v>
      </c>
      <c r="G216" s="2" t="n">
        <f aca="false">($B215-G215)</f>
        <v>1372.211540588</v>
      </c>
      <c r="H216" s="2" t="n">
        <f aca="false">($B215-H215)</f>
        <v>1372.211540588</v>
      </c>
      <c r="I216" s="2" t="n">
        <f aca="false">($B215-I215)</f>
        <v>1372.211540588</v>
      </c>
    </row>
    <row r="217" customFormat="false" ht="12.8" hidden="false" customHeight="false" outlineLevel="0" collapsed="false">
      <c r="A217" s="124" t="s">
        <v>343</v>
      </c>
      <c r="B217" s="130" t="n">
        <f aca="false">($B215-B215)/$B215</f>
        <v>0</v>
      </c>
      <c r="C217" s="130" t="n">
        <f aca="false">($B215-C215)/$B215</f>
        <v>0</v>
      </c>
      <c r="D217" s="130" t="n">
        <f aca="false">($B215-D215)/$B215</f>
        <v>0.0338726484878571</v>
      </c>
      <c r="E217" s="130" t="n">
        <f aca="false">($B215-E215)/$B215</f>
        <v>0.271082721054312</v>
      </c>
      <c r="F217" s="130" t="n">
        <f aca="false">($B215-F215)/$B215</f>
        <v>0.982712938753676</v>
      </c>
      <c r="G217" s="130" t="n">
        <f aca="false">($B215-G215)/$B215</f>
        <v>0.982712938753676</v>
      </c>
      <c r="H217" s="130" t="n">
        <f aca="false">($B215-H215)/$B215</f>
        <v>0.982712938753676</v>
      </c>
      <c r="I217" s="130" t="n">
        <f aca="false">($B215-I215)/$B215</f>
        <v>0.982712938753676</v>
      </c>
    </row>
    <row r="219" customFormat="false" ht="12.8" hidden="false" customHeight="false" outlineLevel="0" collapsed="false">
      <c r="A219" s="1" t="s">
        <v>346</v>
      </c>
    </row>
    <row r="220" customFormat="false" ht="12.8" hidden="false" customHeight="false" outlineLevel="0" collapsed="false">
      <c r="A220" s="1" t="s">
        <v>345</v>
      </c>
      <c r="B220" s="1" t="s">
        <v>575</v>
      </c>
      <c r="C220" s="1" t="n">
        <v>2024</v>
      </c>
      <c r="D220" s="1" t="n">
        <v>2025</v>
      </c>
      <c r="E220" s="1" t="n">
        <v>2026</v>
      </c>
      <c r="F220" s="1" t="n">
        <v>2027</v>
      </c>
      <c r="G220" s="1" t="n">
        <v>2028</v>
      </c>
      <c r="H220" s="1" t="n">
        <v>2029</v>
      </c>
      <c r="I220" s="1" t="n">
        <v>2030</v>
      </c>
    </row>
    <row r="221" customFormat="false" ht="12.8" hidden="false" customHeight="false" outlineLevel="0" collapsed="false">
      <c r="A221" s="1" t="s">
        <v>341</v>
      </c>
      <c r="B221" s="1" t="n">
        <f aca="false">($B$30*$B$28)+($B$39*$B$42)</f>
        <v>71.3503343390438</v>
      </c>
      <c r="C221" s="1" t="n">
        <f aca="false">($B$30*$B$28)+($B$39*$B$42)</f>
        <v>71.3503343390438</v>
      </c>
      <c r="D221" s="1" t="n">
        <f aca="false">($B$30*$B$33)+($B$44*$B$47)</f>
        <v>24.0522502980757</v>
      </c>
      <c r="E221" s="1" t="n">
        <f aca="false">($B$30*$B$33)+($B$44*$B$47)</f>
        <v>24.0522502980757</v>
      </c>
      <c r="F221" s="1" t="n">
        <f aca="false">($B$30*$B$33)+($B$44*$B$47)</f>
        <v>24.0522502980757</v>
      </c>
      <c r="G221" s="1" t="n">
        <f aca="false">($B$30*$B$33)+($B$44*$B$47)</f>
        <v>24.0522502980757</v>
      </c>
      <c r="H221" s="1" t="n">
        <f aca="false">($B$30*$B$33)+($B$44*$B$47)</f>
        <v>24.0522502980757</v>
      </c>
      <c r="I221" s="1" t="n">
        <f aca="false">($B$30*$B$33)+($B$44*$B$47)</f>
        <v>24.0522502980757</v>
      </c>
    </row>
    <row r="222" customFormat="false" ht="12.8" hidden="false" customHeight="false" outlineLevel="0" collapsed="false">
      <c r="A222" s="1" t="s">
        <v>18</v>
      </c>
      <c r="B222" s="2" t="n">
        <f aca="false">$B$10</f>
        <v>1325</v>
      </c>
      <c r="C222" s="2" t="n">
        <f aca="false">$B$10</f>
        <v>1325</v>
      </c>
      <c r="D222" s="2" t="n">
        <f aca="false">$B$10</f>
        <v>1325</v>
      </c>
      <c r="E222" s="2" t="n">
        <f aca="false">(0*0.25)+($B$10*0.75)</f>
        <v>993.75</v>
      </c>
      <c r="F222" s="141" t="n">
        <v>0</v>
      </c>
      <c r="G222" s="141" t="n">
        <v>0</v>
      </c>
      <c r="H222" s="141" t="n">
        <v>0</v>
      </c>
      <c r="I222" s="141" t="n">
        <v>0</v>
      </c>
    </row>
    <row r="223" customFormat="false" ht="12.8" hidden="false" customHeight="false" outlineLevel="0" collapsed="false">
      <c r="A223" s="3" t="s">
        <v>39</v>
      </c>
      <c r="B223" s="2" t="n">
        <f aca="false">SUM(B221:B222)</f>
        <v>1396.35033433904</v>
      </c>
      <c r="C223" s="2" t="n">
        <f aca="false">SUM(C221:C222)</f>
        <v>1396.35033433904</v>
      </c>
      <c r="D223" s="2" t="n">
        <f aca="false">SUM(D221:D222)</f>
        <v>1349.05225029808</v>
      </c>
      <c r="E223" s="2" t="n">
        <f aca="false">SUM(E221:E222)</f>
        <v>1017.80225029808</v>
      </c>
      <c r="F223" s="1" t="n">
        <f aca="false">SUM(F221:F222)</f>
        <v>24.0522502980757</v>
      </c>
      <c r="G223" s="1" t="n">
        <f aca="false">SUM(G221:G222)</f>
        <v>24.0522502980757</v>
      </c>
      <c r="H223" s="1" t="n">
        <f aca="false">SUM(H221:H222)</f>
        <v>24.0522502980757</v>
      </c>
      <c r="I223" s="1" t="n">
        <f aca="false">SUM(I221:I222)</f>
        <v>24.0522502980757</v>
      </c>
    </row>
    <row r="224" customFormat="false" ht="12.8" hidden="false" customHeight="false" outlineLevel="0" collapsed="false">
      <c r="A224" s="1" t="s">
        <v>342</v>
      </c>
      <c r="B224" s="2" t="n">
        <f aca="false">($B223-B223)</f>
        <v>0</v>
      </c>
      <c r="C224" s="2" t="n">
        <f aca="false">($B223-C223)</f>
        <v>0</v>
      </c>
      <c r="D224" s="2" t="n">
        <f aca="false">($B223-D223)</f>
        <v>47.2980840409682</v>
      </c>
      <c r="E224" s="2" t="n">
        <f aca="false">($B223-E223)</f>
        <v>378.548084040968</v>
      </c>
      <c r="F224" s="2" t="n">
        <f aca="false">($B223-F223)</f>
        <v>1372.29808404097</v>
      </c>
      <c r="G224" s="2" t="n">
        <f aca="false">($B223-G223)</f>
        <v>1372.29808404097</v>
      </c>
      <c r="H224" s="2" t="n">
        <f aca="false">($B223-H223)</f>
        <v>1372.29808404097</v>
      </c>
      <c r="I224" s="2" t="n">
        <f aca="false">($B223-I223)</f>
        <v>1372.29808404097</v>
      </c>
    </row>
    <row r="225" customFormat="false" ht="12.8" hidden="false" customHeight="false" outlineLevel="0" collapsed="false">
      <c r="A225" s="124" t="s">
        <v>343</v>
      </c>
      <c r="B225" s="130" t="n">
        <f aca="false">($B223-B223)/$B223</f>
        <v>0</v>
      </c>
      <c r="C225" s="130" t="n">
        <f aca="false">($B223-C223)/$B223</f>
        <v>0</v>
      </c>
      <c r="D225" s="130" t="n">
        <f aca="false">($B223-D223)/$B223</f>
        <v>0.0338726484878571</v>
      </c>
      <c r="E225" s="130" t="n">
        <f aca="false">($B223-E223)/$B223</f>
        <v>0.271098215635228</v>
      </c>
      <c r="F225" s="130" t="n">
        <f aca="false">($B223-F223)/$B223</f>
        <v>0.982774917077339</v>
      </c>
      <c r="G225" s="130" t="n">
        <f aca="false">($B223-G223)/$B223</f>
        <v>0.982774917077339</v>
      </c>
      <c r="H225" s="130" t="n">
        <f aca="false">($B223-H223)/$B223</f>
        <v>0.982774917077339</v>
      </c>
      <c r="I225" s="130" t="n">
        <f aca="false">($B223-I223)/$B223</f>
        <v>0.982774917077339</v>
      </c>
    </row>
    <row r="227" customFormat="false" ht="12.8" hidden="false" customHeight="false" outlineLevel="0" collapsed="false">
      <c r="A227" s="1" t="s">
        <v>604</v>
      </c>
    </row>
    <row r="228" customFormat="false" ht="12.8" hidden="false" customHeight="false" outlineLevel="0" collapsed="false">
      <c r="A228" s="1" t="s">
        <v>348</v>
      </c>
      <c r="B228" s="1" t="s">
        <v>1</v>
      </c>
      <c r="C228" s="1" t="s">
        <v>2</v>
      </c>
      <c r="D228" s="1" t="s">
        <v>3</v>
      </c>
    </row>
    <row r="229" customFormat="false" ht="12.8" hidden="false" customHeight="false" outlineLevel="0" collapsed="false">
      <c r="A229" s="1" t="s">
        <v>334</v>
      </c>
      <c r="B229" s="4" t="n">
        <f aca="false">(B106*6)-SUM(D106:I106)</f>
        <v>124.004457439383</v>
      </c>
      <c r="C229" s="4" t="n">
        <f aca="false">(B106*11)-SUM(D106:N106)</f>
        <v>701.498249958822</v>
      </c>
      <c r="D229" s="4" t="n">
        <f aca="false">D182*16+C229</f>
        <v>10057.3591242644</v>
      </c>
    </row>
    <row r="230" customFormat="false" ht="12.8" hidden="false" customHeight="false" outlineLevel="0" collapsed="false">
      <c r="A230" s="1" t="s">
        <v>335</v>
      </c>
      <c r="B230" s="4" t="n">
        <f aca="false">B183*6</f>
        <v>9435.48604634796</v>
      </c>
      <c r="C230" s="4" t="n">
        <f aca="false">C183*11</f>
        <v>20776.9346930791</v>
      </c>
      <c r="D230" s="4" t="n">
        <f aca="false">D183*16+C230</f>
        <v>64474.0069437068</v>
      </c>
    </row>
    <row r="231" customFormat="false" ht="12.8" hidden="false" customHeight="false" outlineLevel="0" collapsed="false">
      <c r="A231" s="1" t="s">
        <v>336</v>
      </c>
      <c r="B231" s="4" t="n">
        <f aca="false">B184*6</f>
        <v>10232.300210958</v>
      </c>
      <c r="C231" s="4" t="n">
        <f aca="false">C184*11</f>
        <v>24304.8753822711</v>
      </c>
      <c r="D231" s="4" t="n">
        <f aca="false">D184*16+C231</f>
        <v>110964.796918719</v>
      </c>
    </row>
    <row r="232" customFormat="false" ht="12.8" hidden="false" customHeight="false" outlineLevel="0" collapsed="false">
      <c r="A232" s="1" t="s">
        <v>337</v>
      </c>
      <c r="B232" s="4" t="n">
        <f aca="false">B185*6</f>
        <v>11228.2247890294</v>
      </c>
      <c r="C232" s="4" t="n">
        <f aca="false">C185*11</f>
        <v>30152.1402447438</v>
      </c>
      <c r="D232" s="4" t="n">
        <f aca="false">D185*16+C232</f>
        <v>177477.982768917</v>
      </c>
    </row>
    <row r="233" customFormat="false" ht="12.8" hidden="false" customHeight="false" outlineLevel="0" collapsed="false">
      <c r="B233" s="4"/>
      <c r="C233" s="4"/>
      <c r="D233" s="4"/>
    </row>
    <row r="234" customFormat="false" ht="12.8" hidden="false" customHeight="false" outlineLevel="0" collapsed="false">
      <c r="A234" s="1" t="s">
        <v>349</v>
      </c>
      <c r="B234" s="4"/>
      <c r="C234" s="4"/>
      <c r="D234" s="4"/>
    </row>
    <row r="235" customFormat="false" ht="12.8" hidden="false" customHeight="false" outlineLevel="0" collapsed="false">
      <c r="A235" s="1" t="s">
        <v>334</v>
      </c>
      <c r="B235" s="4" t="n">
        <f aca="false">B156-(SUM(D156:I156)/6)</f>
        <v>0.0843122627513822</v>
      </c>
      <c r="C235" s="4" t="n">
        <f aca="false">B156-SUM(D156:N156)/11</f>
        <v>0.504149037925572</v>
      </c>
      <c r="D235" s="4" t="n">
        <f aca="false">B156-(SUM(N156:AC156)/21)</f>
        <v>337.846558028647</v>
      </c>
    </row>
    <row r="236" customFormat="false" ht="12.8" hidden="false" customHeight="false" outlineLevel="0" collapsed="false">
      <c r="A236" s="1" t="s">
        <v>350</v>
      </c>
      <c r="B236" s="4" t="n">
        <f aca="false">B180*6</f>
        <v>4656.24666803079</v>
      </c>
      <c r="C236" s="4" t="n">
        <f aca="false">C180*11</f>
        <v>10043.2638609773</v>
      </c>
      <c r="D236" s="4" t="n">
        <f aca="false">D180*21</f>
        <v>24265.3834067626</v>
      </c>
    </row>
    <row r="239" customFormat="false" ht="12.8" hidden="false" customHeight="false" outlineLevel="0" collapsed="false">
      <c r="A239" s="4" t="s">
        <v>581</v>
      </c>
      <c r="B239" s="4" t="s">
        <v>1</v>
      </c>
      <c r="C239" s="4" t="s">
        <v>2</v>
      </c>
      <c r="D239" s="1" t="s">
        <v>331</v>
      </c>
    </row>
    <row r="240" customFormat="false" ht="12.8" hidden="false" customHeight="false" outlineLevel="0" collapsed="false">
      <c r="A240" s="4" t="s">
        <v>4</v>
      </c>
      <c r="B240" s="4" t="n">
        <f aca="false">$B$112*6-SUM(D112:I112)</f>
        <v>30.4324736826238</v>
      </c>
      <c r="C240" s="5"/>
    </row>
    <row r="241" customFormat="false" ht="12.8" hidden="false" customHeight="false" outlineLevel="0" collapsed="false">
      <c r="A241" s="4" t="s">
        <v>5</v>
      </c>
      <c r="B241" s="4"/>
      <c r="C241" s="5"/>
    </row>
    <row r="242" customFormat="false" ht="12.8" hidden="false" customHeight="false" outlineLevel="0" collapsed="false">
      <c r="A242" s="4" t="s">
        <v>6</v>
      </c>
      <c r="B242" s="4"/>
      <c r="C242" s="5"/>
    </row>
    <row r="243" customFormat="false" ht="12.8" hidden="false" customHeight="false" outlineLevel="0" collapsed="false">
      <c r="A243" s="4" t="s">
        <v>7</v>
      </c>
      <c r="B243" s="4" t="n">
        <f aca="false">$B$127*6-SUM(D127:I127)</f>
        <v>305.636376441937</v>
      </c>
      <c r="C243" s="4" t="n">
        <f aca="false">$B$127*11-SUM(D127:N127)</f>
        <v>1462.14892673498</v>
      </c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customFormat="false" ht="12.8" hidden="false" customHeight="false" outlineLevel="0" collapsed="false">
      <c r="A244" s="4" t="s">
        <v>8</v>
      </c>
      <c r="B244" s="4" t="n">
        <f aca="false">$B$128*6-SUM(D128:I128)</f>
        <v>220.381515723242</v>
      </c>
      <c r="C244" s="4" t="n">
        <f aca="false">$B$128*11-SUM(D128:N128)</f>
        <v>924.321290604625</v>
      </c>
      <c r="D244" s="4"/>
    </row>
    <row r="245" customFormat="false" ht="12.8" hidden="false" customHeight="false" outlineLevel="0" collapsed="false">
      <c r="A245" s="4" t="s">
        <v>9</v>
      </c>
      <c r="B245" s="5" t="n">
        <f aca="false">SUM(B243:B244)</f>
        <v>526.017892165179</v>
      </c>
      <c r="C245" s="5" t="n">
        <f aca="false">SUM(C243:C244)</f>
        <v>2386.47021733961</v>
      </c>
      <c r="D245" s="10"/>
    </row>
    <row r="246" customFormat="false" ht="12.8" hidden="false" customHeight="false" outlineLevel="0" collapsed="false">
      <c r="A246" s="4" t="s">
        <v>10</v>
      </c>
      <c r="B246" s="4" t="n">
        <f aca="false">$B$135*6-SUM(D135:I135)</f>
        <v>611.272752883888</v>
      </c>
      <c r="C246" s="4" t="n">
        <f aca="false">$B135*11-SUM(D135:N135)</f>
        <v>2924.29785346997</v>
      </c>
      <c r="D246" s="4"/>
    </row>
    <row r="247" customFormat="false" ht="12.8" hidden="false" customHeight="false" outlineLevel="0" collapsed="false">
      <c r="A247" s="4" t="s">
        <v>11</v>
      </c>
      <c r="B247" s="4" t="n">
        <f aca="false">$B$136*6-SUM(D136:I136)</f>
        <v>308.534122012537</v>
      </c>
      <c r="C247" s="4" t="n">
        <f aca="false">$B136*11-SUM(D136:N136)</f>
        <v>1294.04980684647</v>
      </c>
    </row>
    <row r="248" customFormat="false" ht="12.8" hidden="false" customHeight="false" outlineLevel="0" collapsed="false">
      <c r="A248" s="4" t="s">
        <v>12</v>
      </c>
      <c r="B248" s="5" t="n">
        <f aca="false">SUM(B246:B247)</f>
        <v>919.806874896425</v>
      </c>
      <c r="C248" s="5" t="n">
        <f aca="false">SUM(C246:C247)</f>
        <v>4218.34766031644</v>
      </c>
    </row>
    <row r="249" customFormat="false" ht="12.8" hidden="false" customHeight="false" outlineLevel="0" collapsed="false">
      <c r="A249" s="4" t="s">
        <v>13</v>
      </c>
      <c r="B249" s="4" t="n">
        <f aca="false">$B$147*6-SUM(D147:I147)</f>
        <v>1298.66320894274</v>
      </c>
      <c r="C249" s="4" t="n">
        <f aca="false">$B147*11-SUM(D147:N147)</f>
        <v>7477.51290909622</v>
      </c>
    </row>
    <row r="250" customFormat="false" ht="12.8" hidden="false" customHeight="false" outlineLevel="0" collapsed="false">
      <c r="A250" s="4" t="s">
        <v>14</v>
      </c>
      <c r="B250" s="4" t="n">
        <f aca="false">$B$136*6-SUM(D136:I136)</f>
        <v>308.534122012537</v>
      </c>
      <c r="C250" s="4" t="n">
        <f aca="false">$B148*11-SUM(D148:N148)</f>
        <v>2588.09961369294</v>
      </c>
      <c r="D250" s="4"/>
    </row>
    <row r="251" customFormat="false" ht="12.8" hidden="false" customHeight="false" outlineLevel="0" collapsed="false">
      <c r="A251" s="4" t="s">
        <v>15</v>
      </c>
      <c r="B251" s="5" t="n">
        <f aca="false">SUM(B249:B250)</f>
        <v>1607.19733095528</v>
      </c>
      <c r="C251" s="5" t="n">
        <f aca="false">SUM(C249:C250)</f>
        <v>10065.6125227892</v>
      </c>
      <c r="D251" s="4"/>
    </row>
    <row r="253" customFormat="false" ht="12.8" hidden="false" customHeight="false" outlineLevel="0" collapsed="false">
      <c r="A253" s="1" t="s">
        <v>351</v>
      </c>
    </row>
    <row r="254" customFormat="false" ht="12.8" hidden="false" customHeight="false" outlineLevel="0" collapsed="false">
      <c r="A254" s="9" t="s">
        <v>334</v>
      </c>
      <c r="B254" s="4" t="n">
        <f aca="false">$B$127*6-SUM(D138:I138)</f>
        <v>74191.9445516506</v>
      </c>
    </row>
    <row r="255" customFormat="false" ht="12.8" hidden="false" customHeight="false" outlineLevel="0" collapsed="false">
      <c r="A255" s="9" t="s">
        <v>17</v>
      </c>
      <c r="B255" s="4" t="n">
        <f aca="false">$B$127*6-SUM(D139:I139)</f>
        <v>74191.9445516506</v>
      </c>
    </row>
    <row r="256" customFormat="false" ht="12.8" hidden="false" customHeight="false" outlineLevel="0" collapsed="false">
      <c r="A256" s="9" t="s">
        <v>18</v>
      </c>
      <c r="B256" s="4" t="n">
        <f aca="false">$B$128*6-SUM(D140:I140)</f>
        <v>25114.3359628415</v>
      </c>
    </row>
    <row r="257" customFormat="false" ht="12.8" hidden="false" customHeight="false" outlineLevel="0" collapsed="false">
      <c r="A257" s="10" t="s">
        <v>20</v>
      </c>
      <c r="B257" s="5" t="n">
        <f aca="false">SUM(B255:B256)</f>
        <v>99306.2805144921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37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E38" activeCellId="1" sqref="B3:D14 E38"/>
    </sheetView>
  </sheetViews>
  <sheetFormatPr defaultColWidth="12.8046875" defaultRowHeight="12.8" zeroHeight="false" outlineLevelRow="0" outlineLevelCol="0"/>
  <sheetData>
    <row r="1" customFormat="false" ht="15.8" hidden="false" customHeight="true" outlineLevel="0" collapsed="false">
      <c r="A1" s="24" t="s">
        <v>54</v>
      </c>
      <c r="B1" s="24"/>
      <c r="C1" s="24"/>
      <c r="D1" s="24"/>
      <c r="E1" s="24"/>
      <c r="F1" s="24"/>
      <c r="G1" s="24"/>
      <c r="H1" s="24"/>
    </row>
    <row r="2" customFormat="false" ht="20.85" hidden="false" customHeight="false" outlineLevel="0" collapsed="false">
      <c r="A2" s="25" t="s">
        <v>55</v>
      </c>
      <c r="B2" s="25" t="s">
        <v>56</v>
      </c>
      <c r="C2" s="25" t="s">
        <v>57</v>
      </c>
      <c r="D2" s="25" t="s">
        <v>58</v>
      </c>
      <c r="E2" s="25" t="s">
        <v>59</v>
      </c>
      <c r="F2" s="25" t="s">
        <v>60</v>
      </c>
      <c r="G2" s="25" t="s">
        <v>61</v>
      </c>
      <c r="H2" s="25" t="s">
        <v>62</v>
      </c>
    </row>
    <row r="3" customFormat="false" ht="20.85" hidden="false" customHeight="false" outlineLevel="0" collapsed="false">
      <c r="A3" s="25" t="s">
        <v>63</v>
      </c>
      <c r="B3" s="25" t="s">
        <v>64</v>
      </c>
      <c r="C3" s="26" t="n">
        <v>15787.2</v>
      </c>
      <c r="D3" s="26" t="n">
        <v>15787.2</v>
      </c>
      <c r="E3" s="26" t="n">
        <v>15787.2</v>
      </c>
      <c r="F3" s="26" t="n">
        <v>15787.2</v>
      </c>
      <c r="G3" s="26" t="n">
        <v>15787.2</v>
      </c>
      <c r="H3" s="26" t="n">
        <v>78936</v>
      </c>
    </row>
    <row r="4" customFormat="false" ht="29.85" hidden="false" customHeight="false" outlineLevel="0" collapsed="false">
      <c r="A4" s="25"/>
      <c r="B4" s="25" t="s">
        <v>65</v>
      </c>
      <c r="C4" s="26" t="n">
        <v>26000</v>
      </c>
      <c r="D4" s="26" t="n">
        <v>26000</v>
      </c>
      <c r="E4" s="26" t="n">
        <v>26000</v>
      </c>
      <c r="F4" s="26" t="n">
        <v>26000</v>
      </c>
      <c r="G4" s="26" t="n">
        <v>26000</v>
      </c>
      <c r="H4" s="26" t="n">
        <v>130000</v>
      </c>
    </row>
    <row r="5" customFormat="false" ht="20.85" hidden="false" customHeight="false" outlineLevel="0" collapsed="false">
      <c r="A5" s="26"/>
      <c r="B5" s="25" t="s">
        <v>66</v>
      </c>
      <c r="C5" s="25" t="n">
        <v>41787.2</v>
      </c>
      <c r="D5" s="25" t="n">
        <v>41787.2</v>
      </c>
      <c r="E5" s="25" t="n">
        <v>41787.2</v>
      </c>
      <c r="F5" s="25" t="n">
        <v>41787.2</v>
      </c>
      <c r="G5" s="25" t="n">
        <v>41787.2</v>
      </c>
      <c r="H5" s="25" t="n">
        <v>208936</v>
      </c>
    </row>
    <row r="6" customFormat="false" ht="38.8" hidden="false" customHeight="false" outlineLevel="0" collapsed="false">
      <c r="A6" s="25" t="s">
        <v>67</v>
      </c>
      <c r="B6" s="27" t="s">
        <v>68</v>
      </c>
      <c r="C6" s="26" t="n">
        <v>10358.4</v>
      </c>
      <c r="D6" s="26" t="n">
        <v>10358.4</v>
      </c>
      <c r="E6" s="26" t="n">
        <v>10358.4</v>
      </c>
      <c r="F6" s="26" t="n">
        <v>10358.4</v>
      </c>
      <c r="G6" s="26" t="n">
        <v>10358.4</v>
      </c>
      <c r="H6" s="26" t="n">
        <v>51792</v>
      </c>
    </row>
    <row r="7" customFormat="false" ht="15.8" hidden="false" customHeight="false" outlineLevel="0" collapsed="false">
      <c r="A7" s="26"/>
      <c r="B7" s="25" t="s">
        <v>69</v>
      </c>
      <c r="C7" s="25" t="n">
        <v>10358.4</v>
      </c>
      <c r="D7" s="25" t="n">
        <v>10358.4</v>
      </c>
      <c r="E7" s="25" t="n">
        <v>10358.4</v>
      </c>
      <c r="F7" s="25" t="n">
        <v>10358.4</v>
      </c>
      <c r="G7" s="25" t="n">
        <v>10358.4</v>
      </c>
      <c r="H7" s="25" t="n">
        <v>51792</v>
      </c>
    </row>
    <row r="8" customFormat="false" ht="15.8" hidden="false" customHeight="false" outlineLevel="0" collapsed="false">
      <c r="A8" s="25" t="s">
        <v>70</v>
      </c>
      <c r="B8" s="28"/>
      <c r="C8" s="28"/>
      <c r="D8" s="28"/>
      <c r="E8" s="28"/>
      <c r="F8" s="28"/>
      <c r="G8" s="28"/>
      <c r="H8" s="28"/>
    </row>
    <row r="9" customFormat="false" ht="20.85" hidden="false" customHeight="false" outlineLevel="0" collapsed="false">
      <c r="A9" s="26"/>
      <c r="B9" s="25" t="s">
        <v>71</v>
      </c>
      <c r="C9" s="25" t="n">
        <v>271266.019239496</v>
      </c>
      <c r="D9" s="25" t="n">
        <v>0</v>
      </c>
      <c r="E9" s="25" t="n">
        <v>0</v>
      </c>
      <c r="F9" s="25" t="n">
        <v>0</v>
      </c>
      <c r="G9" s="25" t="n">
        <v>0</v>
      </c>
      <c r="H9" s="25" t="n">
        <v>271266.019239496</v>
      </c>
    </row>
    <row r="10" customFormat="false" ht="29.85" hidden="false" customHeight="false" outlineLevel="0" collapsed="false">
      <c r="A10" s="26"/>
      <c r="B10" s="25" t="s">
        <v>72</v>
      </c>
      <c r="C10" s="25" t="n">
        <v>111908.312967279</v>
      </c>
      <c r="D10" s="25" t="n">
        <v>0</v>
      </c>
      <c r="E10" s="25" t="n">
        <v>0</v>
      </c>
      <c r="F10" s="25" t="n">
        <v>0</v>
      </c>
      <c r="G10" s="25" t="n">
        <v>0</v>
      </c>
      <c r="H10" s="25" t="n">
        <v>111908.312967279</v>
      </c>
    </row>
    <row r="11" customFormat="false" ht="20.85" hidden="false" customHeight="false" outlineLevel="0" collapsed="false">
      <c r="A11" s="26"/>
      <c r="B11" s="25" t="s">
        <v>73</v>
      </c>
      <c r="C11" s="26" t="n">
        <v>383174.332206775</v>
      </c>
      <c r="D11" s="26" t="n">
        <v>0</v>
      </c>
      <c r="E11" s="26" t="n">
        <v>0</v>
      </c>
      <c r="F11" s="26" t="n">
        <v>0</v>
      </c>
      <c r="G11" s="26" t="n">
        <v>0</v>
      </c>
      <c r="H11" s="26" t="n">
        <v>383174.332206775</v>
      </c>
    </row>
    <row r="12" customFormat="false" ht="15.8" hidden="false" customHeight="false" outlineLevel="0" collapsed="false">
      <c r="A12" s="25"/>
      <c r="B12" s="28"/>
      <c r="C12" s="28"/>
      <c r="D12" s="28"/>
      <c r="E12" s="28"/>
      <c r="F12" s="28"/>
      <c r="G12" s="28"/>
      <c r="H12" s="28"/>
    </row>
    <row r="13" customFormat="false" ht="15.8" hidden="false" customHeight="false" outlineLevel="0" collapsed="false">
      <c r="A13" s="25" t="s">
        <v>74</v>
      </c>
      <c r="B13" s="26"/>
      <c r="C13" s="26"/>
      <c r="D13" s="26"/>
      <c r="E13" s="26"/>
      <c r="F13" s="26"/>
      <c r="G13" s="26"/>
      <c r="H13" s="25" t="s">
        <v>75</v>
      </c>
    </row>
    <row r="14" customFormat="false" ht="50.7" hidden="false" customHeight="false" outlineLevel="0" collapsed="false">
      <c r="A14" s="26"/>
      <c r="B14" s="25" t="s">
        <v>76</v>
      </c>
      <c r="C14" s="25" t="n">
        <v>29777.5</v>
      </c>
      <c r="D14" s="25" t="n">
        <v>0</v>
      </c>
      <c r="E14" s="25" t="n">
        <v>0</v>
      </c>
      <c r="F14" s="25" t="n">
        <v>0</v>
      </c>
      <c r="G14" s="25" t="n">
        <v>0</v>
      </c>
      <c r="H14" s="25" t="n">
        <v>29777.5</v>
      </c>
    </row>
    <row r="15" customFormat="false" ht="74.6" hidden="false" customHeight="false" outlineLevel="0" collapsed="false">
      <c r="A15" s="26"/>
      <c r="B15" s="25" t="s">
        <v>77</v>
      </c>
      <c r="C15" s="25" t="n">
        <v>2070374.87356</v>
      </c>
      <c r="D15" s="25" t="n">
        <v>6055303.22984</v>
      </c>
      <c r="E15" s="25" t="n">
        <v>0</v>
      </c>
      <c r="F15" s="25" t="n">
        <v>0</v>
      </c>
      <c r="G15" s="25" t="n">
        <v>0</v>
      </c>
      <c r="H15" s="25" t="n">
        <v>8125678.1034</v>
      </c>
    </row>
    <row r="16" customFormat="false" ht="38.8" hidden="false" customHeight="false" outlineLevel="0" collapsed="false">
      <c r="A16" s="26"/>
      <c r="B16" s="25" t="s">
        <v>78</v>
      </c>
      <c r="C16" s="26" t="n">
        <v>124482.94</v>
      </c>
      <c r="D16" s="25" t="n">
        <v>917655.44</v>
      </c>
      <c r="E16" s="25" t="n">
        <v>0</v>
      </c>
      <c r="F16" s="25" t="n">
        <v>0</v>
      </c>
      <c r="G16" s="25" t="n">
        <v>0</v>
      </c>
      <c r="H16" s="25" t="n">
        <v>1042138.38</v>
      </c>
    </row>
    <row r="17" customFormat="false" ht="74.6" hidden="false" customHeight="false" outlineLevel="0" collapsed="false">
      <c r="A17" s="26"/>
      <c r="B17" s="25" t="s">
        <v>79</v>
      </c>
      <c r="C17" s="28" t="n">
        <v>0</v>
      </c>
      <c r="D17" s="28" t="n">
        <v>52470</v>
      </c>
      <c r="E17" s="25" t="n">
        <v>0</v>
      </c>
      <c r="F17" s="25" t="n">
        <v>0</v>
      </c>
      <c r="G17" s="25" t="n">
        <v>0</v>
      </c>
      <c r="H17" s="25" t="n">
        <v>52470</v>
      </c>
    </row>
    <row r="18" customFormat="false" ht="47.75" hidden="false" customHeight="false" outlineLevel="0" collapsed="false">
      <c r="A18" s="26"/>
      <c r="B18" s="25" t="s">
        <v>80</v>
      </c>
      <c r="C18" s="28" t="n">
        <v>472971.36</v>
      </c>
      <c r="D18" s="25" t="n">
        <v>0</v>
      </c>
      <c r="E18" s="25" t="n">
        <v>0</v>
      </c>
      <c r="F18" s="25" t="n">
        <v>0</v>
      </c>
      <c r="G18" s="25" t="n">
        <v>0</v>
      </c>
      <c r="H18" s="25" t="n">
        <v>472971.36</v>
      </c>
    </row>
    <row r="19" customFormat="false" ht="47.75" hidden="false" customHeight="false" outlineLevel="0" collapsed="false">
      <c r="A19" s="26"/>
      <c r="B19" s="25" t="s">
        <v>81</v>
      </c>
      <c r="C19" s="26" t="n">
        <v>142978.723404255</v>
      </c>
      <c r="D19" s="25" t="n">
        <v>185287.686158287</v>
      </c>
      <c r="E19" s="25" t="n">
        <v>0</v>
      </c>
      <c r="F19" s="25" t="n">
        <v>0</v>
      </c>
      <c r="G19" s="25" t="n">
        <v>0</v>
      </c>
      <c r="H19" s="25" t="n">
        <v>328266.409562543</v>
      </c>
    </row>
    <row r="20" customFormat="false" ht="56.7" hidden="false" customHeight="false" outlineLevel="0" collapsed="false">
      <c r="A20" s="26"/>
      <c r="B20" s="25" t="s">
        <v>82</v>
      </c>
      <c r="C20" s="26" t="n">
        <v>0</v>
      </c>
      <c r="D20" s="25" t="n">
        <v>358286.890871654</v>
      </c>
      <c r="E20" s="25" t="n">
        <v>0</v>
      </c>
      <c r="F20" s="25" t="n">
        <v>0</v>
      </c>
      <c r="G20" s="25" t="n">
        <v>0</v>
      </c>
      <c r="H20" s="25" t="n">
        <v>358286.890871654</v>
      </c>
    </row>
    <row r="21" customFormat="false" ht="74.6" hidden="false" customHeight="false" outlineLevel="0" collapsed="false">
      <c r="A21" s="26"/>
      <c r="B21" s="29" t="s">
        <v>83</v>
      </c>
      <c r="C21" s="26" t="n">
        <v>200000</v>
      </c>
      <c r="D21" s="25" t="n">
        <v>0</v>
      </c>
      <c r="E21" s="25" t="n">
        <v>0</v>
      </c>
      <c r="F21" s="25" t="n">
        <v>0</v>
      </c>
      <c r="G21" s="25" t="n">
        <v>0</v>
      </c>
      <c r="H21" s="25" t="n">
        <v>200000</v>
      </c>
    </row>
    <row r="22" customFormat="false" ht="56.7" hidden="false" customHeight="false" outlineLevel="0" collapsed="false">
      <c r="A22" s="26"/>
      <c r="B22" s="29" t="s">
        <v>84</v>
      </c>
      <c r="C22" s="26" t="n">
        <v>0</v>
      </c>
      <c r="D22" s="25" t="n">
        <v>1115949.71519138</v>
      </c>
      <c r="E22" s="25" t="n">
        <v>0</v>
      </c>
      <c r="F22" s="25" t="n">
        <v>0</v>
      </c>
      <c r="G22" s="25" t="n">
        <v>0</v>
      </c>
      <c r="H22" s="25" t="n">
        <v>1115949.71519138</v>
      </c>
    </row>
    <row r="23" customFormat="false" ht="56.7" hidden="false" customHeight="false" outlineLevel="0" collapsed="false">
      <c r="A23" s="26"/>
      <c r="B23" s="29" t="s">
        <v>85</v>
      </c>
      <c r="C23" s="26" t="n">
        <v>400408.007680046</v>
      </c>
      <c r="D23" s="25" t="n">
        <v>0</v>
      </c>
      <c r="E23" s="25" t="n">
        <v>0</v>
      </c>
      <c r="F23" s="25" t="n">
        <v>0</v>
      </c>
      <c r="G23" s="25" t="n">
        <v>0</v>
      </c>
      <c r="H23" s="25" t="n">
        <v>400408.007680046</v>
      </c>
    </row>
    <row r="24" customFormat="false" ht="20.85" hidden="false" customHeight="false" outlineLevel="0" collapsed="false">
      <c r="A24" s="26"/>
      <c r="B24" s="25" t="s">
        <v>86</v>
      </c>
      <c r="C24" s="25" t="n">
        <v>3440993.4046443</v>
      </c>
      <c r="D24" s="25" t="n">
        <v>8684952.96206132</v>
      </c>
      <c r="E24" s="25" t="n">
        <v>0</v>
      </c>
      <c r="F24" s="25" t="n">
        <v>0</v>
      </c>
      <c r="G24" s="25" t="n">
        <v>0</v>
      </c>
      <c r="H24" s="25" t="n">
        <v>12125946.3667056</v>
      </c>
    </row>
    <row r="25" customFormat="false" ht="15.8" hidden="false" customHeight="false" outlineLevel="0" collapsed="false">
      <c r="A25" s="25" t="s">
        <v>87</v>
      </c>
      <c r="B25" s="26"/>
      <c r="C25" s="26"/>
      <c r="D25" s="26"/>
      <c r="E25" s="26"/>
      <c r="F25" s="26"/>
      <c r="G25" s="26"/>
      <c r="H25" s="25"/>
    </row>
    <row r="26" customFormat="false" ht="56.7" hidden="false" customHeight="false" outlineLevel="0" collapsed="false">
      <c r="A26" s="26"/>
      <c r="B26" s="25" t="s">
        <v>88</v>
      </c>
      <c r="C26" s="25" t="n">
        <v>46208</v>
      </c>
      <c r="D26" s="25" t="n">
        <v>14072</v>
      </c>
      <c r="E26" s="25" t="n">
        <v>13888</v>
      </c>
      <c r="F26" s="25" t="n">
        <v>18024</v>
      </c>
      <c r="G26" s="25" t="n">
        <v>28816</v>
      </c>
      <c r="H26" s="25" t="n">
        <v>121008</v>
      </c>
    </row>
    <row r="27" customFormat="false" ht="56.7" hidden="false" customHeight="false" outlineLevel="0" collapsed="false">
      <c r="A27" s="25"/>
      <c r="B27" s="25" t="s">
        <v>89</v>
      </c>
      <c r="C27" s="25" t="n">
        <v>16390</v>
      </c>
      <c r="D27" s="25" t="n">
        <v>3424</v>
      </c>
      <c r="E27" s="25" t="n">
        <v>3146</v>
      </c>
      <c r="F27" s="25" t="n">
        <v>7064</v>
      </c>
      <c r="G27" s="25" t="n">
        <v>7486</v>
      </c>
      <c r="H27" s="25" t="n">
        <v>37510</v>
      </c>
    </row>
    <row r="28" customFormat="false" ht="20.85" hidden="false" customHeight="false" outlineLevel="0" collapsed="false">
      <c r="A28" s="30" t="s">
        <v>55</v>
      </c>
      <c r="B28" s="30" t="s">
        <v>56</v>
      </c>
      <c r="C28" s="30" t="s">
        <v>57</v>
      </c>
      <c r="D28" s="30" t="s">
        <v>58</v>
      </c>
      <c r="E28" s="30" t="s">
        <v>59</v>
      </c>
      <c r="F28" s="30" t="s">
        <v>60</v>
      </c>
      <c r="G28" s="30" t="s">
        <v>61</v>
      </c>
      <c r="H28" s="30" t="s">
        <v>62</v>
      </c>
    </row>
    <row r="29" customFormat="false" ht="65.65" hidden="false" customHeight="false" outlineLevel="0" collapsed="false">
      <c r="A29" s="30"/>
      <c r="B29" s="30" t="s">
        <v>90</v>
      </c>
      <c r="C29" s="30" t="n">
        <v>213028</v>
      </c>
      <c r="D29" s="30" t="n">
        <v>0</v>
      </c>
      <c r="E29" s="30" t="n">
        <v>0</v>
      </c>
      <c r="F29" s="30" t="n">
        <v>0</v>
      </c>
      <c r="G29" s="30" t="n">
        <v>0</v>
      </c>
      <c r="H29" s="30" t="n">
        <v>213028</v>
      </c>
    </row>
    <row r="30" customFormat="false" ht="20.85" hidden="false" customHeight="false" outlineLevel="0" collapsed="false">
      <c r="A30" s="30"/>
      <c r="B30" s="30" t="s">
        <v>91</v>
      </c>
      <c r="C30" s="30" t="n">
        <v>95268</v>
      </c>
      <c r="D30" s="30" t="n">
        <v>415256</v>
      </c>
      <c r="E30" s="30" t="n">
        <v>4840</v>
      </c>
      <c r="F30" s="30" t="n">
        <v>7109</v>
      </c>
      <c r="G30" s="30" t="n">
        <v>10070</v>
      </c>
      <c r="H30" s="30" t="n">
        <v>532543</v>
      </c>
    </row>
    <row r="31" customFormat="false" ht="15.8" hidden="false" customHeight="false" outlineLevel="0" collapsed="false">
      <c r="A31" s="30"/>
      <c r="B31" s="30" t="s">
        <v>92</v>
      </c>
      <c r="C31" s="30" t="n">
        <v>370893</v>
      </c>
      <c r="D31" s="30" t="n">
        <v>432752</v>
      </c>
      <c r="E31" s="30" t="n">
        <v>21874</v>
      </c>
      <c r="F31" s="30" t="n">
        <v>32197</v>
      </c>
      <c r="G31" s="30" t="n">
        <v>46372</v>
      </c>
      <c r="H31" s="30" t="n">
        <v>904088</v>
      </c>
    </row>
    <row r="32" customFormat="false" ht="20.85" hidden="false" customHeight="false" outlineLevel="0" collapsed="false">
      <c r="A32" s="30" t="s">
        <v>93</v>
      </c>
      <c r="B32" s="30"/>
      <c r="C32" s="30"/>
      <c r="D32" s="30"/>
      <c r="E32" s="30"/>
      <c r="F32" s="30"/>
      <c r="G32" s="30"/>
      <c r="H32" s="30"/>
    </row>
    <row r="33" customFormat="false" ht="47.75" hidden="false" customHeight="false" outlineLevel="0" collapsed="false">
      <c r="A33" s="30"/>
      <c r="B33" s="30" t="s">
        <v>94</v>
      </c>
      <c r="C33" s="30" t="n">
        <v>35000</v>
      </c>
      <c r="D33" s="30" t="n">
        <v>35000</v>
      </c>
      <c r="E33" s="30" t="n">
        <v>35000</v>
      </c>
      <c r="F33" s="30" t="n">
        <v>35000</v>
      </c>
      <c r="G33" s="30" t="n">
        <v>35000</v>
      </c>
      <c r="H33" s="30" t="n">
        <v>175000</v>
      </c>
    </row>
    <row r="34" customFormat="false" ht="20.85" hidden="false" customHeight="false" outlineLevel="0" collapsed="false">
      <c r="A34" s="30"/>
      <c r="B34" s="30" t="s">
        <v>95</v>
      </c>
      <c r="C34" s="30" t="n">
        <v>135000</v>
      </c>
      <c r="D34" s="30" t="n">
        <v>135000</v>
      </c>
      <c r="E34" s="30" t="n">
        <v>135000</v>
      </c>
      <c r="F34" s="30" t="n">
        <v>135000</v>
      </c>
      <c r="G34" s="30" t="n">
        <v>135000</v>
      </c>
      <c r="H34" s="30" t="n">
        <v>675000</v>
      </c>
    </row>
    <row r="35" customFormat="false" ht="29.85" hidden="false" customHeight="false" outlineLevel="0" collapsed="false">
      <c r="A35" s="30"/>
      <c r="B35" s="30" t="s">
        <v>96</v>
      </c>
      <c r="C35" s="30" t="n">
        <v>4390957</v>
      </c>
      <c r="D35" s="30" t="n">
        <v>9304850</v>
      </c>
      <c r="E35" s="30" t="n">
        <v>209020</v>
      </c>
      <c r="F35" s="30" t="n">
        <v>219343</v>
      </c>
      <c r="G35" s="30" t="n">
        <v>233517</v>
      </c>
      <c r="H35" s="30" t="n">
        <v>14357687</v>
      </c>
    </row>
    <row r="36" customFormat="false" ht="29.85" hidden="false" customHeight="false" outlineLevel="0" collapsed="false">
      <c r="A36" s="30"/>
      <c r="B36" s="30" t="s">
        <v>96</v>
      </c>
      <c r="C36" s="30" t="n">
        <v>4347207</v>
      </c>
      <c r="D36" s="30" t="n">
        <v>9269850</v>
      </c>
      <c r="E36" s="30" t="n">
        <v>174020</v>
      </c>
      <c r="F36" s="30" t="n">
        <v>184343</v>
      </c>
      <c r="G36" s="30" t="n">
        <v>198517</v>
      </c>
      <c r="H36" s="31" t="n">
        <v>14173937</v>
      </c>
    </row>
    <row r="37" customFormat="false" ht="15.8" hidden="false" customHeight="false" outlineLevel="0" collapsed="false">
      <c r="A37" s="32"/>
      <c r="B37" s="32"/>
      <c r="C37" s="32"/>
      <c r="D37" s="32"/>
      <c r="E37" s="32"/>
      <c r="F37" s="32"/>
      <c r="G37" s="32"/>
      <c r="H37" s="32"/>
    </row>
  </sheetData>
  <mergeCells count="1">
    <mergeCell ref="A1:H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205"/>
  <sheetViews>
    <sheetView showFormulas="false" showGridLines="true" showRowColHeaders="true" showZeros="true" rightToLeft="false" tabSelected="false" showOutlineSymbols="true" defaultGridColor="true" view="normal" topLeftCell="C111" colorId="64" zoomScale="100" zoomScaleNormal="100" zoomScalePageLayoutView="100" workbookViewId="0">
      <selection pane="topLeft" activeCell="H127" activeCellId="1" sqref="B3:D14 H127"/>
    </sheetView>
  </sheetViews>
  <sheetFormatPr defaultColWidth="12.8046875" defaultRowHeight="12.8" zeroHeight="false" outlineLevelRow="0" outlineLevelCol="0"/>
  <cols>
    <col collapsed="false" customWidth="true" hidden="false" outlineLevel="0" max="1" min="1" style="1" width="22.07"/>
    <col collapsed="false" customWidth="true" hidden="false" outlineLevel="0" max="2" min="2" style="1" width="21.3"/>
    <col collapsed="false" customWidth="true" hidden="false" outlineLevel="0" max="3" min="3" style="10" width="40.91"/>
    <col collapsed="false" customWidth="true" hidden="false" outlineLevel="0" max="4" min="4" style="10" width="25.62"/>
    <col collapsed="false" customWidth="true" hidden="false" outlineLevel="0" max="8" min="8" style="0" width="18.83"/>
    <col collapsed="false" customWidth="true" hidden="false" outlineLevel="0" max="9" min="9" style="10" width="41.99"/>
    <col collapsed="false" customWidth="true" hidden="false" outlineLevel="0" max="10" min="10" style="0" width="18.06"/>
    <col collapsed="false" customWidth="true" hidden="false" outlineLevel="0" max="11" min="11" style="0" width="22.38"/>
  </cols>
  <sheetData>
    <row r="1" customFormat="false" ht="12.8" hidden="false" customHeight="false" outlineLevel="0" collapsed="false">
      <c r="A1" s="33" t="s">
        <v>97</v>
      </c>
      <c r="B1" s="34"/>
      <c r="C1" s="35"/>
      <c r="D1" s="35"/>
      <c r="E1" s="35"/>
      <c r="F1" s="35"/>
      <c r="G1" s="35"/>
      <c r="J1" s="2"/>
    </row>
    <row r="2" customFormat="false" ht="36.55" hidden="false" customHeight="false" outlineLevel="0" collapsed="false">
      <c r="A2" s="36" t="s">
        <v>98</v>
      </c>
      <c r="B2" s="37" t="n">
        <v>2900000</v>
      </c>
      <c r="C2" s="35"/>
      <c r="D2" s="38"/>
      <c r="E2" s="35"/>
      <c r="F2" s="35"/>
      <c r="G2" s="35"/>
      <c r="J2" s="2"/>
    </row>
    <row r="3" customFormat="false" ht="36.55" hidden="false" customHeight="false" outlineLevel="0" collapsed="false">
      <c r="A3" s="39" t="s">
        <v>99</v>
      </c>
      <c r="B3" s="37" t="n">
        <v>25000</v>
      </c>
      <c r="C3" s="35"/>
      <c r="D3" s="35"/>
      <c r="E3" s="35"/>
      <c r="F3" s="35"/>
      <c r="G3" s="40" t="n">
        <v>9249556.32</v>
      </c>
      <c r="J3" s="2"/>
    </row>
    <row r="4" customFormat="false" ht="36.55" hidden="false" customHeight="false" outlineLevel="0" collapsed="false">
      <c r="A4" s="39" t="s">
        <v>100</v>
      </c>
      <c r="B4" s="39" t="n">
        <v>500000</v>
      </c>
      <c r="C4" s="35"/>
      <c r="D4" s="35"/>
      <c r="E4" s="35"/>
      <c r="F4" s="35"/>
      <c r="G4" s="38" t="n">
        <v>2900000</v>
      </c>
      <c r="J4" s="2"/>
    </row>
    <row r="5" customFormat="false" ht="25.35" hidden="false" customHeight="false" outlineLevel="0" collapsed="false">
      <c r="A5" s="39" t="s">
        <v>101</v>
      </c>
      <c r="B5" s="39" t="n">
        <v>8500000</v>
      </c>
      <c r="C5" s="35"/>
      <c r="D5" s="35"/>
      <c r="E5" s="35"/>
      <c r="F5" s="35"/>
      <c r="G5" s="35"/>
      <c r="J5" s="2"/>
    </row>
    <row r="6" customFormat="false" ht="15.8" hidden="false" customHeight="false" outlineLevel="0" collapsed="false">
      <c r="A6" s="39" t="s">
        <v>102</v>
      </c>
      <c r="B6" s="39" t="n">
        <v>501000</v>
      </c>
      <c r="C6" s="35"/>
      <c r="D6" s="35"/>
      <c r="E6" s="35"/>
      <c r="F6" s="35"/>
      <c r="G6" s="35"/>
      <c r="J6" s="2"/>
    </row>
    <row r="7" customFormat="false" ht="15.8" hidden="false" customHeight="false" outlineLevel="0" collapsed="false">
      <c r="A7" s="39" t="s">
        <v>103</v>
      </c>
      <c r="B7" s="39" t="n">
        <v>337000</v>
      </c>
      <c r="C7" s="35"/>
      <c r="D7" s="35"/>
      <c r="E7" s="35"/>
      <c r="F7" s="35"/>
      <c r="G7" s="35"/>
      <c r="J7" s="2"/>
    </row>
    <row r="8" customFormat="false" ht="15.8" hidden="false" customHeight="false" outlineLevel="0" collapsed="false">
      <c r="A8" s="39" t="s">
        <v>104</v>
      </c>
      <c r="B8" s="39" t="n">
        <f aca="false">SUM(B2:B7)*0.1</f>
        <v>1276300</v>
      </c>
      <c r="C8" s="35"/>
      <c r="D8" s="35"/>
      <c r="E8" s="35"/>
      <c r="F8" s="35"/>
      <c r="G8" s="35"/>
      <c r="J8" s="2"/>
    </row>
    <row r="9" customFormat="false" ht="15.8" hidden="false" customHeight="false" outlineLevel="0" collapsed="false">
      <c r="A9" s="39" t="s">
        <v>105</v>
      </c>
      <c r="B9" s="39" t="n">
        <f aca="false">SUM(B2:B8)</f>
        <v>14039300</v>
      </c>
      <c r="C9" s="38"/>
      <c r="D9" s="35"/>
      <c r="E9" s="35"/>
      <c r="F9" s="35"/>
      <c r="G9" s="35"/>
      <c r="J9" s="2"/>
    </row>
    <row r="10" customFormat="false" ht="35.05" hidden="false" customHeight="false" outlineLevel="0" collapsed="false">
      <c r="A10" s="41" t="s">
        <v>106</v>
      </c>
      <c r="B10" s="42" t="s">
        <v>107</v>
      </c>
      <c r="C10" s="42" t="s">
        <v>108</v>
      </c>
      <c r="D10" s="42" t="s">
        <v>109</v>
      </c>
      <c r="E10" s="42" t="s">
        <v>110</v>
      </c>
      <c r="F10" s="42" t="s">
        <v>111</v>
      </c>
      <c r="G10" s="43" t="s">
        <v>20</v>
      </c>
      <c r="I10" s="44" t="s">
        <v>112</v>
      </c>
      <c r="J10" s="45" t="s">
        <v>27</v>
      </c>
      <c r="L10" s="0" t="s">
        <v>113</v>
      </c>
    </row>
    <row r="11" customFormat="false" ht="12.8" hidden="false" customHeight="false" outlineLevel="0" collapsed="false">
      <c r="A11" s="46" t="s">
        <v>114</v>
      </c>
      <c r="B11" s="47" t="n">
        <v>1319</v>
      </c>
      <c r="C11" s="47" t="n">
        <v>1365</v>
      </c>
      <c r="D11" s="47" t="n">
        <v>1413</v>
      </c>
      <c r="E11" s="47" t="n">
        <v>1462</v>
      </c>
      <c r="F11" s="47" t="n">
        <v>1514</v>
      </c>
      <c r="G11" s="48" t="n">
        <v>7073</v>
      </c>
      <c r="I11" s="49" t="s">
        <v>115</v>
      </c>
      <c r="J11" s="50"/>
      <c r="L11" s="0" t="s">
        <v>38</v>
      </c>
    </row>
    <row r="12" customFormat="false" ht="12.8" hidden="false" customHeight="false" outlineLevel="0" collapsed="false">
      <c r="A12" s="46" t="s">
        <v>116</v>
      </c>
      <c r="B12" s="47" t="n">
        <v>139</v>
      </c>
      <c r="C12" s="47" t="n">
        <v>374</v>
      </c>
      <c r="D12" s="47" t="n">
        <v>191</v>
      </c>
      <c r="E12" s="47" t="n">
        <v>505</v>
      </c>
      <c r="F12" s="47" t="n">
        <v>1681</v>
      </c>
      <c r="G12" s="48" t="n">
        <v>2890</v>
      </c>
      <c r="I12" s="51" t="s">
        <v>117</v>
      </c>
      <c r="J12" s="50" t="n">
        <v>1647</v>
      </c>
      <c r="L12" s="0" t="s">
        <v>118</v>
      </c>
    </row>
    <row r="13" customFormat="false" ht="12.8" hidden="false" customHeight="false" outlineLevel="0" collapsed="false">
      <c r="A13" s="46" t="s">
        <v>119</v>
      </c>
      <c r="B13" s="47" t="n">
        <v>0</v>
      </c>
      <c r="C13" s="47" t="n">
        <v>0</v>
      </c>
      <c r="D13" s="47" t="n">
        <v>112</v>
      </c>
      <c r="E13" s="47" t="n">
        <v>266</v>
      </c>
      <c r="F13" s="47" t="n">
        <v>387</v>
      </c>
      <c r="G13" s="48" t="n">
        <v>765</v>
      </c>
      <c r="I13" s="51" t="s">
        <v>120</v>
      </c>
      <c r="J13" s="50" t="n">
        <v>1272</v>
      </c>
      <c r="L13" s="0" t="s">
        <v>121</v>
      </c>
    </row>
    <row r="14" customFormat="false" ht="12.8" hidden="false" customHeight="false" outlineLevel="0" collapsed="false">
      <c r="A14" s="46" t="s">
        <v>122</v>
      </c>
      <c r="B14" s="47" t="n">
        <v>4318</v>
      </c>
      <c r="C14" s="47" t="n">
        <v>20</v>
      </c>
      <c r="D14" s="47" t="n">
        <v>20</v>
      </c>
      <c r="E14" s="47" t="n">
        <v>20</v>
      </c>
      <c r="F14" s="47" t="n">
        <v>20</v>
      </c>
      <c r="G14" s="48" t="n">
        <v>4398</v>
      </c>
      <c r="I14" s="51" t="s">
        <v>123</v>
      </c>
      <c r="J14" s="50" t="n">
        <v>59</v>
      </c>
      <c r="L14" s="0" t="s">
        <v>124</v>
      </c>
    </row>
    <row r="15" customFormat="false" ht="12.8" hidden="false" customHeight="false" outlineLevel="0" collapsed="false">
      <c r="A15" s="46" t="s">
        <v>125</v>
      </c>
      <c r="B15" s="47" t="n">
        <v>30297</v>
      </c>
      <c r="C15" s="1" t="n">
        <v>0</v>
      </c>
      <c r="D15" s="1" t="n">
        <v>0</v>
      </c>
      <c r="E15" s="1" t="n">
        <v>0</v>
      </c>
      <c r="F15" s="1" t="n">
        <v>0</v>
      </c>
      <c r="G15" s="50" t="n">
        <f aca="false">SUM(B15)</f>
        <v>30297</v>
      </c>
      <c r="I15" s="51" t="s">
        <v>126</v>
      </c>
      <c r="J15" s="50" t="n">
        <v>110</v>
      </c>
    </row>
    <row r="16" customFormat="false" ht="12.8" hidden="false" customHeight="false" outlineLevel="0" collapsed="false">
      <c r="A16" s="46" t="s">
        <v>127</v>
      </c>
      <c r="B16" s="50" t="n">
        <f aca="false">SUM(B11:B15)</f>
        <v>36073</v>
      </c>
      <c r="C16" s="50" t="n">
        <f aca="false">SUM(C11:C15)</f>
        <v>1759</v>
      </c>
      <c r="D16" s="50" t="n">
        <f aca="false">SUM(D11:D15)</f>
        <v>1736</v>
      </c>
      <c r="E16" s="50" t="n">
        <f aca="false">SUM(E11:E15)</f>
        <v>2253</v>
      </c>
      <c r="F16" s="50" t="n">
        <f aca="false">SUM(F11:F15)</f>
        <v>3602</v>
      </c>
      <c r="G16" s="50" t="n">
        <f aca="false">SUM(G11:G15)</f>
        <v>45423</v>
      </c>
      <c r="I16" s="51" t="s">
        <v>128</v>
      </c>
      <c r="J16" s="50" t="n">
        <v>3127</v>
      </c>
    </row>
    <row r="17" customFormat="false" ht="12.8" hidden="false" customHeight="false" outlineLevel="0" collapsed="false">
      <c r="A17" s="51"/>
      <c r="C17" s="1"/>
      <c r="D17" s="1"/>
      <c r="E17" s="1"/>
      <c r="F17" s="1"/>
      <c r="G17" s="52"/>
      <c r="I17" s="51" t="s">
        <v>129</v>
      </c>
      <c r="J17" s="50" t="n">
        <f aca="false">SUM(J12:J16)</f>
        <v>6215</v>
      </c>
    </row>
    <row r="18" customFormat="false" ht="35.05" hidden="false" customHeight="false" outlineLevel="0" collapsed="false">
      <c r="A18" s="46" t="s">
        <v>130</v>
      </c>
      <c r="B18" s="35" t="s">
        <v>107</v>
      </c>
      <c r="C18" s="35" t="s">
        <v>108</v>
      </c>
      <c r="D18" s="35" t="s">
        <v>109</v>
      </c>
      <c r="E18" s="35" t="s">
        <v>110</v>
      </c>
      <c r="F18" s="35" t="s">
        <v>111</v>
      </c>
      <c r="G18" s="53" t="s">
        <v>20</v>
      </c>
      <c r="I18" s="51" t="s">
        <v>131</v>
      </c>
      <c r="J18" s="50" t="n">
        <f aca="false">J17*1.206</f>
        <v>7495.29</v>
      </c>
    </row>
    <row r="19" customFormat="false" ht="12.8" hidden="false" customHeight="false" outlineLevel="0" collapsed="false">
      <c r="A19" s="46" t="s">
        <v>114</v>
      </c>
      <c r="B19" s="47" t="n">
        <v>998</v>
      </c>
      <c r="C19" s="47" t="n">
        <v>1033</v>
      </c>
      <c r="D19" s="47" t="n">
        <v>1069</v>
      </c>
      <c r="E19" s="47" t="n">
        <v>1107</v>
      </c>
      <c r="F19" s="47" t="n">
        <v>1145</v>
      </c>
      <c r="G19" s="48" t="n">
        <v>5352</v>
      </c>
      <c r="I19" s="51" t="s">
        <v>132</v>
      </c>
      <c r="J19" s="52" t="n">
        <v>10</v>
      </c>
    </row>
    <row r="20" customFormat="false" ht="12.8" hidden="false" customHeight="false" outlineLevel="0" collapsed="false">
      <c r="A20" s="46" t="s">
        <v>116</v>
      </c>
      <c r="B20" s="47" t="n">
        <v>233</v>
      </c>
      <c r="C20" s="47" t="n">
        <v>659</v>
      </c>
      <c r="D20" s="47" t="n">
        <v>358</v>
      </c>
      <c r="E20" s="47" t="n">
        <v>2107</v>
      </c>
      <c r="F20" s="47" t="n">
        <v>2145</v>
      </c>
      <c r="G20" s="48" t="n">
        <v>5502</v>
      </c>
      <c r="I20" s="49" t="s">
        <v>133</v>
      </c>
      <c r="J20" s="50" t="n">
        <f aca="false">J19*J18</f>
        <v>74952.9</v>
      </c>
    </row>
    <row r="21" customFormat="false" ht="12.8" hidden="false" customHeight="false" outlineLevel="0" collapsed="false">
      <c r="A21" s="46" t="s">
        <v>119</v>
      </c>
      <c r="B21" s="47" t="n">
        <v>0</v>
      </c>
      <c r="C21" s="47" t="n">
        <v>0</v>
      </c>
      <c r="D21" s="47" t="n">
        <v>126</v>
      </c>
      <c r="E21" s="47" t="n">
        <v>298</v>
      </c>
      <c r="F21" s="47" t="n">
        <v>433</v>
      </c>
      <c r="G21" s="48" t="n">
        <v>857</v>
      </c>
      <c r="I21" s="51"/>
      <c r="J21" s="50"/>
    </row>
    <row r="22" customFormat="false" ht="12.8" hidden="false" customHeight="false" outlineLevel="0" collapsed="false">
      <c r="A22" s="46" t="s">
        <v>122</v>
      </c>
      <c r="B22" s="47" t="n">
        <v>6964</v>
      </c>
      <c r="C22" s="47" t="n">
        <v>20</v>
      </c>
      <c r="D22" s="47" t="n">
        <v>20</v>
      </c>
      <c r="E22" s="47" t="n">
        <v>20</v>
      </c>
      <c r="F22" s="47" t="n">
        <v>20</v>
      </c>
      <c r="G22" s="48" t="n">
        <v>7044</v>
      </c>
      <c r="I22" s="51" t="s">
        <v>134</v>
      </c>
      <c r="J22" s="50" t="n">
        <f aca="false">J18*0.3</f>
        <v>2248.587</v>
      </c>
    </row>
    <row r="23" customFormat="false" ht="12.8" hidden="false" customHeight="false" outlineLevel="0" collapsed="false">
      <c r="A23" s="46" t="s">
        <v>125</v>
      </c>
      <c r="B23" s="54" t="n">
        <v>49995</v>
      </c>
      <c r="C23" s="1" t="n">
        <v>0</v>
      </c>
      <c r="D23" s="1" t="n">
        <v>0</v>
      </c>
      <c r="E23" s="1" t="n">
        <v>0</v>
      </c>
      <c r="F23" s="1" t="n">
        <v>0</v>
      </c>
      <c r="G23" s="50" t="n">
        <f aca="false">SUM(B23)</f>
        <v>49995</v>
      </c>
      <c r="I23" s="51" t="s">
        <v>135</v>
      </c>
      <c r="J23" s="50" t="n">
        <f aca="false">J18-J22</f>
        <v>5246.703</v>
      </c>
    </row>
    <row r="24" customFormat="false" ht="12.8" hidden="false" customHeight="false" outlineLevel="0" collapsed="false">
      <c r="A24" s="46" t="s">
        <v>127</v>
      </c>
      <c r="B24" s="55" t="n">
        <f aca="false">SUM(B19:B23)</f>
        <v>58190</v>
      </c>
      <c r="C24" s="55" t="n">
        <f aca="false">SUM(C19:C23)</f>
        <v>1712</v>
      </c>
      <c r="D24" s="55" t="n">
        <f aca="false">SUM(D19:D23)</f>
        <v>1573</v>
      </c>
      <c r="E24" s="55" t="n">
        <f aca="false">SUM(E19:E23)</f>
        <v>3532</v>
      </c>
      <c r="F24" s="55" t="n">
        <f aca="false">SUM(F19:F23)</f>
        <v>3743</v>
      </c>
      <c r="G24" s="55" t="n">
        <f aca="false">SUM(G19:G23)</f>
        <v>68750</v>
      </c>
      <c r="I24" s="49" t="s">
        <v>136</v>
      </c>
      <c r="J24" s="56" t="n">
        <f aca="false">J23*J19</f>
        <v>52467.03</v>
      </c>
    </row>
    <row r="25" customFormat="false" ht="12.8" hidden="false" customHeight="false" outlineLevel="0" collapsed="false">
      <c r="A25" s="46"/>
      <c r="C25" s="10" t="s">
        <v>137</v>
      </c>
      <c r="G25" s="57"/>
      <c r="I25" s="49" t="s">
        <v>138</v>
      </c>
      <c r="J25" s="56"/>
    </row>
    <row r="26" customFormat="false" ht="12.8" hidden="false" customHeight="false" outlineLevel="0" collapsed="false">
      <c r="A26" s="46" t="s">
        <v>139</v>
      </c>
      <c r="B26" s="2" t="n">
        <f aca="false">8*B16</f>
        <v>288584</v>
      </c>
      <c r="C26" s="58" t="n">
        <f aca="false">B15*8</f>
        <v>242376</v>
      </c>
      <c r="G26" s="57"/>
      <c r="I26" s="51"/>
      <c r="J26" s="50"/>
    </row>
    <row r="27" customFormat="false" ht="12.8" hidden="false" customHeight="false" outlineLevel="0" collapsed="false">
      <c r="A27" s="46" t="s">
        <v>140</v>
      </c>
      <c r="B27" s="2" t="n">
        <f aca="false">2*G24</f>
        <v>137500</v>
      </c>
      <c r="C27" s="58" t="n">
        <f aca="false">B23*2</f>
        <v>99990</v>
      </c>
      <c r="G27" s="57"/>
      <c r="I27" s="49" t="s">
        <v>141</v>
      </c>
      <c r="J27" s="50"/>
    </row>
    <row r="28" customFormat="false" ht="12.8" hidden="false" customHeight="false" outlineLevel="0" collapsed="false">
      <c r="A28" s="59" t="s">
        <v>142</v>
      </c>
      <c r="B28" s="60" t="n">
        <f aca="false">SUM(B26:B27)</f>
        <v>426084</v>
      </c>
      <c r="C28" s="61" t="n">
        <f aca="false">SUM(C26:C27)</f>
        <v>342366</v>
      </c>
      <c r="D28" s="62"/>
      <c r="E28" s="62"/>
      <c r="F28" s="62"/>
      <c r="G28" s="63"/>
      <c r="I28" s="51" t="s">
        <v>117</v>
      </c>
      <c r="J28" s="50" t="n">
        <v>11760</v>
      </c>
    </row>
    <row r="29" customFormat="false" ht="12.8" hidden="false" customHeight="false" outlineLevel="0" collapsed="false">
      <c r="A29" s="35"/>
      <c r="I29" s="51" t="s">
        <v>120</v>
      </c>
      <c r="J29" s="50" t="n">
        <v>16380</v>
      </c>
    </row>
    <row r="30" customFormat="false" ht="12.8" hidden="false" customHeight="false" outlineLevel="0" collapsed="false">
      <c r="A30" s="64"/>
      <c r="B30" s="65"/>
      <c r="C30" s="66"/>
      <c r="D30" s="67"/>
      <c r="E30" s="68"/>
      <c r="F30" s="2"/>
      <c r="G30" s="2"/>
      <c r="I30" s="51" t="s">
        <v>123</v>
      </c>
      <c r="J30" s="50" t="n">
        <v>105</v>
      </c>
    </row>
    <row r="31" customFormat="false" ht="12.8" hidden="false" customHeight="false" outlineLevel="0" collapsed="false">
      <c r="A31" s="64" t="s">
        <v>143</v>
      </c>
      <c r="B31" s="65"/>
      <c r="C31" s="66"/>
      <c r="D31" s="67"/>
      <c r="E31" s="68"/>
      <c r="F31" s="2"/>
      <c r="G31" s="2"/>
      <c r="I31" s="51" t="s">
        <v>126</v>
      </c>
      <c r="J31" s="50" t="n">
        <v>67</v>
      </c>
    </row>
    <row r="32" customFormat="false" ht="12.8" hidden="false" customHeight="false" outlineLevel="0" collapsed="false">
      <c r="A32" s="69" t="s">
        <v>144</v>
      </c>
      <c r="B32" s="69" t="s">
        <v>145</v>
      </c>
      <c r="C32" s="70"/>
      <c r="D32" s="70" t="s">
        <v>146</v>
      </c>
      <c r="E32" s="70"/>
      <c r="F32" s="2"/>
      <c r="G32" s="2"/>
      <c r="I32" s="51" t="s">
        <v>128</v>
      </c>
      <c r="J32" s="50" t="n">
        <v>75000</v>
      </c>
    </row>
    <row r="33" customFormat="false" ht="12.8" hidden="false" customHeight="false" outlineLevel="0" collapsed="false">
      <c r="A33" s="71"/>
      <c r="B33" s="71"/>
      <c r="C33" s="72"/>
      <c r="D33" s="72"/>
      <c r="E33" s="72"/>
      <c r="F33" s="2"/>
      <c r="G33" s="2"/>
      <c r="I33" s="51" t="s">
        <v>129</v>
      </c>
      <c r="J33" s="50" t="n">
        <f aca="false">SUM(J28:J32)</f>
        <v>103312</v>
      </c>
    </row>
    <row r="34" customFormat="false" ht="12.8" hidden="false" customHeight="false" outlineLevel="0" collapsed="false">
      <c r="A34" s="71"/>
      <c r="B34" s="71"/>
      <c r="C34" s="72"/>
      <c r="D34" s="72"/>
      <c r="E34" s="72"/>
      <c r="F34" s="2"/>
      <c r="G34" s="2"/>
      <c r="I34" s="51" t="s">
        <v>131</v>
      </c>
      <c r="J34" s="50" t="n">
        <f aca="false">J33*1.206</f>
        <v>124594.272</v>
      </c>
    </row>
    <row r="35" customFormat="false" ht="12.8" hidden="false" customHeight="false" outlineLevel="0" collapsed="false">
      <c r="A35" s="71"/>
      <c r="B35" s="71"/>
      <c r="C35" s="72"/>
      <c r="D35" s="72"/>
      <c r="E35" s="72"/>
      <c r="F35" s="2"/>
      <c r="G35" s="2"/>
      <c r="I35" s="51" t="s">
        <v>147</v>
      </c>
      <c r="J35" s="52" t="n">
        <v>3</v>
      </c>
    </row>
    <row r="36" customFormat="false" ht="17.35" hidden="false" customHeight="true" outlineLevel="0" collapsed="false">
      <c r="A36" s="73" t="s">
        <v>148</v>
      </c>
      <c r="B36" s="73"/>
      <c r="C36" s="73"/>
      <c r="D36" s="73"/>
      <c r="E36" s="73"/>
      <c r="F36" s="2"/>
      <c r="G36" s="2"/>
      <c r="I36" s="49" t="s">
        <v>133</v>
      </c>
      <c r="J36" s="50" t="n">
        <f aca="false">J35*J34</f>
        <v>373782.816</v>
      </c>
    </row>
    <row r="37" customFormat="false" ht="12.8" hidden="false" customHeight="false" outlineLevel="0" collapsed="false">
      <c r="A37" s="74"/>
      <c r="B37" s="74"/>
      <c r="C37" s="72"/>
      <c r="D37" s="72"/>
      <c r="E37" s="72"/>
      <c r="F37" s="2"/>
      <c r="G37" s="2"/>
      <c r="I37" s="51"/>
      <c r="J37" s="50"/>
    </row>
    <row r="38" customFormat="false" ht="12.8" hidden="false" customHeight="false" outlineLevel="0" collapsed="false">
      <c r="A38" s="75" t="s">
        <v>149</v>
      </c>
      <c r="B38" s="74"/>
      <c r="C38" s="76"/>
      <c r="D38" s="76" t="s">
        <v>150</v>
      </c>
      <c r="E38" s="72"/>
      <c r="F38" s="2"/>
      <c r="G38" s="2"/>
      <c r="I38" s="51" t="s">
        <v>134</v>
      </c>
      <c r="J38" s="50" t="n">
        <f aca="false">100000*0.3</f>
        <v>30000</v>
      </c>
    </row>
    <row r="39" customFormat="false" ht="12.8" hidden="false" customHeight="false" outlineLevel="0" collapsed="false">
      <c r="A39" s="71"/>
      <c r="B39" s="77"/>
      <c r="C39" s="78"/>
      <c r="D39" s="78"/>
      <c r="E39" s="72"/>
      <c r="F39" s="2"/>
      <c r="G39" s="2"/>
      <c r="I39" s="51" t="s">
        <v>135</v>
      </c>
      <c r="J39" s="50" t="n">
        <f aca="false">J34-J38</f>
        <v>94594.272</v>
      </c>
    </row>
    <row r="40" customFormat="false" ht="12.8" hidden="false" customHeight="false" outlineLevel="0" collapsed="false">
      <c r="A40" s="79" t="s">
        <v>151</v>
      </c>
      <c r="B40" s="77" t="s">
        <v>152</v>
      </c>
      <c r="C40" s="80"/>
      <c r="D40" s="81" t="n">
        <v>11475</v>
      </c>
      <c r="E40" s="72"/>
      <c r="F40" s="2"/>
      <c r="G40" s="2"/>
      <c r="I40" s="49" t="s">
        <v>136</v>
      </c>
      <c r="J40" s="56" t="n">
        <f aca="false">J39*J35</f>
        <v>283782.816</v>
      </c>
    </row>
    <row r="41" customFormat="false" ht="12.8" hidden="false" customHeight="false" outlineLevel="0" collapsed="false">
      <c r="A41" s="71"/>
      <c r="B41" s="77"/>
      <c r="C41" s="78"/>
      <c r="D41" s="82"/>
      <c r="E41" s="72"/>
      <c r="F41" s="2"/>
      <c r="G41" s="2"/>
      <c r="I41" s="51"/>
      <c r="J41" s="50"/>
    </row>
    <row r="42" customFormat="false" ht="12.8" hidden="false" customHeight="false" outlineLevel="0" collapsed="false">
      <c r="A42" s="79" t="s">
        <v>153</v>
      </c>
      <c r="B42" s="77" t="s">
        <v>154</v>
      </c>
      <c r="C42" s="80"/>
      <c r="D42" s="81" t="n">
        <v>1371300</v>
      </c>
      <c r="E42" s="72"/>
      <c r="F42" s="2"/>
      <c r="G42" s="2"/>
      <c r="I42" s="83" t="s">
        <v>155</v>
      </c>
      <c r="J42" s="84" t="n">
        <f aca="false">J40+J24</f>
        <v>336249.846</v>
      </c>
    </row>
    <row r="43" customFormat="false" ht="12.8" hidden="false" customHeight="false" outlineLevel="0" collapsed="false">
      <c r="A43" s="71"/>
      <c r="B43" s="77"/>
      <c r="C43" s="78"/>
      <c r="D43" s="82"/>
      <c r="E43" s="72"/>
      <c r="F43" s="2"/>
      <c r="G43" s="2"/>
    </row>
    <row r="44" customFormat="false" ht="12.8" hidden="false" customHeight="false" outlineLevel="0" collapsed="false">
      <c r="A44" s="79" t="s">
        <v>156</v>
      </c>
      <c r="B44" s="77" t="s">
        <v>157</v>
      </c>
      <c r="C44" s="80"/>
      <c r="D44" s="81" t="n">
        <v>341080</v>
      </c>
      <c r="E44" s="72"/>
      <c r="F44" s="2"/>
      <c r="G44" s="2"/>
    </row>
    <row r="45" customFormat="false" ht="12.8" hidden="false" customHeight="false" outlineLevel="0" collapsed="false">
      <c r="A45" s="71"/>
      <c r="B45" s="77"/>
      <c r="C45" s="78"/>
      <c r="D45" s="82"/>
      <c r="E45" s="72"/>
      <c r="F45" s="2"/>
      <c r="G45" s="2"/>
    </row>
    <row r="46" customFormat="false" ht="12.8" hidden="false" customHeight="false" outlineLevel="0" collapsed="false">
      <c r="A46" s="79" t="s">
        <v>158</v>
      </c>
      <c r="B46" s="77" t="s">
        <v>159</v>
      </c>
      <c r="C46" s="80"/>
      <c r="D46" s="81" t="n">
        <v>4156431</v>
      </c>
      <c r="E46" s="72"/>
      <c r="F46" s="2"/>
      <c r="G46" s="2"/>
    </row>
    <row r="47" customFormat="false" ht="12.8" hidden="false" customHeight="false" outlineLevel="0" collapsed="false">
      <c r="A47" s="71"/>
      <c r="B47" s="77"/>
      <c r="C47" s="78"/>
      <c r="D47" s="82"/>
      <c r="E47" s="72"/>
    </row>
    <row r="48" customFormat="false" ht="12.8" hidden="false" customHeight="false" outlineLevel="0" collapsed="false">
      <c r="A48" s="79" t="s">
        <v>160</v>
      </c>
      <c r="B48" s="77" t="s">
        <v>161</v>
      </c>
      <c r="C48" s="80"/>
      <c r="D48" s="81" t="n">
        <v>78000</v>
      </c>
      <c r="E48" s="72"/>
    </row>
    <row r="49" customFormat="false" ht="12.8" hidden="false" customHeight="false" outlineLevel="0" collapsed="false">
      <c r="A49" s="71"/>
      <c r="B49" s="77"/>
      <c r="C49" s="78"/>
      <c r="D49" s="82"/>
      <c r="E49" s="72"/>
    </row>
    <row r="50" customFormat="false" ht="12.8" hidden="false" customHeight="false" outlineLevel="0" collapsed="false">
      <c r="A50" s="79" t="s">
        <v>162</v>
      </c>
      <c r="B50" s="77"/>
      <c r="C50" s="80"/>
      <c r="D50" s="81" t="n">
        <v>58217</v>
      </c>
      <c r="E50" s="72"/>
    </row>
    <row r="51" customFormat="false" ht="12.8" hidden="false" customHeight="false" outlineLevel="0" collapsed="false">
      <c r="A51" s="71"/>
      <c r="B51" s="77"/>
      <c r="C51" s="78"/>
      <c r="D51" s="82"/>
      <c r="E51" s="72"/>
    </row>
    <row r="52" customFormat="false" ht="12.8" hidden="false" customHeight="false" outlineLevel="0" collapsed="false">
      <c r="A52" s="79" t="s">
        <v>163</v>
      </c>
      <c r="B52" s="77"/>
      <c r="C52" s="80"/>
      <c r="D52" s="81"/>
      <c r="E52" s="72"/>
    </row>
    <row r="53" customFormat="false" ht="12.8" hidden="false" customHeight="false" outlineLevel="0" collapsed="false">
      <c r="A53" s="71"/>
      <c r="B53" s="77"/>
      <c r="C53" s="78"/>
      <c r="D53" s="82"/>
      <c r="E53" s="72"/>
    </row>
    <row r="54" customFormat="false" ht="12.8" hidden="false" customHeight="false" outlineLevel="0" collapsed="false">
      <c r="A54" s="71" t="s">
        <v>164</v>
      </c>
      <c r="B54" s="77"/>
      <c r="C54" s="78"/>
      <c r="D54" s="82" t="n">
        <v>350000</v>
      </c>
      <c r="E54" s="72"/>
    </row>
    <row r="55" customFormat="false" ht="12.8" hidden="false" customHeight="false" outlineLevel="0" collapsed="false">
      <c r="A55" s="71"/>
      <c r="B55" s="77"/>
      <c r="C55" s="78"/>
      <c r="D55" s="82"/>
      <c r="E55" s="72"/>
    </row>
    <row r="56" customFormat="false" ht="12.8" hidden="false" customHeight="false" outlineLevel="0" collapsed="false">
      <c r="A56" s="79" t="s">
        <v>165</v>
      </c>
      <c r="B56" s="77"/>
      <c r="C56" s="80"/>
      <c r="D56" s="81" t="n">
        <v>279453</v>
      </c>
      <c r="E56" s="72"/>
    </row>
    <row r="57" customFormat="false" ht="12.8" hidden="false" customHeight="false" outlineLevel="0" collapsed="false">
      <c r="A57" s="79"/>
      <c r="B57" s="77"/>
      <c r="C57" s="80"/>
      <c r="D57" s="80"/>
      <c r="E57" s="72"/>
    </row>
    <row r="58" customFormat="false" ht="12.8" hidden="false" customHeight="false" outlineLevel="0" collapsed="false">
      <c r="A58" s="79" t="s">
        <v>166</v>
      </c>
      <c r="B58" s="77"/>
      <c r="C58" s="80"/>
      <c r="D58" s="81" t="n">
        <f aca="false">SUM(D40:D56)</f>
        <v>6645956</v>
      </c>
      <c r="E58" s="72"/>
    </row>
    <row r="59" customFormat="false" ht="12.8" hidden="false" customHeight="false" outlineLevel="0" collapsed="false">
      <c r="A59" s="79"/>
      <c r="B59" s="77"/>
      <c r="C59" s="80"/>
      <c r="D59" s="80"/>
      <c r="E59" s="72"/>
    </row>
    <row r="60" customFormat="false" ht="12.8" hidden="false" customHeight="false" outlineLevel="0" collapsed="false">
      <c r="A60" s="79" t="s">
        <v>167</v>
      </c>
      <c r="B60" s="77"/>
      <c r="C60" s="85" t="n">
        <v>0.04</v>
      </c>
      <c r="D60" s="80" t="n">
        <f aca="false">SUM(C60*D58)</f>
        <v>265838.24</v>
      </c>
      <c r="E60" s="72"/>
    </row>
    <row r="61" customFormat="false" ht="12.8" hidden="false" customHeight="false" outlineLevel="0" collapsed="false">
      <c r="A61" s="79"/>
      <c r="B61" s="77"/>
      <c r="C61" s="80"/>
      <c r="D61" s="80"/>
      <c r="E61" s="72"/>
    </row>
    <row r="62" customFormat="false" ht="12.8" hidden="false" customHeight="false" outlineLevel="0" collapsed="false">
      <c r="A62" s="79" t="s">
        <v>168</v>
      </c>
      <c r="B62" s="77"/>
      <c r="C62" s="85" t="n">
        <v>0.045</v>
      </c>
      <c r="D62" s="80" t="n">
        <f aca="false">SUM(D58+D60)*C62</f>
        <v>311030.7408</v>
      </c>
      <c r="E62" s="72"/>
    </row>
    <row r="63" customFormat="false" ht="12.8" hidden="false" customHeight="false" outlineLevel="0" collapsed="false">
      <c r="A63" s="86"/>
      <c r="B63" s="87"/>
      <c r="C63" s="88"/>
      <c r="D63" s="88"/>
      <c r="E63" s="89"/>
    </row>
    <row r="64" customFormat="false" ht="12.8" hidden="false" customHeight="false" outlineLevel="0" collapsed="false">
      <c r="A64" s="71"/>
      <c r="B64" s="77"/>
      <c r="C64" s="72"/>
      <c r="D64" s="72"/>
      <c r="E64" s="72"/>
    </row>
    <row r="65" customFormat="false" ht="12.8" hidden="false" customHeight="false" outlineLevel="0" collapsed="false">
      <c r="A65" s="90" t="s">
        <v>169</v>
      </c>
      <c r="B65" s="91"/>
      <c r="C65" s="92"/>
      <c r="D65" s="92" t="n">
        <f aca="false">SUM(D58:D62)</f>
        <v>7222824.9808</v>
      </c>
      <c r="E65" s="93"/>
    </row>
    <row r="66" customFormat="false" ht="12.8" hidden="false" customHeight="false" outlineLevel="0" collapsed="false">
      <c r="A66" s="94"/>
      <c r="B66" s="77"/>
      <c r="C66" s="95"/>
      <c r="D66" s="95"/>
      <c r="E66" s="72"/>
    </row>
    <row r="67" customFormat="false" ht="12.8" hidden="false" customHeight="false" outlineLevel="0" collapsed="false">
      <c r="A67" s="79" t="s">
        <v>170</v>
      </c>
      <c r="B67" s="77"/>
      <c r="C67" s="96" t="n">
        <v>0.075</v>
      </c>
      <c r="D67" s="95" t="n">
        <f aca="false">SUM(C67*D65)</f>
        <v>541711.87356</v>
      </c>
      <c r="E67" s="72"/>
    </row>
    <row r="68" customFormat="false" ht="12.8" hidden="false" customHeight="false" outlineLevel="0" collapsed="false">
      <c r="A68" s="77"/>
      <c r="B68" s="77"/>
      <c r="C68" s="72"/>
      <c r="D68" s="72"/>
      <c r="E68" s="72"/>
    </row>
    <row r="69" customFormat="false" ht="12.8" hidden="false" customHeight="false" outlineLevel="0" collapsed="false">
      <c r="A69" s="97" t="s">
        <v>171</v>
      </c>
      <c r="B69" s="98"/>
      <c r="C69" s="99" t="n">
        <v>0.05</v>
      </c>
      <c r="D69" s="100" t="n">
        <f aca="false">SUM(D65*C69)</f>
        <v>361141.24904</v>
      </c>
      <c r="E69" s="72"/>
    </row>
    <row r="70" customFormat="false" ht="12.8" hidden="false" customHeight="false" outlineLevel="0" collapsed="false">
      <c r="A70" s="97"/>
      <c r="B70" s="98"/>
      <c r="C70" s="72"/>
      <c r="D70" s="72"/>
      <c r="E70" s="72"/>
    </row>
    <row r="71" customFormat="false" ht="12.8" hidden="false" customHeight="false" outlineLevel="0" collapsed="false">
      <c r="A71" s="90" t="s">
        <v>172</v>
      </c>
      <c r="B71" s="91"/>
      <c r="C71" s="93"/>
      <c r="D71" s="40" t="n">
        <f aca="false">SUM(D65:D69)</f>
        <v>8125678.1034</v>
      </c>
      <c r="E71" s="93"/>
    </row>
    <row r="72" customFormat="false" ht="12.8" hidden="false" customHeight="false" outlineLevel="0" collapsed="false">
      <c r="D72" s="58" t="n">
        <f aca="false">D71</f>
        <v>8125678.1034</v>
      </c>
    </row>
    <row r="74" customFormat="false" ht="12.8" hidden="false" customHeight="false" outlineLevel="0" collapsed="false">
      <c r="D74" s="10" t="s">
        <v>33</v>
      </c>
      <c r="E74" s="0" t="s">
        <v>32</v>
      </c>
    </row>
    <row r="75" customFormat="false" ht="15.8" hidden="false" customHeight="false" outlineLevel="0" collapsed="false">
      <c r="C75" s="10" t="s">
        <v>173</v>
      </c>
      <c r="D75" s="58" t="n">
        <f aca="false">D67+D54+D50+D40+(0.25*(D56+D46))</f>
        <v>2070374.87356</v>
      </c>
      <c r="E75" s="58" t="n">
        <f aca="false">D176+D180+D186+D201</f>
        <v>124482.94</v>
      </c>
    </row>
    <row r="76" customFormat="false" ht="12.8" hidden="false" customHeight="false" outlineLevel="0" collapsed="false">
      <c r="C76" s="10" t="s">
        <v>174</v>
      </c>
      <c r="D76" s="58" t="n">
        <f aca="false">D71-D75</f>
        <v>6055303.22984</v>
      </c>
      <c r="E76" s="101" t="n">
        <f aca="false">D205-E75</f>
        <v>917655.44</v>
      </c>
    </row>
    <row r="80" customFormat="false" ht="12.8" hidden="false" customHeight="true" outlineLevel="0" collapsed="false">
      <c r="A80" s="102" t="s">
        <v>54</v>
      </c>
      <c r="B80" s="102"/>
      <c r="C80" s="102"/>
      <c r="D80" s="102"/>
      <c r="E80" s="102"/>
      <c r="F80" s="102"/>
      <c r="G80" s="102"/>
      <c r="H80" s="102"/>
    </row>
    <row r="81" customFormat="false" ht="23.85" hidden="false" customHeight="false" outlineLevel="0" collapsed="false">
      <c r="A81" s="103" t="s">
        <v>55</v>
      </c>
      <c r="B81" s="103" t="s">
        <v>56</v>
      </c>
      <c r="C81" s="103" t="s">
        <v>57</v>
      </c>
      <c r="D81" s="103" t="s">
        <v>58</v>
      </c>
      <c r="E81" s="103" t="s">
        <v>59</v>
      </c>
      <c r="F81" s="103" t="s">
        <v>60</v>
      </c>
      <c r="G81" s="103" t="s">
        <v>61</v>
      </c>
      <c r="H81" s="103" t="s">
        <v>62</v>
      </c>
    </row>
    <row r="82" customFormat="false" ht="15.8" hidden="false" customHeight="false" outlineLevel="0" collapsed="false">
      <c r="A82" s="103" t="s">
        <v>63</v>
      </c>
      <c r="B82" s="103" t="s">
        <v>64</v>
      </c>
      <c r="C82" s="104" t="n">
        <f aca="false">'Town Building Statistics'!B17</f>
        <v>15787.2</v>
      </c>
      <c r="D82" s="104" t="n">
        <f aca="false">'Town Building Statistics'!C17</f>
        <v>15787.2</v>
      </c>
      <c r="E82" s="104" t="n">
        <f aca="false">'Town Building Statistics'!D17</f>
        <v>15787.2</v>
      </c>
      <c r="F82" s="104" t="n">
        <f aca="false">'Town Building Statistics'!E17</f>
        <v>15787.2</v>
      </c>
      <c r="G82" s="104" t="n">
        <f aca="false">'Town Building Statistics'!F17</f>
        <v>15787.2</v>
      </c>
      <c r="H82" s="104" t="n">
        <f aca="false">SUM(C82:G82)</f>
        <v>78936</v>
      </c>
    </row>
    <row r="83" customFormat="false" ht="25.35" hidden="false" customHeight="false" outlineLevel="0" collapsed="false">
      <c r="A83" s="103"/>
      <c r="B83" s="103" t="s">
        <v>65</v>
      </c>
      <c r="C83" s="104" t="n">
        <f aca="false">'Town Building Statistics'!B16-'Town Building Statistics'!B17</f>
        <v>26000</v>
      </c>
      <c r="D83" s="104" t="n">
        <f aca="false">'Town Building Statistics'!C16-'Town Building Statistics'!C17</f>
        <v>26000</v>
      </c>
      <c r="E83" s="104" t="n">
        <f aca="false">'Town Building Statistics'!D16-'Town Building Statistics'!D17</f>
        <v>26000</v>
      </c>
      <c r="F83" s="104" t="n">
        <f aca="false">'Town Building Statistics'!E16-'Town Building Statistics'!E17</f>
        <v>26000</v>
      </c>
      <c r="G83" s="104" t="n">
        <f aca="false">'Town Building Statistics'!F16-'Town Building Statistics'!F17</f>
        <v>26000</v>
      </c>
      <c r="H83" s="104" t="n">
        <f aca="false">SUM(C83:G83)</f>
        <v>130000</v>
      </c>
    </row>
    <row r="84" customFormat="false" ht="23.85" hidden="false" customHeight="false" outlineLevel="0" collapsed="false">
      <c r="A84" s="104"/>
      <c r="B84" s="103" t="s">
        <v>66</v>
      </c>
      <c r="C84" s="103" t="n">
        <f aca="false">SUM(C82:C83)</f>
        <v>41787.2</v>
      </c>
      <c r="D84" s="103" t="n">
        <f aca="false">SUM(D82:D83)</f>
        <v>41787.2</v>
      </c>
      <c r="E84" s="103" t="n">
        <f aca="false">SUM(E82:E83)</f>
        <v>41787.2</v>
      </c>
      <c r="F84" s="103" t="n">
        <f aca="false">SUM(F82:F83)</f>
        <v>41787.2</v>
      </c>
      <c r="G84" s="103" t="n">
        <f aca="false">SUM(G82:G83)</f>
        <v>41787.2</v>
      </c>
      <c r="H84" s="103" t="n">
        <f aca="false">SUM(H82:H83)</f>
        <v>208936</v>
      </c>
    </row>
    <row r="85" customFormat="false" ht="25.35" hidden="false" customHeight="false" outlineLevel="0" collapsed="false">
      <c r="A85" s="103" t="s">
        <v>67</v>
      </c>
      <c r="B85" s="105" t="s">
        <v>68</v>
      </c>
      <c r="C85" s="104" t="n">
        <f aca="false">'Town Building Statistics'!B18</f>
        <v>10358.4</v>
      </c>
      <c r="D85" s="104" t="n">
        <f aca="false">'Town Building Statistics'!C18</f>
        <v>10358.4</v>
      </c>
      <c r="E85" s="104" t="n">
        <f aca="false">'Town Building Statistics'!D18</f>
        <v>10358.4</v>
      </c>
      <c r="F85" s="104" t="n">
        <f aca="false">'Town Building Statistics'!E18</f>
        <v>10358.4</v>
      </c>
      <c r="G85" s="104" t="n">
        <f aca="false">'Town Building Statistics'!F18</f>
        <v>10358.4</v>
      </c>
      <c r="H85" s="104" t="n">
        <f aca="false">SUM(C85:G85)</f>
        <v>51792</v>
      </c>
    </row>
    <row r="86" customFormat="false" ht="15.8" hidden="false" customHeight="false" outlineLevel="0" collapsed="false">
      <c r="A86" s="104"/>
      <c r="B86" s="103" t="s">
        <v>69</v>
      </c>
      <c r="C86" s="103" t="n">
        <f aca="false">C85</f>
        <v>10358.4</v>
      </c>
      <c r="D86" s="103" t="n">
        <f aca="false">D85</f>
        <v>10358.4</v>
      </c>
      <c r="E86" s="103" t="n">
        <f aca="false">E85</f>
        <v>10358.4</v>
      </c>
      <c r="F86" s="103" t="n">
        <f aca="false">F85</f>
        <v>10358.4</v>
      </c>
      <c r="G86" s="103" t="n">
        <f aca="false">G85</f>
        <v>10358.4</v>
      </c>
      <c r="H86" s="103" t="n">
        <f aca="false">H85</f>
        <v>51792</v>
      </c>
    </row>
    <row r="87" customFormat="false" ht="12.8" hidden="false" customHeight="false" outlineLevel="0" collapsed="false">
      <c r="A87" s="103" t="s">
        <v>175</v>
      </c>
      <c r="B87" s="104"/>
      <c r="C87" s="104"/>
      <c r="D87" s="104"/>
      <c r="E87" s="104"/>
      <c r="F87" s="104"/>
      <c r="G87" s="104"/>
      <c r="H87" s="104"/>
    </row>
    <row r="88" customFormat="false" ht="12.8" hidden="false" customHeight="false" outlineLevel="0" collapsed="false">
      <c r="A88" s="104"/>
      <c r="B88" s="103" t="s">
        <v>176</v>
      </c>
      <c r="C88" s="103" t="n">
        <v>0</v>
      </c>
      <c r="D88" s="103" t="n">
        <v>0</v>
      </c>
      <c r="E88" s="103" t="n">
        <v>0</v>
      </c>
      <c r="F88" s="103" t="n">
        <v>0</v>
      </c>
      <c r="G88" s="103" t="n">
        <v>0</v>
      </c>
      <c r="H88" s="103" t="n">
        <v>0</v>
      </c>
    </row>
    <row r="89" customFormat="false" ht="12.8" hidden="false" customHeight="false" outlineLevel="0" collapsed="false">
      <c r="A89" s="103" t="s">
        <v>70</v>
      </c>
      <c r="B89" s="0"/>
      <c r="C89" s="0"/>
      <c r="D89" s="0"/>
    </row>
    <row r="90" customFormat="false" ht="23.85" hidden="false" customHeight="false" outlineLevel="0" collapsed="false">
      <c r="A90" s="104"/>
      <c r="B90" s="103" t="s">
        <v>71</v>
      </c>
      <c r="C90" s="103" t="n">
        <f aca="false">(B15*8)*(1+D140+D141+D142)</f>
        <v>271266.019239496</v>
      </c>
      <c r="D90" s="103" t="n">
        <v>0</v>
      </c>
      <c r="E90" s="103" t="n">
        <v>0</v>
      </c>
      <c r="F90" s="103" t="n">
        <v>0</v>
      </c>
      <c r="G90" s="103" t="n">
        <v>0</v>
      </c>
      <c r="H90" s="103" t="n">
        <f aca="false">SUM(C90:G90)</f>
        <v>271266.019239496</v>
      </c>
    </row>
    <row r="91" customFormat="false" ht="25.35" hidden="false" customHeight="false" outlineLevel="0" collapsed="false">
      <c r="A91" s="104"/>
      <c r="B91" s="103" t="s">
        <v>72</v>
      </c>
      <c r="C91" s="103" t="n">
        <f aca="false">(B23*2)*(1+D140+D141+D142)</f>
        <v>111908.312967279</v>
      </c>
      <c r="D91" s="103" t="n">
        <v>0</v>
      </c>
      <c r="E91" s="103" t="n">
        <v>0</v>
      </c>
      <c r="F91" s="103" t="n">
        <v>0</v>
      </c>
      <c r="G91" s="103" t="n">
        <v>0</v>
      </c>
      <c r="H91" s="103" t="n">
        <f aca="false">SUM(C91:G91)</f>
        <v>111908.312967279</v>
      </c>
    </row>
    <row r="92" customFormat="false" ht="12.8" hidden="false" customHeight="false" outlineLevel="0" collapsed="false">
      <c r="A92" s="104"/>
      <c r="B92" s="104"/>
      <c r="C92" s="104"/>
      <c r="D92" s="104"/>
      <c r="E92" s="104"/>
      <c r="F92" s="104"/>
      <c r="G92" s="104"/>
      <c r="H92" s="104"/>
    </row>
    <row r="93" customFormat="false" ht="23.85" hidden="false" customHeight="false" outlineLevel="0" collapsed="false">
      <c r="A93" s="104"/>
      <c r="B93" s="103" t="s">
        <v>73</v>
      </c>
      <c r="C93" s="104" t="n">
        <f aca="false">SUM(C89:C91)</f>
        <v>383174.332206775</v>
      </c>
      <c r="D93" s="104" t="n">
        <f aca="false">SUM(D89:D91)</f>
        <v>0</v>
      </c>
      <c r="E93" s="104" t="n">
        <f aca="false">SUM(E89:E91)</f>
        <v>0</v>
      </c>
      <c r="F93" s="104" t="n">
        <f aca="false">SUM(F89:F91)</f>
        <v>0</v>
      </c>
      <c r="G93" s="104" t="n">
        <f aca="false">SUM(G89:G91)</f>
        <v>0</v>
      </c>
      <c r="H93" s="104" t="n">
        <f aca="false">SUM(C93:G93)</f>
        <v>383174.332206775</v>
      </c>
    </row>
    <row r="94" customFormat="false" ht="12.8" hidden="false" customHeight="false" outlineLevel="0" collapsed="false">
      <c r="A94" s="103"/>
      <c r="B94" s="106"/>
      <c r="C94" s="106"/>
      <c r="D94" s="106"/>
      <c r="E94" s="106"/>
      <c r="F94" s="106"/>
      <c r="G94" s="106"/>
      <c r="H94" s="106"/>
    </row>
    <row r="95" customFormat="false" ht="12.8" hidden="false" customHeight="false" outlineLevel="0" collapsed="false">
      <c r="A95" s="103"/>
      <c r="B95" s="106"/>
      <c r="C95" s="106"/>
      <c r="D95" s="106"/>
      <c r="E95" s="106"/>
      <c r="F95" s="106"/>
      <c r="G95" s="106"/>
      <c r="H95" s="106"/>
    </row>
    <row r="96" customFormat="false" ht="12.8" hidden="false" customHeight="true" outlineLevel="0" collapsed="false">
      <c r="A96" s="103" t="s">
        <v>54</v>
      </c>
      <c r="B96" s="103"/>
      <c r="C96" s="103"/>
      <c r="D96" s="103"/>
      <c r="E96" s="103"/>
      <c r="F96" s="103"/>
      <c r="G96" s="103"/>
      <c r="H96" s="103"/>
    </row>
    <row r="97" customFormat="false" ht="23.85" hidden="false" customHeight="false" outlineLevel="0" collapsed="false">
      <c r="A97" s="103" t="s">
        <v>55</v>
      </c>
      <c r="B97" s="103" t="s">
        <v>56</v>
      </c>
      <c r="C97" s="103" t="s">
        <v>57</v>
      </c>
      <c r="D97" s="103" t="s">
        <v>58</v>
      </c>
      <c r="E97" s="103" t="s">
        <v>59</v>
      </c>
      <c r="F97" s="103" t="s">
        <v>60</v>
      </c>
      <c r="G97" s="103" t="s">
        <v>61</v>
      </c>
      <c r="H97" s="103" t="s">
        <v>62</v>
      </c>
    </row>
    <row r="98" customFormat="false" ht="15.8" hidden="false" customHeight="false" outlineLevel="0" collapsed="false">
      <c r="A98" s="103" t="s">
        <v>177</v>
      </c>
      <c r="B98" s="104"/>
      <c r="C98" s="104"/>
      <c r="D98" s="104"/>
      <c r="E98" s="104"/>
      <c r="F98" s="104"/>
      <c r="G98" s="104"/>
      <c r="H98" s="104"/>
    </row>
    <row r="99" customFormat="false" ht="12.8" hidden="false" customHeight="false" outlineLevel="0" collapsed="false">
      <c r="A99" s="104"/>
      <c r="B99" s="104"/>
      <c r="C99" s="104"/>
      <c r="D99" s="104"/>
      <c r="E99" s="104"/>
      <c r="F99" s="104"/>
      <c r="G99" s="104"/>
      <c r="H99" s="104"/>
    </row>
    <row r="100" customFormat="false" ht="15.8" hidden="false" customHeight="false" outlineLevel="0" collapsed="false">
      <c r="A100" s="107"/>
      <c r="B100" s="108" t="s">
        <v>178</v>
      </c>
      <c r="C100" s="108" t="n">
        <v>0</v>
      </c>
      <c r="D100" s="108" t="n">
        <v>0</v>
      </c>
      <c r="E100" s="108" t="n">
        <v>0</v>
      </c>
      <c r="F100" s="108" t="n">
        <v>0</v>
      </c>
      <c r="G100" s="108" t="n">
        <v>0</v>
      </c>
      <c r="H100" s="108" t="n">
        <v>0</v>
      </c>
    </row>
    <row r="101" customFormat="false" ht="15.8" hidden="false" customHeight="false" outlineLevel="0" collapsed="false">
      <c r="A101" s="108" t="s">
        <v>74</v>
      </c>
      <c r="B101" s="107"/>
      <c r="C101" s="107"/>
      <c r="D101" s="107"/>
      <c r="E101" s="107"/>
      <c r="F101" s="107"/>
      <c r="G101" s="107"/>
      <c r="H101" s="108" t="s">
        <v>75</v>
      </c>
    </row>
    <row r="102" customFormat="false" ht="49.25" hidden="false" customHeight="false" outlineLevel="0" collapsed="false">
      <c r="A102" s="107"/>
      <c r="B102" s="108" t="s">
        <v>179</v>
      </c>
      <c r="C102" s="108" t="n">
        <f aca="false">'Town Building Statistics'!D7*0.5</f>
        <v>29777.5</v>
      </c>
      <c r="D102" s="108" t="n">
        <v>0</v>
      </c>
      <c r="E102" s="108" t="n">
        <v>0</v>
      </c>
      <c r="F102" s="108" t="n">
        <v>0</v>
      </c>
      <c r="G102" s="108" t="n">
        <v>0</v>
      </c>
      <c r="H102" s="108" t="n">
        <f aca="false">SUM(C102:G102)</f>
        <v>29777.5</v>
      </c>
    </row>
    <row r="103" customFormat="false" ht="63.4" hidden="false" customHeight="true" outlineLevel="0" collapsed="false">
      <c r="A103" s="107"/>
      <c r="B103" s="108" t="s">
        <v>77</v>
      </c>
      <c r="C103" s="108" t="n">
        <f aca="false">D75</f>
        <v>2070374.87356</v>
      </c>
      <c r="D103" s="108" t="n">
        <f aca="false">D76</f>
        <v>6055303.22984</v>
      </c>
      <c r="E103" s="108" t="n">
        <v>0</v>
      </c>
      <c r="F103" s="108" t="n">
        <v>0</v>
      </c>
      <c r="G103" s="108" t="n">
        <v>0</v>
      </c>
      <c r="H103" s="108" t="n">
        <f aca="false">SUM(C103:G103)</f>
        <v>8125678.1034</v>
      </c>
    </row>
    <row r="104" customFormat="false" ht="63.4" hidden="false" customHeight="true" outlineLevel="0" collapsed="false">
      <c r="A104" s="107"/>
      <c r="B104" s="108" t="s">
        <v>78</v>
      </c>
      <c r="C104" s="107" t="n">
        <f aca="false">E75</f>
        <v>124482.94</v>
      </c>
      <c r="D104" s="108" t="n">
        <f aca="false">E76</f>
        <v>917655.44</v>
      </c>
      <c r="E104" s="108" t="n">
        <v>0</v>
      </c>
      <c r="F104" s="108" t="n">
        <v>0</v>
      </c>
      <c r="G104" s="108" t="n">
        <v>0</v>
      </c>
      <c r="H104" s="108" t="n">
        <f aca="false">SUM(C104:G104)</f>
        <v>1042138.38</v>
      </c>
    </row>
    <row r="105" customFormat="false" ht="47.75" hidden="false" customHeight="false" outlineLevel="0" collapsed="false">
      <c r="A105" s="107"/>
      <c r="B105" s="108" t="s">
        <v>79</v>
      </c>
      <c r="C105" s="109" t="n">
        <v>0</v>
      </c>
      <c r="D105" s="109" t="n">
        <v>52470</v>
      </c>
      <c r="E105" s="108" t="n">
        <v>0</v>
      </c>
      <c r="F105" s="108" t="n">
        <v>0</v>
      </c>
      <c r="G105" s="108" t="n">
        <v>0</v>
      </c>
      <c r="H105" s="108" t="n">
        <f aca="false">SUM(C105:G105)</f>
        <v>52470</v>
      </c>
      <c r="L105" s="101"/>
    </row>
    <row r="106" customFormat="false" ht="36.55" hidden="false" customHeight="false" outlineLevel="0" collapsed="false">
      <c r="A106" s="107"/>
      <c r="B106" s="108" t="s">
        <v>80</v>
      </c>
      <c r="C106" s="109" t="n">
        <f aca="false">'EV Chargers'!B31</f>
        <v>472971.36</v>
      </c>
      <c r="D106" s="108" t="n">
        <v>0</v>
      </c>
      <c r="E106" s="108" t="n">
        <v>0</v>
      </c>
      <c r="F106" s="108" t="n">
        <v>0</v>
      </c>
      <c r="G106" s="108" t="n">
        <v>0</v>
      </c>
      <c r="H106" s="108" t="n">
        <f aca="false">SUM(C106:G106)</f>
        <v>472971.36</v>
      </c>
      <c r="L106" s="101"/>
    </row>
    <row r="107" customFormat="false" ht="36.55" hidden="false" customHeight="false" outlineLevel="0" collapsed="false">
      <c r="A107" s="107"/>
      <c r="B107" s="108" t="s">
        <v>81</v>
      </c>
      <c r="C107" s="107" t="n">
        <f aca="false">'Cost Efficency'!E18</f>
        <v>142978.723404255</v>
      </c>
      <c r="D107" s="108" t="n">
        <f aca="false">'Cost Efficency'!E5+'Cost Efficency'!E11</f>
        <v>185287.686158287</v>
      </c>
      <c r="E107" s="108" t="n">
        <v>0</v>
      </c>
      <c r="F107" s="108" t="n">
        <v>0</v>
      </c>
      <c r="G107" s="108" t="n">
        <v>0</v>
      </c>
      <c r="H107" s="108" t="n">
        <f aca="false">SUM(C107:G107)</f>
        <v>328266.409562543</v>
      </c>
      <c r="L107" s="101"/>
    </row>
    <row r="108" customFormat="false" ht="36.55" hidden="false" customHeight="false" outlineLevel="0" collapsed="false">
      <c r="A108" s="107"/>
      <c r="B108" s="108" t="s">
        <v>82</v>
      </c>
      <c r="C108" s="107" t="n">
        <v>0</v>
      </c>
      <c r="D108" s="108" t="n">
        <f aca="false">'Cost Efficency'!E22-(C107+D107)</f>
        <v>358286.890871654</v>
      </c>
      <c r="E108" s="108" t="n">
        <f aca="false">SUM(E97:E100)</f>
        <v>0</v>
      </c>
      <c r="F108" s="108" t="n">
        <f aca="false">SUM(F97:F100)</f>
        <v>0</v>
      </c>
      <c r="G108" s="108" t="n">
        <f aca="false">SUM(G97:G100)</f>
        <v>0</v>
      </c>
      <c r="H108" s="108" t="n">
        <f aca="false">SUM(C108:G108)</f>
        <v>358286.890871654</v>
      </c>
      <c r="L108" s="101"/>
    </row>
    <row r="109" customFormat="false" ht="47.75" hidden="false" customHeight="false" outlineLevel="0" collapsed="false">
      <c r="A109" s="107"/>
      <c r="B109" s="110" t="s">
        <v>83</v>
      </c>
      <c r="C109" s="107" t="n">
        <v>200000</v>
      </c>
      <c r="D109" s="108" t="n">
        <v>0</v>
      </c>
      <c r="E109" s="108" t="n">
        <v>0</v>
      </c>
      <c r="F109" s="108" t="n">
        <v>0</v>
      </c>
      <c r="G109" s="108" t="n">
        <v>0</v>
      </c>
      <c r="H109" s="108" t="n">
        <f aca="false">SUM(C109:G109)</f>
        <v>200000</v>
      </c>
      <c r="L109" s="101"/>
    </row>
    <row r="110" customFormat="false" ht="36.55" hidden="false" customHeight="false" outlineLevel="0" collapsed="false">
      <c r="A110" s="107"/>
      <c r="B110" s="110" t="s">
        <v>84</v>
      </c>
      <c r="C110" s="107" t="n">
        <v>0</v>
      </c>
      <c r="D110" s="108" t="n">
        <f aca="false">'Cost Efficency'!G26</f>
        <v>1115949.71519138</v>
      </c>
      <c r="E110" s="108" t="n">
        <v>0</v>
      </c>
      <c r="F110" s="108" t="n">
        <v>0</v>
      </c>
      <c r="G110" s="108" t="n">
        <v>0</v>
      </c>
      <c r="H110" s="108" t="n">
        <f aca="false">SUM(C110:G110)</f>
        <v>1115949.71519138</v>
      </c>
      <c r="L110" s="101"/>
    </row>
    <row r="111" customFormat="false" ht="36.55" hidden="false" customHeight="false" outlineLevel="0" collapsed="false">
      <c r="A111" s="107"/>
      <c r="B111" s="110" t="s">
        <v>85</v>
      </c>
      <c r="C111" s="107" t="n">
        <f aca="false">'Cost Efficency'!G25</f>
        <v>400408.007680046</v>
      </c>
      <c r="D111" s="108" t="n">
        <v>0</v>
      </c>
      <c r="E111" s="108" t="n">
        <v>0</v>
      </c>
      <c r="F111" s="108" t="n">
        <v>0</v>
      </c>
      <c r="G111" s="108" t="n">
        <v>0</v>
      </c>
      <c r="H111" s="108" t="n">
        <f aca="false">SUM(C111:G111)</f>
        <v>400408.007680046</v>
      </c>
      <c r="L111" s="101"/>
    </row>
    <row r="112" customFormat="false" ht="25.35" hidden="false" customHeight="false" outlineLevel="0" collapsed="false">
      <c r="A112" s="107"/>
      <c r="B112" s="108" t="s">
        <v>86</v>
      </c>
      <c r="C112" s="108" t="n">
        <f aca="false">SUM(C102:C111)</f>
        <v>3440993.4046443</v>
      </c>
      <c r="D112" s="108" t="n">
        <f aca="false">SUM(D102:D111)</f>
        <v>8684952.96206132</v>
      </c>
      <c r="E112" s="108" t="n">
        <f aca="false">SUM(E102:E111)</f>
        <v>0</v>
      </c>
      <c r="F112" s="108" t="n">
        <f aca="false">SUM(F102:F111)</f>
        <v>0</v>
      </c>
      <c r="G112" s="108" t="n">
        <f aca="false">SUM(G102:G111)</f>
        <v>0</v>
      </c>
      <c r="H112" s="108" t="n">
        <f aca="false">SUM(H102:H111)</f>
        <v>12125946.3667056</v>
      </c>
    </row>
    <row r="113" customFormat="false" ht="15.8" hidden="false" customHeight="false" outlineLevel="0" collapsed="false">
      <c r="A113" s="108" t="s">
        <v>87</v>
      </c>
      <c r="B113" s="107"/>
      <c r="C113" s="107"/>
      <c r="D113" s="107"/>
      <c r="E113" s="107"/>
      <c r="F113" s="107"/>
      <c r="G113" s="107"/>
      <c r="H113" s="108"/>
      <c r="L113" s="101"/>
    </row>
    <row r="114" customFormat="false" ht="36.55" hidden="false" customHeight="false" outlineLevel="0" collapsed="false">
      <c r="A114" s="107"/>
      <c r="B114" s="108" t="s">
        <v>88</v>
      </c>
      <c r="C114" s="108" t="n">
        <f aca="false">(B16-B15)*8</f>
        <v>46208</v>
      </c>
      <c r="D114" s="108" t="n">
        <f aca="false">(C16-C15)*8</f>
        <v>14072</v>
      </c>
      <c r="E114" s="108" t="n">
        <f aca="false">(D16-D15)*8</f>
        <v>13888</v>
      </c>
      <c r="F114" s="108" t="n">
        <f aca="false">(E16-E15)*8</f>
        <v>18024</v>
      </c>
      <c r="G114" s="108" t="n">
        <f aca="false">(F16-F15)*8</f>
        <v>28816</v>
      </c>
      <c r="H114" s="108" t="n">
        <f aca="false">SUM(C114:G114)</f>
        <v>121008</v>
      </c>
      <c r="L114" s="101"/>
    </row>
    <row r="115" customFormat="false" ht="36.55" hidden="false" customHeight="false" outlineLevel="0" collapsed="false">
      <c r="A115" s="108"/>
      <c r="B115" s="108" t="s">
        <v>89</v>
      </c>
      <c r="C115" s="108" t="n">
        <f aca="false">(B24-B23)*2</f>
        <v>16390</v>
      </c>
      <c r="D115" s="108" t="n">
        <f aca="false">(C24-C23)*2</f>
        <v>3424</v>
      </c>
      <c r="E115" s="108" t="n">
        <f aca="false">(D24-D23)*2</f>
        <v>3146</v>
      </c>
      <c r="F115" s="108" t="n">
        <f aca="false">(E24-E23)*2</f>
        <v>7064</v>
      </c>
      <c r="G115" s="108" t="n">
        <f aca="false">(F24-F23)*2</f>
        <v>7486</v>
      </c>
      <c r="H115" s="108" t="n">
        <f aca="false">SUM(C115:G115)</f>
        <v>37510</v>
      </c>
      <c r="I115" s="58" t="n">
        <f aca="false">H109+H108+H102</f>
        <v>588064.390871654</v>
      </c>
    </row>
    <row r="116" customFormat="false" ht="15.8" hidden="false" customHeight="false" outlineLevel="0" collapsed="false">
      <c r="A116" s="108"/>
      <c r="B116" s="111"/>
      <c r="C116" s="109"/>
      <c r="D116" s="109"/>
      <c r="E116" s="109"/>
      <c r="F116" s="109"/>
      <c r="G116" s="109"/>
      <c r="H116" s="109"/>
      <c r="I116" s="58" t="n">
        <v>1276300</v>
      </c>
    </row>
    <row r="117" customFormat="false" ht="15.8" hidden="false" customHeight="true" outlineLevel="0" collapsed="false">
      <c r="A117" s="108" t="s">
        <v>180</v>
      </c>
      <c r="B117" s="108"/>
      <c r="C117" s="108"/>
      <c r="D117" s="108"/>
      <c r="E117" s="108"/>
      <c r="F117" s="108"/>
      <c r="G117" s="108"/>
      <c r="H117" s="108"/>
    </row>
    <row r="118" customFormat="false" ht="25.35" hidden="false" customHeight="false" outlineLevel="0" collapsed="false">
      <c r="A118" s="108" t="s">
        <v>55</v>
      </c>
      <c r="B118" s="108" t="s">
        <v>56</v>
      </c>
      <c r="C118" s="108" t="s">
        <v>57</v>
      </c>
      <c r="D118" s="108" t="s">
        <v>58</v>
      </c>
      <c r="E118" s="108" t="s">
        <v>59</v>
      </c>
      <c r="F118" s="108" t="s">
        <v>60</v>
      </c>
      <c r="G118" s="108" t="s">
        <v>61</v>
      </c>
      <c r="H118" s="108" t="s">
        <v>62</v>
      </c>
    </row>
    <row r="119" customFormat="false" ht="36.55" hidden="false" customHeight="false" outlineLevel="0" collapsed="false">
      <c r="A119" s="107"/>
      <c r="B119" s="108" t="s">
        <v>90</v>
      </c>
      <c r="C119" s="107" t="n">
        <f aca="false">I119</f>
        <v>221777.51077562</v>
      </c>
      <c r="D119" s="108" t="n">
        <v>0</v>
      </c>
      <c r="E119" s="108" t="n">
        <v>0</v>
      </c>
      <c r="F119" s="108" t="n">
        <v>0</v>
      </c>
      <c r="G119" s="108" t="n">
        <v>0</v>
      </c>
      <c r="H119" s="108" t="n">
        <f aca="false">SUM(C119:G119)</f>
        <v>221777.51077562</v>
      </c>
      <c r="I119" s="58" t="n">
        <f aca="false">(((H116+H115+H114+H112+H100+H93+H126+H86+H84)-(H103+H104))*0.05)</f>
        <v>221777.51077562</v>
      </c>
    </row>
    <row r="120" customFormat="false" ht="15.8" hidden="false" customHeight="false" outlineLevel="0" collapsed="false">
      <c r="A120" s="107"/>
      <c r="B120" s="108" t="s">
        <v>91</v>
      </c>
      <c r="C120" s="107" t="n">
        <f aca="false">(C115+C114+C112+C100+C93+C88+C86+C84)*(D142)</f>
        <v>95267.6912664812</v>
      </c>
      <c r="D120" s="107" t="n">
        <f aca="false">(D115+D114+D112+D100+D93+D88+D86+D84)*(D143+D142)</f>
        <v>415255.808402799</v>
      </c>
      <c r="E120" s="107" t="n">
        <f aca="false">(E115+E114+E112+E100+E93+E88+E86+E84)*(D143+D142+D144)</f>
        <v>4840.3928426</v>
      </c>
      <c r="F120" s="107" t="n">
        <f aca="false">(F115+F114+F112+F100+F93+F88+F86+F84)*(D142+D143+D144+D145)</f>
        <v>7109.13662592</v>
      </c>
      <c r="G120" s="107" t="n">
        <f aca="false">(G115+G114+G112+G100+G93+G88+G86+G84)*(D142+D143+D144+D145+D146)</f>
        <v>10069.83001808</v>
      </c>
      <c r="H120" s="108" t="n">
        <f aca="false">SUM(C120:G120)</f>
        <v>532542.85915588</v>
      </c>
      <c r="I120" s="58"/>
    </row>
    <row r="121" customFormat="false" ht="15.8" hidden="false" customHeight="false" outlineLevel="0" collapsed="false">
      <c r="A121" s="107"/>
      <c r="B121" s="108"/>
      <c r="C121" s="107"/>
      <c r="D121" s="107"/>
      <c r="E121" s="107"/>
      <c r="F121" s="107"/>
      <c r="G121" s="107"/>
      <c r="H121" s="108"/>
      <c r="I121" s="58"/>
    </row>
    <row r="122" customFormat="false" ht="15.8" hidden="false" customHeight="false" outlineLevel="0" collapsed="false">
      <c r="A122" s="107"/>
      <c r="B122" s="108" t="s">
        <v>92</v>
      </c>
      <c r="C122" s="108" t="n">
        <f aca="false">SUM(C114:C116)+C119+C120</f>
        <v>379643.202042101</v>
      </c>
      <c r="D122" s="108" t="n">
        <f aca="false">SUM(D114:D116)+D119+D120</f>
        <v>432751.808402799</v>
      </c>
      <c r="E122" s="108" t="n">
        <f aca="false">SUM(E114:E116)+E119+E120</f>
        <v>21874.3928426</v>
      </c>
      <c r="F122" s="108" t="n">
        <f aca="false">SUM(F114:F116)+F119+F120</f>
        <v>32197.13662592</v>
      </c>
      <c r="G122" s="108" t="n">
        <f aca="false">SUM(G114:G116)+G119+G120</f>
        <v>46371.83001808</v>
      </c>
      <c r="H122" s="108" t="n">
        <f aca="false">SUM(H114:H116)+H119+H120</f>
        <v>912838.3699315</v>
      </c>
    </row>
    <row r="123" customFormat="false" ht="25.35" hidden="false" customHeight="false" outlineLevel="0" collapsed="false">
      <c r="A123" s="108" t="s">
        <v>93</v>
      </c>
      <c r="B123" s="107"/>
      <c r="C123" s="107"/>
      <c r="D123" s="107"/>
      <c r="E123" s="107"/>
      <c r="F123" s="107"/>
      <c r="G123" s="107"/>
      <c r="H123" s="107"/>
    </row>
    <row r="124" customFormat="false" ht="25.35" hidden="false" customHeight="false" outlineLevel="0" collapsed="false">
      <c r="A124" s="107"/>
      <c r="B124" s="108" t="s">
        <v>181</v>
      </c>
      <c r="C124" s="108" t="n">
        <v>100000</v>
      </c>
      <c r="D124" s="108" t="n">
        <v>100000</v>
      </c>
      <c r="E124" s="108" t="n">
        <v>100000</v>
      </c>
      <c r="F124" s="108" t="n">
        <v>100000</v>
      </c>
      <c r="G124" s="108" t="n">
        <v>100000</v>
      </c>
      <c r="H124" s="108" t="n">
        <f aca="false">SUM(C124:G124)</f>
        <v>500000</v>
      </c>
    </row>
    <row r="125" customFormat="false" ht="36.55" hidden="false" customHeight="false" outlineLevel="0" collapsed="false">
      <c r="A125" s="107"/>
      <c r="B125" s="108" t="s">
        <v>94</v>
      </c>
      <c r="C125" s="108" t="n">
        <v>35000</v>
      </c>
      <c r="D125" s="108" t="n">
        <v>35000</v>
      </c>
      <c r="E125" s="108" t="n">
        <v>35000</v>
      </c>
      <c r="F125" s="108" t="n">
        <v>35000</v>
      </c>
      <c r="G125" s="108" t="n">
        <v>35000</v>
      </c>
      <c r="H125" s="108" t="n">
        <f aca="false">SUM(C125:G125)</f>
        <v>175000</v>
      </c>
    </row>
    <row r="126" customFormat="false" ht="15.8" hidden="false" customHeight="false" outlineLevel="0" collapsed="false">
      <c r="A126" s="107"/>
      <c r="B126" s="108" t="s">
        <v>95</v>
      </c>
      <c r="C126" s="108" t="n">
        <f aca="false">C124+C125</f>
        <v>135000</v>
      </c>
      <c r="D126" s="108" t="n">
        <f aca="false">D124+D125</f>
        <v>135000</v>
      </c>
      <c r="E126" s="108" t="n">
        <f aca="false">E124+E125</f>
        <v>135000</v>
      </c>
      <c r="F126" s="108" t="n">
        <f aca="false">F124+F125</f>
        <v>135000</v>
      </c>
      <c r="G126" s="108" t="n">
        <f aca="false">G124+G125</f>
        <v>135000</v>
      </c>
      <c r="H126" s="108" t="n">
        <f aca="false">SUM(C126:G126)</f>
        <v>675000</v>
      </c>
    </row>
    <row r="127" customFormat="false" ht="25.35" hidden="false" customHeight="false" outlineLevel="0" collapsed="false">
      <c r="A127" s="107"/>
      <c r="B127" s="108" t="s">
        <v>96</v>
      </c>
      <c r="C127" s="108" t="n">
        <f aca="false">C122+C112+C100+C93+C126+C88+C86+C84</f>
        <v>4390956.53889318</v>
      </c>
      <c r="D127" s="108" t="n">
        <f aca="false">D122+D112+D100+D93+D126+D88+D86+D84</f>
        <v>9304850.37046412</v>
      </c>
      <c r="E127" s="108" t="n">
        <f aca="false">E122+E112+E100+E93+E126+E88+E86+E84</f>
        <v>209019.9928426</v>
      </c>
      <c r="F127" s="108" t="n">
        <f aca="false">F122+F112+F100+F93+F126+F88+F86+F84</f>
        <v>219342.73662592</v>
      </c>
      <c r="G127" s="108" t="n">
        <f aca="false">G122+G112+G100+G93+G126+G88+G86+G84</f>
        <v>233517.43001808</v>
      </c>
      <c r="H127" s="108" t="n">
        <f aca="false">H122+H112+H100+H93+H126+H88+H86+H84</f>
        <v>14357687.0688439</v>
      </c>
      <c r="I127" s="58" t="n">
        <f aca="false">SUM(C127:G127)</f>
        <v>14357687.0688439</v>
      </c>
    </row>
    <row r="128" customFormat="false" ht="12.8" hidden="false" customHeight="false" outlineLevel="0" collapsed="false">
      <c r="H128" s="101" t="n">
        <f aca="false">B9-H127</f>
        <v>-318387.068843901</v>
      </c>
      <c r="I128" s="10" t="s">
        <v>182</v>
      </c>
      <c r="J128" s="101" t="n">
        <f aca="false">H124+H119+H120+H83+H82</f>
        <v>1463256.3699315</v>
      </c>
    </row>
    <row r="138" customFormat="false" ht="12.8" hidden="false" customHeight="false" outlineLevel="0" collapsed="false">
      <c r="A138" s="1" t="s">
        <v>183</v>
      </c>
      <c r="B138" s="2"/>
      <c r="C138" s="10" t="s">
        <v>184</v>
      </c>
      <c r="D138" s="10" t="s">
        <v>185</v>
      </c>
    </row>
    <row r="139" customFormat="false" ht="12.8" hidden="false" customHeight="false" outlineLevel="0" collapsed="false">
      <c r="A139" s="0" t="n">
        <v>2022</v>
      </c>
      <c r="B139" s="2" t="n">
        <v>1000</v>
      </c>
      <c r="C139" s="10" t="s">
        <v>186</v>
      </c>
      <c r="D139" s="0"/>
    </row>
    <row r="140" customFormat="false" ht="12.8" hidden="false" customHeight="false" outlineLevel="0" collapsed="false">
      <c r="A140" s="1" t="n">
        <v>2023</v>
      </c>
      <c r="B140" s="112" t="n">
        <v>1064.1</v>
      </c>
      <c r="C140" s="10" t="s">
        <v>187</v>
      </c>
      <c r="D140" s="10" t="n">
        <f aca="false">(B140-B139)/B139</f>
        <v>0.0640999999999999</v>
      </c>
    </row>
    <row r="141" customFormat="false" ht="12.8" hidden="false" customHeight="false" outlineLevel="0" collapsed="false">
      <c r="A141" s="1" t="n">
        <v>2024</v>
      </c>
      <c r="B141" s="112" t="n">
        <v>1096.99</v>
      </c>
      <c r="C141" s="10" t="s">
        <v>187</v>
      </c>
      <c r="D141" s="10" t="n">
        <f aca="false">(1096.99-1064.1)/1064.1</f>
        <v>0.030908749177709</v>
      </c>
    </row>
    <row r="142" customFormat="false" ht="12.8" hidden="false" customHeight="false" outlineLevel="0" collapsed="false">
      <c r="A142" s="1" t="n">
        <v>2025</v>
      </c>
      <c r="B142" s="2" t="n">
        <f aca="false">B141*(D142+1)</f>
        <v>1123.522129237</v>
      </c>
      <c r="C142" s="10" t="s">
        <v>188</v>
      </c>
      <c r="D142" s="10" t="n">
        <v>0.0241863</v>
      </c>
    </row>
    <row r="143" customFormat="false" ht="12.8" hidden="false" customHeight="false" outlineLevel="0" collapsed="false">
      <c r="A143" s="1" t="n">
        <v>2026</v>
      </c>
      <c r="B143" s="2" t="n">
        <f aca="false">B142*(D143+1)</f>
        <v>1149.64019876652</v>
      </c>
      <c r="C143" s="10" t="s">
        <v>189</v>
      </c>
      <c r="D143" s="10" t="n">
        <v>0.0232466</v>
      </c>
    </row>
    <row r="144" customFormat="false" ht="14.65" hidden="false" customHeight="false" outlineLevel="0" collapsed="false">
      <c r="A144" s="1" t="n">
        <v>2027</v>
      </c>
      <c r="B144" s="2" t="n">
        <f aca="false">B143*(D144+1)</f>
        <v>1175.54803042984</v>
      </c>
      <c r="C144" s="10" t="s">
        <v>190</v>
      </c>
      <c r="D144" s="10" t="n">
        <v>0.0225356</v>
      </c>
    </row>
    <row r="145" customFormat="false" ht="14.65" hidden="false" customHeight="false" outlineLevel="0" collapsed="false">
      <c r="A145" s="1" t="n">
        <v>2028</v>
      </c>
      <c r="B145" s="2" t="n">
        <f aca="false">B144*(D145+1)</f>
        <v>1201.5026027293</v>
      </c>
      <c r="C145" s="10" t="s">
        <v>191</v>
      </c>
      <c r="D145" s="10" t="n">
        <v>0.0220787</v>
      </c>
    </row>
    <row r="146" customFormat="false" ht="14.65" hidden="false" customHeight="false" outlineLevel="0" collapsed="false">
      <c r="A146" s="1" t="n">
        <v>2029</v>
      </c>
      <c r="B146" s="2" t="n">
        <f aca="false">B145*(D146+1)</f>
        <v>1227.69968487816</v>
      </c>
      <c r="C146" s="10" t="s">
        <v>192</v>
      </c>
      <c r="D146" s="10" t="n">
        <v>0.0218036</v>
      </c>
    </row>
    <row r="147" customFormat="false" ht="14.65" hidden="false" customHeight="false" outlineLevel="0" collapsed="false"/>
    <row r="161" customFormat="false" ht="15.8" hidden="false" customHeight="false" outlineLevel="0" collapsed="false">
      <c r="A161" s="1" t="s">
        <v>193</v>
      </c>
    </row>
    <row r="162" customFormat="false" ht="15.8" hidden="false" customHeight="false" outlineLevel="0" collapsed="false">
      <c r="A162" s="1" t="s">
        <v>194</v>
      </c>
    </row>
    <row r="163" customFormat="false" ht="15.8" hidden="false" customHeight="false" outlineLevel="0" collapsed="false">
      <c r="A163" s="1" t="s">
        <v>195</v>
      </c>
    </row>
    <row r="164" customFormat="false" ht="15.8" hidden="false" customHeight="false" outlineLevel="0" collapsed="false">
      <c r="A164" s="1" t="s">
        <v>196</v>
      </c>
    </row>
    <row r="165" customFormat="false" ht="15.8" hidden="false" customHeight="false" outlineLevel="0" collapsed="false"/>
    <row r="166" customFormat="false" ht="15.8" hidden="false" customHeight="false" outlineLevel="0" collapsed="false">
      <c r="A166" s="1" t="s">
        <v>197</v>
      </c>
    </row>
    <row r="167" customFormat="false" ht="15.8" hidden="false" customHeight="false" outlineLevel="0" collapsed="false"/>
    <row r="168" customFormat="false" ht="15.8" hidden="false" customHeight="false" outlineLevel="0" collapsed="false">
      <c r="A168" s="1" t="s">
        <v>198</v>
      </c>
      <c r="B168" s="1" t="s">
        <v>199</v>
      </c>
      <c r="D168" s="10" t="s">
        <v>146</v>
      </c>
    </row>
    <row r="169" customFormat="false" ht="15.8" hidden="false" customHeight="false" outlineLevel="0" collapsed="false"/>
    <row r="170" customFormat="false" ht="15.8" hidden="false" customHeight="false" outlineLevel="0" collapsed="false"/>
    <row r="171" customFormat="false" ht="15.8" hidden="false" customHeight="false" outlineLevel="0" collapsed="false"/>
    <row r="172" customFormat="false" ht="15.8" hidden="false" customHeight="false" outlineLevel="0" collapsed="false">
      <c r="A172" s="1" t="s">
        <v>200</v>
      </c>
    </row>
    <row r="173" customFormat="false" ht="15.8" hidden="false" customHeight="false" outlineLevel="0" collapsed="false"/>
    <row r="174" customFormat="false" ht="15.8" hidden="false" customHeight="false" outlineLevel="0" collapsed="false">
      <c r="A174" s="1" t="s">
        <v>201</v>
      </c>
      <c r="D174" s="10" t="s">
        <v>150</v>
      </c>
    </row>
    <row r="175" customFormat="false" ht="15.8" hidden="false" customHeight="false" outlineLevel="0" collapsed="false"/>
    <row r="176" customFormat="false" ht="15.8" hidden="false" customHeight="false" outlineLevel="0" collapsed="false">
      <c r="A176" s="1" t="s">
        <v>202</v>
      </c>
      <c r="B176" s="1" t="s">
        <v>203</v>
      </c>
      <c r="D176" s="58" t="n">
        <v>1686.4</v>
      </c>
    </row>
    <row r="177" customFormat="false" ht="15.8" hidden="false" customHeight="false" outlineLevel="0" collapsed="false">
      <c r="D177" s="10" t="s">
        <v>204</v>
      </c>
    </row>
    <row r="178" customFormat="false" ht="15.8" hidden="false" customHeight="false" outlineLevel="0" collapsed="false">
      <c r="A178" s="1" t="s">
        <v>205</v>
      </c>
      <c r="B178" s="1" t="s">
        <v>206</v>
      </c>
      <c r="D178" s="58" t="n">
        <v>186558</v>
      </c>
    </row>
    <row r="179" customFormat="false" ht="15.8" hidden="false" customHeight="false" outlineLevel="0" collapsed="false">
      <c r="D179" s="10" t="s">
        <v>204</v>
      </c>
    </row>
    <row r="180" customFormat="false" ht="15.8" hidden="false" customHeight="false" outlineLevel="0" collapsed="false">
      <c r="A180" s="1" t="s">
        <v>207</v>
      </c>
      <c r="B180" s="1" t="s">
        <v>208</v>
      </c>
      <c r="D180" s="58" t="n">
        <v>45546.47</v>
      </c>
    </row>
    <row r="181" customFormat="false" ht="15.8" hidden="false" customHeight="false" outlineLevel="0" collapsed="false">
      <c r="D181" s="10" t="s">
        <v>204</v>
      </c>
    </row>
    <row r="182" customFormat="false" ht="15.8" hidden="false" customHeight="false" outlineLevel="0" collapsed="false">
      <c r="A182" s="1" t="s">
        <v>209</v>
      </c>
      <c r="B182" s="1" t="s">
        <v>210</v>
      </c>
      <c r="D182" s="58" t="n">
        <v>555033.36</v>
      </c>
    </row>
    <row r="183" customFormat="false" ht="15.8" hidden="false" customHeight="false" outlineLevel="0" collapsed="false">
      <c r="D183" s="10" t="s">
        <v>204</v>
      </c>
    </row>
    <row r="184" customFormat="false" ht="15.8" hidden="false" customHeight="false" outlineLevel="0" collapsed="false">
      <c r="A184" s="1" t="s">
        <v>211</v>
      </c>
      <c r="B184" s="1" t="s">
        <v>212</v>
      </c>
      <c r="D184" s="58" t="n">
        <v>18445</v>
      </c>
    </row>
    <row r="185" customFormat="false" ht="15.8" hidden="false" customHeight="false" outlineLevel="0" collapsed="false">
      <c r="D185" s="10" t="s">
        <v>204</v>
      </c>
    </row>
    <row r="186" customFormat="false" ht="15.8" hidden="false" customHeight="false" outlineLevel="0" collapsed="false">
      <c r="A186" s="1" t="s">
        <v>213</v>
      </c>
      <c r="D186" s="58" t="n">
        <v>7774.07</v>
      </c>
    </row>
    <row r="187" customFormat="false" ht="15.8" hidden="false" customHeight="false" outlineLevel="0" collapsed="false"/>
    <row r="188" customFormat="false" ht="15.8" hidden="false" customHeight="false" outlineLevel="0" collapsed="false">
      <c r="A188" s="1" t="s">
        <v>214</v>
      </c>
    </row>
    <row r="189" customFormat="false" ht="15.8" hidden="false" customHeight="false" outlineLevel="0" collapsed="false"/>
    <row r="190" customFormat="false" ht="15.8" hidden="false" customHeight="false" outlineLevel="0" collapsed="false">
      <c r="A190" s="1" t="s">
        <v>215</v>
      </c>
      <c r="D190" s="58" t="n">
        <v>37317.05</v>
      </c>
    </row>
    <row r="191" customFormat="false" ht="15.8" hidden="false" customHeight="false" outlineLevel="0" collapsed="false"/>
    <row r="192" customFormat="false" ht="15.8" hidden="false" customHeight="false" outlineLevel="0" collapsed="false">
      <c r="A192" s="1" t="s">
        <v>216</v>
      </c>
      <c r="D192" s="58" t="n">
        <v>852360.35</v>
      </c>
    </row>
    <row r="193" customFormat="false" ht="15.8" hidden="false" customHeight="false" outlineLevel="0" collapsed="false"/>
    <row r="194" customFormat="false" ht="15.8" hidden="false" customHeight="false" outlineLevel="0" collapsed="false">
      <c r="A194" s="1" t="s">
        <v>217</v>
      </c>
      <c r="C194" s="113" t="n">
        <v>0.04</v>
      </c>
      <c r="D194" s="10" t="n">
        <v>34094</v>
      </c>
    </row>
    <row r="195" customFormat="false" ht="15.8" hidden="false" customHeight="false" outlineLevel="0" collapsed="false"/>
    <row r="196" customFormat="false" ht="15.8" hidden="false" customHeight="false" outlineLevel="0" collapsed="false">
      <c r="A196" s="1" t="s">
        <v>218</v>
      </c>
      <c r="C196" s="113" t="n">
        <v>0.045</v>
      </c>
      <c r="D196" s="10" t="n">
        <v>39890</v>
      </c>
    </row>
    <row r="197" customFormat="false" ht="15.8" hidden="false" customHeight="false" outlineLevel="0" collapsed="false"/>
    <row r="198" customFormat="false" ht="15.8" hidden="false" customHeight="false" outlineLevel="0" collapsed="false"/>
    <row r="199" customFormat="false" ht="15.8" hidden="false" customHeight="false" outlineLevel="0" collapsed="false">
      <c r="A199" s="1" t="s">
        <v>219</v>
      </c>
      <c r="D199" s="58" t="n">
        <v>926345</v>
      </c>
    </row>
    <row r="200" customFormat="false" ht="15.8" hidden="false" customHeight="false" outlineLevel="0" collapsed="false"/>
    <row r="201" customFormat="false" ht="15.8" hidden="false" customHeight="false" outlineLevel="0" collapsed="false">
      <c r="A201" s="1" t="s">
        <v>220</v>
      </c>
      <c r="C201" s="113" t="n">
        <v>0.075</v>
      </c>
      <c r="D201" s="58" t="n">
        <v>69476</v>
      </c>
    </row>
    <row r="202" customFormat="false" ht="15.8" hidden="false" customHeight="false" outlineLevel="0" collapsed="false"/>
    <row r="203" customFormat="false" ht="15.8" hidden="false" customHeight="false" outlineLevel="0" collapsed="false">
      <c r="A203" s="1" t="s">
        <v>221</v>
      </c>
      <c r="C203" s="113" t="n">
        <v>0.05</v>
      </c>
      <c r="D203" s="58" t="n">
        <v>46317.26</v>
      </c>
    </row>
    <row r="204" customFormat="false" ht="15.8" hidden="false" customHeight="false" outlineLevel="0" collapsed="false"/>
    <row r="205" customFormat="false" ht="15.8" hidden="false" customHeight="false" outlineLevel="0" collapsed="false">
      <c r="A205" s="1" t="s">
        <v>222</v>
      </c>
      <c r="D205" s="58" t="n">
        <v>1042138.38</v>
      </c>
    </row>
  </sheetData>
  <mergeCells count="4">
    <mergeCell ref="A36:E36"/>
    <mergeCell ref="A80:H80"/>
    <mergeCell ref="A96:H96"/>
    <mergeCell ref="A117:H117"/>
  </mergeCells>
  <hyperlinks>
    <hyperlink ref="I10" r:id="rId1" display="Item (Source)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D471"/>
  <sheetViews>
    <sheetView showFormulas="false" showGridLines="true" showRowColHeaders="true" showZeros="true" rightToLeft="false" tabSelected="false" showOutlineSymbols="true" defaultGridColor="true" view="normal" topLeftCell="C396" colorId="64" zoomScale="100" zoomScaleNormal="100" zoomScalePageLayoutView="100" workbookViewId="0">
      <selection pane="topLeft" activeCell="E412" activeCellId="1" sqref="B3:D14 E412"/>
    </sheetView>
  </sheetViews>
  <sheetFormatPr defaultColWidth="12.8046875" defaultRowHeight="12.8" zeroHeight="false" outlineLevelRow="0" outlineLevelCol="0"/>
  <cols>
    <col collapsed="false" customWidth="true" hidden="false" outlineLevel="0" max="1" min="1" style="1" width="54.96"/>
    <col collapsed="false" customWidth="true" hidden="false" outlineLevel="0" max="2" min="2" style="1" width="35.66"/>
    <col collapsed="false" customWidth="true" hidden="false" outlineLevel="0" max="3" min="3" style="0" width="19.91"/>
    <col collapsed="false" customWidth="true" hidden="false" outlineLevel="0" max="4" min="4" style="1" width="35.04"/>
    <col collapsed="false" customWidth="true" hidden="false" outlineLevel="0" max="7" min="7" style="10" width="13.89"/>
  </cols>
  <sheetData>
    <row r="1" customFormat="false" ht="22.35" hidden="false" customHeight="true" outlineLevel="0" collapsed="false">
      <c r="A1" s="1" t="s">
        <v>223</v>
      </c>
      <c r="B1" s="1" t="s">
        <v>27</v>
      </c>
      <c r="C1" s="1" t="s">
        <v>224</v>
      </c>
      <c r="D1" s="1" t="s">
        <v>225</v>
      </c>
      <c r="F1" s="114" t="s">
        <v>226</v>
      </c>
      <c r="G1" s="115" t="s">
        <v>227</v>
      </c>
      <c r="H1" s="116" t="s">
        <v>228</v>
      </c>
    </row>
    <row r="2" customFormat="false" ht="12.8" hidden="false" customHeight="false" outlineLevel="0" collapsed="false">
      <c r="A2" s="1" t="s">
        <v>229</v>
      </c>
      <c r="B2" s="2" t="n">
        <v>1189.49</v>
      </c>
      <c r="C2" s="117" t="n">
        <v>6880</v>
      </c>
      <c r="D2" s="1" t="n">
        <f aca="false">C2*12</f>
        <v>82560</v>
      </c>
      <c r="F2" s="118" t="s">
        <v>230</v>
      </c>
      <c r="G2" s="119" t="n">
        <v>0.406631839034269</v>
      </c>
      <c r="H2" s="120" t="n">
        <f aca="false">$G2*$B$16</f>
        <v>53.0678947850063</v>
      </c>
    </row>
    <row r="3" customFormat="false" ht="23.85" hidden="false" customHeight="false" outlineLevel="0" collapsed="false">
      <c r="A3" s="1" t="s">
        <v>231</v>
      </c>
      <c r="B3" s="2" t="n">
        <v>1292.01</v>
      </c>
      <c r="C3" s="121" t="n">
        <v>2250</v>
      </c>
      <c r="D3" s="1" t="n">
        <f aca="false">C3*12</f>
        <v>27000</v>
      </c>
      <c r="F3" s="118" t="s">
        <v>232</v>
      </c>
      <c r="G3" s="119" t="n">
        <v>0.0410004218452327</v>
      </c>
      <c r="H3" s="120" t="n">
        <f aca="false">$G3*$B$16</f>
        <v>5.35080105333394</v>
      </c>
    </row>
    <row r="4" customFormat="false" ht="12.8" hidden="false" customHeight="false" outlineLevel="0" collapsed="false">
      <c r="A4" s="1" t="s">
        <v>233</v>
      </c>
      <c r="B4" s="2" t="n">
        <f aca="false">525.58*2</f>
        <v>1051.16</v>
      </c>
      <c r="C4" s="121" t="n">
        <v>2720</v>
      </c>
      <c r="D4" s="1" t="n">
        <f aca="false">C4*12</f>
        <v>32640</v>
      </c>
      <c r="F4" s="122" t="s">
        <v>234</v>
      </c>
      <c r="G4" s="123" t="n">
        <v>0</v>
      </c>
      <c r="H4" s="120" t="n">
        <f aca="false">$G4*$B$16</f>
        <v>0</v>
      </c>
    </row>
    <row r="5" customFormat="false" ht="12.8" hidden="false" customHeight="false" outlineLevel="0" collapsed="false">
      <c r="A5" s="1" t="s">
        <v>235</v>
      </c>
      <c r="B5" s="2" t="n">
        <v>351.07</v>
      </c>
      <c r="C5" s="121" t="n">
        <v>5367</v>
      </c>
      <c r="D5" s="1" t="n">
        <f aca="false">C5*12</f>
        <v>64404</v>
      </c>
    </row>
    <row r="6" customFormat="false" ht="12.8" hidden="false" customHeight="false" outlineLevel="0" collapsed="false">
      <c r="A6" s="1" t="s">
        <v>236</v>
      </c>
      <c r="B6" s="2" t="n">
        <v>602.56</v>
      </c>
      <c r="C6" s="121" t="n">
        <v>6240</v>
      </c>
      <c r="D6" s="1" t="n">
        <f aca="false">C6*12</f>
        <v>74880</v>
      </c>
    </row>
    <row r="7" customFormat="false" ht="12.8" hidden="false" customHeight="false" outlineLevel="0" collapsed="false">
      <c r="A7" s="1" t="s">
        <v>20</v>
      </c>
      <c r="B7" s="2" t="n">
        <f aca="false">SUM(B2:B6)</f>
        <v>4486.29</v>
      </c>
      <c r="C7" s="1" t="n">
        <f aca="false">SUM(C2:C6)</f>
        <v>23457</v>
      </c>
      <c r="D7" s="1" t="n">
        <f aca="false">C7*12</f>
        <v>281484</v>
      </c>
    </row>
    <row r="8" customFormat="false" ht="12.8" hidden="false" customHeight="false" outlineLevel="0" collapsed="false">
      <c r="A8" s="1" t="s">
        <v>237</v>
      </c>
      <c r="B8" s="1" t="n">
        <f aca="false">(D7/1000)</f>
        <v>281.484</v>
      </c>
    </row>
    <row r="9" customFormat="false" ht="12.8" hidden="false" customHeight="false" outlineLevel="0" collapsed="false">
      <c r="A9" s="1" t="s">
        <v>238</v>
      </c>
      <c r="B9" s="1" t="n">
        <v>0.40668</v>
      </c>
      <c r="C9" s="2"/>
    </row>
    <row r="10" customFormat="false" ht="17.15" hidden="false" customHeight="true" outlineLevel="0" collapsed="false">
      <c r="A10" s="1" t="s">
        <v>239</v>
      </c>
      <c r="B10" s="1" t="n">
        <f aca="false">B9*B8</f>
        <v>114.47391312</v>
      </c>
      <c r="C10" s="1"/>
    </row>
    <row r="12" customFormat="false" ht="12.8" hidden="false" customHeight="false" outlineLevel="0" collapsed="false">
      <c r="A12" s="1" t="s">
        <v>240</v>
      </c>
      <c r="D12" s="10"/>
      <c r="F12" s="1"/>
    </row>
    <row r="13" customFormat="false" ht="14.65" hidden="false" customHeight="false" outlineLevel="0" collapsed="false">
      <c r="A13" s="1" t="s">
        <v>229</v>
      </c>
      <c r="B13" s="2" t="n">
        <f aca="false">1189.49*0.3</f>
        <v>356.847</v>
      </c>
      <c r="C13" s="4" t="n">
        <f aca="false">(C2+C6+C4)*0.3</f>
        <v>4752</v>
      </c>
      <c r="D13" s="5" t="n">
        <f aca="false">C13*12</f>
        <v>57024</v>
      </c>
      <c r="E13" s="2" t="n">
        <f aca="false">F13*19.3</f>
        <v>125.549075975359</v>
      </c>
      <c r="F13" s="2" t="n">
        <f aca="false">C13/730.5</f>
        <v>6.50513347022587</v>
      </c>
    </row>
    <row r="14" customFormat="false" ht="14.65" hidden="false" customHeight="false" outlineLevel="0" collapsed="false">
      <c r="A14" s="1" t="s">
        <v>231</v>
      </c>
      <c r="B14" s="2" t="n">
        <f aca="false">1292.01*0.5</f>
        <v>646.005</v>
      </c>
      <c r="C14" s="4" t="n">
        <f aca="false">(C5+C2)*0.5</f>
        <v>6123.5</v>
      </c>
      <c r="D14" s="5" t="n">
        <f aca="false">C14*12</f>
        <v>73482</v>
      </c>
      <c r="F14" s="2" t="n">
        <f aca="false">(F13*4.7)*1000</f>
        <v>30574.1273100616</v>
      </c>
    </row>
    <row r="15" customFormat="false" ht="12.8" hidden="false" customHeight="false" outlineLevel="0" collapsed="false">
      <c r="A15" s="1" t="s">
        <v>20</v>
      </c>
      <c r="B15" s="2" t="n">
        <f aca="false">SUM(B13:B14)</f>
        <v>1002.852</v>
      </c>
      <c r="C15" s="4" t="n">
        <f aca="false">C13+C14</f>
        <v>10875.5</v>
      </c>
      <c r="D15" s="5" t="n">
        <f aca="false">C15*12</f>
        <v>130506</v>
      </c>
      <c r="F15" s="2" t="n">
        <f aca="false">F14*(4/3)</f>
        <v>40765.5030800821</v>
      </c>
    </row>
    <row r="16" customFormat="false" ht="12.8" hidden="false" customHeight="false" outlineLevel="0" collapsed="false">
      <c r="A16" s="1" t="s">
        <v>241</v>
      </c>
      <c r="B16" s="1" t="n">
        <f aca="false">D15/1000</f>
        <v>130.506</v>
      </c>
    </row>
    <row r="17" customFormat="false" ht="12.8" hidden="false" customHeight="false" outlineLevel="0" collapsed="false">
      <c r="A17" s="1" t="s">
        <v>238</v>
      </c>
      <c r="B17" s="10" t="n">
        <v>0.0410004218452327</v>
      </c>
      <c r="C17" s="10" t="n">
        <f aca="false">(0.09038953*1000)/2204.6</f>
        <v>0.0410004218452327</v>
      </c>
    </row>
    <row r="18" customFormat="false" ht="35.05" hidden="false" customHeight="false" outlineLevel="0" collapsed="false">
      <c r="A18" s="1" t="s">
        <v>239</v>
      </c>
      <c r="B18" s="1" t="n">
        <f aca="false">B17*B16</f>
        <v>5.35080105333394</v>
      </c>
      <c r="D18" s="2"/>
    </row>
    <row r="20" customFormat="false" ht="12.8" hidden="false" customHeight="false" outlineLevel="0" collapsed="false">
      <c r="A20" s="1" t="s">
        <v>242</v>
      </c>
      <c r="B20" s="124" t="n">
        <f aca="false">B10-B18</f>
        <v>109.123112066666</v>
      </c>
    </row>
    <row r="22" customFormat="false" ht="12.8" hidden="false" customHeight="false" outlineLevel="0" collapsed="false">
      <c r="D22" s="125" t="s">
        <v>243</v>
      </c>
      <c r="E22" s="126" t="n">
        <f aca="false">31568*1000000</f>
        <v>31568000000</v>
      </c>
    </row>
    <row r="23" customFormat="false" ht="12.8" hidden="false" customHeight="false" outlineLevel="0" collapsed="false">
      <c r="D23" s="83" t="s">
        <v>244</v>
      </c>
      <c r="E23" s="127" t="n">
        <f aca="false">(E22)/1800717</f>
        <v>17530.7946778978</v>
      </c>
    </row>
    <row r="24" customFormat="false" ht="12.8" hidden="false" customHeight="false" outlineLevel="0" collapsed="false">
      <c r="A24" s="1" t="s">
        <v>245</v>
      </c>
    </row>
    <row r="25" customFormat="false" ht="12.8" hidden="false" customHeight="false" outlineLevel="0" collapsed="false">
      <c r="A25" s="1" t="s">
        <v>246</v>
      </c>
      <c r="B25" s="1" t="n">
        <v>8</v>
      </c>
    </row>
    <row r="26" customFormat="false" ht="12.8" hidden="false" customHeight="false" outlineLevel="0" collapsed="false">
      <c r="A26" s="1" t="s">
        <v>247</v>
      </c>
      <c r="B26" s="1" t="n">
        <f aca="false">E23</f>
        <v>17530.7946778978</v>
      </c>
    </row>
    <row r="27" customFormat="false" ht="14.65" hidden="false" customHeight="false" outlineLevel="0" collapsed="false">
      <c r="A27" s="1" t="s">
        <v>248</v>
      </c>
      <c r="B27" s="128" t="n">
        <v>352.3486481</v>
      </c>
    </row>
    <row r="28" customFormat="false" ht="12.8" hidden="false" customHeight="false" outlineLevel="0" collapsed="false">
      <c r="A28" s="1" t="s">
        <v>249</v>
      </c>
      <c r="B28" s="1" t="n">
        <f aca="false">(B26*B27)/1000000</f>
        <v>6.17695180487595</v>
      </c>
    </row>
    <row r="30" customFormat="false" ht="12.8" hidden="false" customHeight="false" outlineLevel="0" collapsed="false">
      <c r="A30" s="1" t="s">
        <v>250</v>
      </c>
      <c r="B30" s="1" t="n">
        <v>8</v>
      </c>
    </row>
    <row r="31" customFormat="false" ht="12.8" hidden="false" customHeight="false" outlineLevel="0" collapsed="false">
      <c r="A31" s="1" t="s">
        <v>247</v>
      </c>
      <c r="B31" s="1" t="n">
        <f aca="false">E23</f>
        <v>17530.7946778978</v>
      </c>
    </row>
    <row r="32" customFormat="false" ht="12.8" hidden="false" customHeight="false" outlineLevel="0" collapsed="false">
      <c r="A32" s="1" t="s">
        <v>251</v>
      </c>
      <c r="B32" s="128" t="n">
        <f aca="false">'Electric Cars'!N2</f>
        <v>23.6097181166651</v>
      </c>
    </row>
    <row r="33" customFormat="false" ht="12.8" hidden="false" customHeight="false" outlineLevel="0" collapsed="false">
      <c r="A33" s="1" t="s">
        <v>249</v>
      </c>
      <c r="B33" s="1" t="n">
        <f aca="false">(B31*B32)/1000000</f>
        <v>0.413897120706299</v>
      </c>
    </row>
    <row r="34" customFormat="false" ht="14.65" hidden="false" customHeight="false" outlineLevel="0" collapsed="false">
      <c r="A34" s="1" t="s">
        <v>252</v>
      </c>
      <c r="B34" s="1" t="n">
        <f aca="false">(B31*B35)/1000000</f>
        <v>2.20888012941512</v>
      </c>
    </row>
    <row r="35" customFormat="false" ht="14.65" hidden="false" customHeight="false" outlineLevel="0" collapsed="false">
      <c r="A35" s="1" t="s">
        <v>253</v>
      </c>
      <c r="B35" s="1" t="n">
        <v>126</v>
      </c>
    </row>
    <row r="36" customFormat="false" ht="12.8" hidden="false" customHeight="false" outlineLevel="0" collapsed="false">
      <c r="A36" s="1" t="s">
        <v>254</v>
      </c>
      <c r="B36" s="1" t="n">
        <f aca="false">B25*(B28-B33)</f>
        <v>46.1044374733572</v>
      </c>
    </row>
    <row r="37" customFormat="false" ht="17.35" hidden="false" customHeight="false" outlineLevel="0" collapsed="false"/>
    <row r="39" customFormat="false" ht="12.8" hidden="false" customHeight="false" outlineLevel="0" collapsed="false">
      <c r="A39" s="1" t="s">
        <v>255</v>
      </c>
    </row>
    <row r="40" customFormat="false" ht="12.8" hidden="false" customHeight="false" outlineLevel="0" collapsed="false">
      <c r="A40" s="1" t="s">
        <v>256</v>
      </c>
      <c r="B40" s="1" t="n">
        <v>2</v>
      </c>
    </row>
    <row r="41" customFormat="false" ht="12.8" hidden="false" customHeight="false" outlineLevel="0" collapsed="false">
      <c r="A41" s="1" t="s">
        <v>247</v>
      </c>
      <c r="B41" s="1" t="n">
        <f aca="false">$E$23</f>
        <v>17530.7946778978</v>
      </c>
    </row>
    <row r="42" customFormat="false" ht="14.65" hidden="false" customHeight="false" outlineLevel="0" collapsed="false">
      <c r="A42" s="1" t="s">
        <v>248</v>
      </c>
      <c r="B42" s="128" t="n">
        <v>489.7152278</v>
      </c>
    </row>
    <row r="43" customFormat="false" ht="14.65" hidden="false" customHeight="false" outlineLevel="0" collapsed="false">
      <c r="B43" s="128"/>
    </row>
    <row r="44" customFormat="false" ht="12.8" hidden="false" customHeight="false" outlineLevel="0" collapsed="false">
      <c r="A44" s="1" t="s">
        <v>257</v>
      </c>
      <c r="B44" s="1" t="n">
        <f aca="false">(B41*B42)/1000000</f>
        <v>8.58509710920172</v>
      </c>
    </row>
    <row r="46" customFormat="false" ht="12.8" hidden="false" customHeight="false" outlineLevel="0" collapsed="false">
      <c r="A46" s="1" t="s">
        <v>258</v>
      </c>
      <c r="B46" s="1" t="n">
        <v>2</v>
      </c>
    </row>
    <row r="47" customFormat="false" ht="12.8" hidden="false" customHeight="false" outlineLevel="0" collapsed="false">
      <c r="A47" s="1" t="s">
        <v>247</v>
      </c>
      <c r="B47" s="1" t="n">
        <f aca="false">$E$23</f>
        <v>17530.7946778978</v>
      </c>
    </row>
    <row r="48" customFormat="false" ht="12.8" hidden="false" customHeight="false" outlineLevel="0" collapsed="false">
      <c r="A48" s="1" t="s">
        <v>248</v>
      </c>
      <c r="B48" s="128" t="n">
        <f aca="false">'Electric Cars'!N3</f>
        <v>42.817006704164</v>
      </c>
    </row>
    <row r="49" customFormat="false" ht="14.65" hidden="false" customHeight="false" outlineLevel="0" collapsed="false">
      <c r="A49" s="1" t="s">
        <v>257</v>
      </c>
      <c r="B49" s="1" t="n">
        <f aca="false">(B47*B48)/1000000</f>
        <v>0.750616153252871</v>
      </c>
    </row>
    <row r="50" customFormat="false" ht="14.65" hidden="false" customHeight="false" outlineLevel="0" collapsed="false">
      <c r="A50" s="1" t="s">
        <v>252</v>
      </c>
      <c r="B50" s="1" t="n">
        <f aca="false">(B47*B51)/1000000</f>
        <v>3.8918364184933</v>
      </c>
    </row>
    <row r="51" customFormat="false" ht="12.8" hidden="false" customHeight="false" outlineLevel="0" collapsed="false">
      <c r="A51" s="1" t="s">
        <v>253</v>
      </c>
      <c r="B51" s="1" t="n">
        <v>222</v>
      </c>
    </row>
    <row r="52" customFormat="false" ht="12.8" hidden="false" customHeight="false" outlineLevel="0" collapsed="false">
      <c r="A52" s="1" t="s">
        <v>259</v>
      </c>
      <c r="B52" s="1" t="n">
        <f aca="false">B40*(B44-B49)</f>
        <v>15.6689619118977</v>
      </c>
    </row>
    <row r="54" customFormat="false" ht="12.8" hidden="false" customHeight="false" outlineLevel="0" collapsed="false">
      <c r="A54" s="124" t="s">
        <v>260</v>
      </c>
      <c r="B54" s="124" t="n">
        <f aca="false">B52+B44</f>
        <v>24.2540590210994</v>
      </c>
    </row>
    <row r="56" customFormat="false" ht="12.8" hidden="false" customHeight="false" outlineLevel="0" collapsed="false">
      <c r="A56" s="1" t="s">
        <v>261</v>
      </c>
      <c r="B56" s="3" t="n">
        <f aca="false">B57-B58</f>
        <v>130.142875031898</v>
      </c>
    </row>
    <row r="57" customFormat="false" ht="12.8" hidden="false" customHeight="false" outlineLevel="0" collapsed="false">
      <c r="A57" s="1" t="s">
        <v>262</v>
      </c>
      <c r="B57" s="1" t="n">
        <f aca="false">B10+(B28*8)+(B44*2)</f>
        <v>181.059721777411</v>
      </c>
      <c r="D57" s="1" t="n">
        <f aca="false">1-(B58/B57)</f>
        <v>0.718784242869274</v>
      </c>
    </row>
    <row r="58" customFormat="false" ht="12.8" hidden="false" customHeight="false" outlineLevel="0" collapsed="false">
      <c r="A58" s="1" t="s">
        <v>263</v>
      </c>
      <c r="B58" s="1" t="n">
        <f aca="false">B36+(B33*8)+(B49*2)</f>
        <v>50.9168467455133</v>
      </c>
    </row>
    <row r="59" customFormat="false" ht="12.8" hidden="false" customHeight="false" outlineLevel="0" collapsed="false">
      <c r="C59" s="0" t="s">
        <v>264</v>
      </c>
      <c r="D59" s="1" t="s">
        <v>265</v>
      </c>
      <c r="E59" s="0" t="s">
        <v>266</v>
      </c>
      <c r="F59" s="10" t="s">
        <v>267</v>
      </c>
      <c r="G59" s="0"/>
    </row>
    <row r="60" customFormat="false" ht="12.8" hidden="false" customHeight="false" outlineLevel="0" collapsed="false">
      <c r="A60" s="129" t="s">
        <v>268</v>
      </c>
      <c r="B60" s="1" t="n">
        <v>400</v>
      </c>
      <c r="C60" s="1" t="n">
        <f aca="false">(B60*B65*B63)/1000000</f>
        <v>8018.82390447805</v>
      </c>
      <c r="D60" s="1" t="s">
        <v>269</v>
      </c>
      <c r="E60" s="0" t="n">
        <v>126</v>
      </c>
      <c r="F60" s="0" t="n">
        <f aca="false">(E60*B65*B63)/1000000</f>
        <v>2525.92952991059</v>
      </c>
    </row>
    <row r="61" customFormat="false" ht="12.8" hidden="false" customHeight="false" outlineLevel="0" collapsed="false">
      <c r="A61" s="1" t="s">
        <v>270</v>
      </c>
      <c r="B61" s="1" t="n">
        <v>222</v>
      </c>
      <c r="C61" s="1" t="n">
        <f aca="false">(B61*B65*B63)/1000000</f>
        <v>4450.44726698532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30"/>
    </row>
    <row r="62" customFormat="false" ht="12.8" hidden="false" customHeight="false" outlineLevel="0" collapsed="false">
      <c r="A62" s="1" t="s">
        <v>271</v>
      </c>
      <c r="B62" s="1" t="n">
        <f aca="false">B60-B61</f>
        <v>178</v>
      </c>
      <c r="C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30"/>
    </row>
    <row r="63" customFormat="false" ht="12.8" hidden="false" customHeight="false" outlineLevel="0" collapsed="false">
      <c r="A63" s="1" t="s">
        <v>272</v>
      </c>
      <c r="B63" s="1" t="n">
        <f aca="false">E23</f>
        <v>17530.7946778978</v>
      </c>
      <c r="C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30"/>
    </row>
    <row r="64" customFormat="false" ht="12.8" hidden="false" customHeight="false" outlineLevel="0" collapsed="false">
      <c r="A64" s="1" t="s">
        <v>273</v>
      </c>
      <c r="B64" s="1" t="n">
        <f aca="false">B63*B62</f>
        <v>3120481.4526658</v>
      </c>
      <c r="C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30"/>
    </row>
    <row r="65" customFormat="false" ht="12.8" hidden="false" customHeight="false" outlineLevel="0" collapsed="false">
      <c r="A65" s="1" t="s">
        <v>274</v>
      </c>
      <c r="B65" s="131" t="n">
        <f aca="false">1433*0.798</f>
        <v>1143.534</v>
      </c>
      <c r="C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30"/>
    </row>
    <row r="66" customFormat="false" ht="12.8" hidden="false" customHeight="false" outlineLevel="0" collapsed="false">
      <c r="A66" s="1" t="s">
        <v>275</v>
      </c>
      <c r="B66" s="4" t="n">
        <f aca="false">B65*B64</f>
        <v>3568376637.49273</v>
      </c>
    </row>
    <row r="67" customFormat="false" ht="12.8" hidden="false" customHeight="false" outlineLevel="0" collapsed="false">
      <c r="A67" s="1" t="s">
        <v>276</v>
      </c>
      <c r="B67" s="1" t="n">
        <f aca="false">B66/1000000</f>
        <v>3568.37663749273</v>
      </c>
      <c r="C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30"/>
    </row>
    <row r="68" customFormat="false" ht="12.8" hidden="false" customHeight="false" outlineLevel="0" collapsed="false">
      <c r="C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30"/>
    </row>
    <row r="69" customFormat="false" ht="14.65" hidden="false" customHeight="false" outlineLevel="0" collapsed="false">
      <c r="B69" s="10"/>
      <c r="C69" s="10"/>
      <c r="D69" s="10"/>
      <c r="E69" s="10"/>
      <c r="F69" s="10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30"/>
    </row>
    <row r="70" customFormat="false" ht="14.65" hidden="false" customHeight="false" outlineLevel="0" collapsed="false">
      <c r="A70" s="10"/>
      <c r="B70" s="10"/>
      <c r="C70" s="10"/>
      <c r="D70" s="10"/>
      <c r="E70" s="1"/>
      <c r="F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30"/>
    </row>
    <row r="71" customFormat="false" ht="12.8" hidden="false" customHeight="false" outlineLevel="0" collapsed="false">
      <c r="C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30"/>
    </row>
    <row r="72" customFormat="false" ht="12.8" hidden="false" customHeight="false" outlineLevel="0" collapsed="false">
      <c r="A72" s="1" t="s">
        <v>277</v>
      </c>
      <c r="B72" s="1" t="n">
        <v>9773</v>
      </c>
      <c r="C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30"/>
    </row>
    <row r="73" customFormat="false" ht="12.8" hidden="false" customHeight="false" outlineLevel="0" collapsed="false">
      <c r="A73" s="1" t="s">
        <v>278</v>
      </c>
      <c r="B73" s="1" t="n">
        <v>480</v>
      </c>
      <c r="C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30"/>
    </row>
    <row r="74" customFormat="false" ht="12.8" hidden="false" customHeight="false" outlineLevel="0" collapsed="false">
      <c r="A74" s="1" t="s">
        <v>279</v>
      </c>
      <c r="B74" s="132" t="n">
        <f aca="false">9773*480</f>
        <v>4691040</v>
      </c>
      <c r="C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30"/>
    </row>
    <row r="75" customFormat="false" ht="12.8" hidden="false" customHeight="false" outlineLevel="0" collapsed="false">
      <c r="A75" s="1" t="s">
        <v>280</v>
      </c>
      <c r="C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30"/>
    </row>
    <row r="76" customFormat="false" ht="12.8" hidden="false" customHeight="false" outlineLevel="0" collapsed="false">
      <c r="A76" s="1" t="s">
        <v>281</v>
      </c>
      <c r="B76" s="1" t="n">
        <v>1907.7</v>
      </c>
      <c r="C76" s="1" t="s">
        <v>282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30"/>
    </row>
    <row r="77" customFormat="false" ht="12.8" hidden="false" customHeight="false" outlineLevel="0" collapsed="false">
      <c r="C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30"/>
    </row>
    <row r="78" customFormat="false" ht="12.8" hidden="false" customHeight="false" outlineLevel="0" collapsed="false">
      <c r="A78" s="1" t="s">
        <v>283</v>
      </c>
      <c r="B78" s="133" t="n">
        <v>9773</v>
      </c>
      <c r="C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30"/>
    </row>
    <row r="79" customFormat="false" ht="12.8" hidden="false" customHeight="false" outlineLevel="0" collapsed="false">
      <c r="A79" s="124" t="s">
        <v>284</v>
      </c>
      <c r="B79" s="10" t="n">
        <f aca="false">(0.09038953*1000)/2204.6</f>
        <v>0.0410004218452327</v>
      </c>
      <c r="C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30"/>
    </row>
    <row r="80" customFormat="false" ht="12.8" hidden="false" customHeight="false" outlineLevel="0" collapsed="false">
      <c r="A80" s="1" t="s">
        <v>278</v>
      </c>
      <c r="B80" s="1" t="n">
        <v>480</v>
      </c>
    </row>
    <row r="82" customFormat="false" ht="12.8" hidden="false" customHeight="false" outlineLevel="0" collapsed="false">
      <c r="A82" s="1" t="s">
        <v>285</v>
      </c>
      <c r="B82" s="1" t="n">
        <f aca="false">(B78*B79*B80)/1000</f>
        <v>192.33461889286</v>
      </c>
    </row>
    <row r="84" customFormat="false" ht="12.8" hidden="false" customHeight="false" outlineLevel="0" collapsed="false">
      <c r="A84" s="1" t="s">
        <v>286</v>
      </c>
      <c r="B84" s="4" t="n">
        <f aca="false">(B76-B82)/480</f>
        <v>3.57367787730654</v>
      </c>
    </row>
    <row r="85" customFormat="false" ht="12.8" hidden="false" customHeight="false" outlineLevel="0" collapsed="false">
      <c r="A85" s="1" t="s">
        <v>287</v>
      </c>
      <c r="B85" s="4" t="n">
        <f aca="false">B$84*B$73*0.05</f>
        <v>85.768269055357</v>
      </c>
    </row>
    <row r="86" customFormat="false" ht="12.8" hidden="false" customHeight="false" outlineLevel="0" collapsed="false">
      <c r="A86" s="130" t="s">
        <v>288</v>
      </c>
      <c r="B86" s="4" t="n">
        <f aca="false">B$84*B$73*0.1</f>
        <v>171.536538110714</v>
      </c>
    </row>
    <row r="87" customFormat="false" ht="12.8" hidden="false" customHeight="false" outlineLevel="0" collapsed="false">
      <c r="A87" s="130" t="s">
        <v>289</v>
      </c>
      <c r="B87" s="4" t="n">
        <f aca="false">B$84*B$73*0.25</f>
        <v>428.841345276785</v>
      </c>
    </row>
    <row r="88" customFormat="false" ht="14.65" hidden="false" customHeight="false" outlineLevel="0" collapsed="false">
      <c r="A88" s="130"/>
      <c r="B88" s="4"/>
      <c r="E88" s="0" t="s">
        <v>1</v>
      </c>
      <c r="F88" s="134" t="n">
        <f aca="false">'Electric Cars'!E113</f>
        <v>0.210093137280009</v>
      </c>
    </row>
    <row r="89" customFormat="false" ht="14.65" hidden="false" customHeight="false" outlineLevel="0" collapsed="false">
      <c r="A89" s="130" t="s">
        <v>290</v>
      </c>
      <c r="B89" s="4" t="n">
        <v>17224948</v>
      </c>
      <c r="E89" s="0" t="s">
        <v>291</v>
      </c>
    </row>
    <row r="90" customFormat="false" ht="14.65" hidden="false" customHeight="false" outlineLevel="0" collapsed="false">
      <c r="A90" s="130" t="s">
        <v>292</v>
      </c>
      <c r="B90" s="4" t="n">
        <v>263943761</v>
      </c>
      <c r="E90" s="0" t="s">
        <v>293</v>
      </c>
    </row>
    <row r="91" customFormat="false" ht="14.65" hidden="false" customHeight="false" outlineLevel="0" collapsed="false">
      <c r="A91" s="130" t="s">
        <v>294</v>
      </c>
      <c r="B91" s="134" t="n">
        <f aca="false">B89/B90</f>
        <v>0.0652599172442648</v>
      </c>
    </row>
    <row r="92" customFormat="false" ht="14.65" hidden="false" customHeight="false" outlineLevel="0" collapsed="false">
      <c r="A92" s="130"/>
      <c r="B92" s="4"/>
    </row>
    <row r="93" customFormat="false" ht="14.65" hidden="false" customHeight="false" outlineLevel="0" collapsed="false">
      <c r="A93" s="130"/>
      <c r="B93" s="4"/>
    </row>
    <row r="94" customFormat="false" ht="12.8" hidden="false" customHeight="false" outlineLevel="0" collapsed="false">
      <c r="A94" s="130" t="s">
        <v>295</v>
      </c>
      <c r="B94" s="1" t="s">
        <v>296</v>
      </c>
      <c r="C94" s="1" t="n">
        <v>2024</v>
      </c>
      <c r="D94" s="1" t="n">
        <v>2025</v>
      </c>
      <c r="E94" s="1" t="n">
        <v>2026</v>
      </c>
      <c r="F94" s="1" t="n">
        <v>2027</v>
      </c>
      <c r="G94" s="1" t="n">
        <v>2028</v>
      </c>
      <c r="H94" s="1" t="n">
        <v>2029</v>
      </c>
      <c r="I94" s="1" t="n">
        <v>2030</v>
      </c>
      <c r="J94" s="1" t="n">
        <v>2031</v>
      </c>
      <c r="K94" s="1" t="n">
        <v>2032</v>
      </c>
      <c r="L94" s="1" t="n">
        <v>2033</v>
      </c>
      <c r="M94" s="1" t="n">
        <v>2034</v>
      </c>
      <c r="N94" s="1" t="n">
        <v>2035</v>
      </c>
      <c r="O94" s="1" t="n">
        <v>2036</v>
      </c>
      <c r="P94" s="1" t="n">
        <v>2037</v>
      </c>
      <c r="Q94" s="1" t="n">
        <v>2038</v>
      </c>
      <c r="R94" s="1" t="n">
        <v>2039</v>
      </c>
      <c r="S94" s="1" t="n">
        <v>2040</v>
      </c>
      <c r="T94" s="1" t="n">
        <v>2041</v>
      </c>
      <c r="U94" s="1" t="n">
        <v>2042</v>
      </c>
      <c r="V94" s="1" t="n">
        <v>2043</v>
      </c>
      <c r="W94" s="1" t="n">
        <v>2044</v>
      </c>
      <c r="X94" s="1" t="n">
        <v>2045</v>
      </c>
      <c r="Y94" s="1" t="n">
        <v>2046</v>
      </c>
      <c r="Z94" s="1" t="n">
        <v>2047</v>
      </c>
      <c r="AA94" s="1" t="n">
        <v>2048</v>
      </c>
      <c r="AB94" s="1" t="n">
        <v>2049</v>
      </c>
      <c r="AC94" s="1" t="n">
        <v>2050</v>
      </c>
    </row>
    <row r="95" customFormat="false" ht="15.8" hidden="false" customHeight="false" outlineLevel="0" collapsed="false">
      <c r="A95" s="130" t="s">
        <v>297</v>
      </c>
      <c r="B95" s="130" t="n">
        <v>0.0261</v>
      </c>
      <c r="C95" s="130" t="n">
        <f aca="false">B95*(1+((1-B95)*$F$88))</f>
        <v>0.0314403133369617</v>
      </c>
      <c r="D95" s="130" t="n">
        <f aca="false">C95*(1+((1-C95)*$F$88))</f>
        <v>0.0378380317438405</v>
      </c>
      <c r="E95" s="130" t="n">
        <f aca="false">D95*(1+((1-D95)*$F$88))</f>
        <v>0.0454867486994982</v>
      </c>
      <c r="F95" s="130" t="n">
        <f aca="false">E95*(1+((1-E95)*$F$88))</f>
        <v>0.0546085104287614</v>
      </c>
      <c r="G95" s="130" t="n">
        <f aca="false">F95*(1+((1-F95)*$F$88))</f>
        <v>0.0654548671868693</v>
      </c>
      <c r="H95" s="130" t="n">
        <f aca="false">G95*(1+((1-G95)*$F$88))</f>
        <v>0.0783063752285898</v>
      </c>
      <c r="I95" s="130" t="n">
        <f aca="false">H95*(1+((1-H95)*$F$88))</f>
        <v>0.0934697395976802</v>
      </c>
      <c r="J95" s="130" t="n">
        <f aca="false">I95*(1+((1-I95)*$F$88))</f>
        <v>0.11127159236177</v>
      </c>
      <c r="K95" s="130" t="n">
        <f aca="false">J95*(1+((1-J95)*$F$88))</f>
        <v>0.132047749998315</v>
      </c>
      <c r="L95" s="130" t="n">
        <f aca="false">K95*(1+((1-K95)*$F$88))</f>
        <v>0.15612676432924</v>
      </c>
      <c r="M95" s="130" t="n">
        <f aca="false">L95*(1+((1-L95)*$F$88))</f>
        <v>0.183806786813197</v>
      </c>
      <c r="N95" s="130" t="n">
        <f aca="false">M95*(1+((1-M95)*$F$88))</f>
        <v>0.215325348346695</v>
      </c>
      <c r="O95" s="130" t="n">
        <f aca="false">N95*(1+((1-N95)*$F$88))</f>
        <v>0.250822756821719</v>
      </c>
      <c r="P95" s="130" t="n">
        <f aca="false">O95*(1+((1-O95)*$F$88))</f>
        <v>0.290301505624574</v>
      </c>
      <c r="Q95" s="130" t="n">
        <f aca="false">P95*(1+((1-P95)*$F$88))</f>
        <v>0.333586268082158</v>
      </c>
      <c r="R95" s="130" t="n">
        <f aca="false">Q95*(1+((1-Q95)*$F$88))</f>
        <v>0.380291331766214</v>
      </c>
      <c r="S95" s="130" t="n">
        <f aca="false">R95*(1+((1-R95)*$F$88))</f>
        <v>0.429803946711038</v>
      </c>
      <c r="T95" s="130" t="n">
        <f aca="false">S95*(1+((1-S95)*$F$88))</f>
        <v>0.481292000059963</v>
      </c>
      <c r="U95" s="130" t="n">
        <f aca="false">T95*(1+((1-T95)*$F$88))</f>
        <v>0.533741754037949</v>
      </c>
      <c r="V95" s="130" t="n">
        <f aca="false">U95*(1+((1-U95)*$F$88))</f>
        <v>0.586025846067835</v>
      </c>
      <c r="W95" s="130" t="n">
        <f aca="false">V95*(1+((1-V95)*$F$88))</f>
        <v>0.636994347430154</v>
      </c>
      <c r="X95" s="130" t="n">
        <f aca="false">W95*(1+((1-W95)*$F$88))</f>
        <v>0.685574719042955</v>
      </c>
      <c r="Y95" s="130" t="n">
        <f aca="false">X95*(1+((1-X95)*$F$88))</f>
        <v>0.730862820870458</v>
      </c>
      <c r="Z95" s="130" t="n">
        <f aca="false">Y95*(1+((1-Y95)*$F$88))</f>
        <v>0.772188636360393</v>
      </c>
      <c r="AA95" s="130" t="n">
        <f aca="false">Z95*(1+((1-Z95)*$F$88))</f>
        <v>0.809146823160595</v>
      </c>
      <c r="AB95" s="130" t="n">
        <f aca="false">AA95*(1+((1-AA95)*$F$88))</f>
        <v>0.841591136950226</v>
      </c>
      <c r="AC95" s="130" t="n">
        <f aca="false">AB95*(1+((1-AB95)*$F$88))</f>
        <v>0.869599807575809</v>
      </c>
    </row>
    <row r="96" customFormat="false" ht="14.65" hidden="false" customHeight="false" outlineLevel="0" collapsed="false">
      <c r="A96" s="130" t="s">
        <v>298</v>
      </c>
      <c r="B96" s="130" t="n">
        <v>0.059</v>
      </c>
      <c r="C96" s="130" t="n">
        <f aca="false">B96*(1+((1-B96)*$F$88))</f>
        <v>0.0706641608886488</v>
      </c>
      <c r="D96" s="130" t="n">
        <f aca="false">C96*(1+((1-C96)*$F$88))</f>
        <v>0.0844611321059488</v>
      </c>
      <c r="E96" s="130" t="n">
        <f aca="false">D96*(1+((1-D96)*$F$88))</f>
        <v>0.100707098520803</v>
      </c>
      <c r="F96" s="130" t="n">
        <f aca="false">E96*(1+((1-E96)*$F$88))</f>
        <v>0.119734221069171</v>
      </c>
      <c r="G96" s="130" t="n">
        <f aca="false">F96*(1+((1-F96)*$F$88))</f>
        <v>0.141877604394944</v>
      </c>
      <c r="H96" s="130" t="n">
        <f aca="false">G96*(1+((1-G96)*$F$88))</f>
        <v>0.167456097155966</v>
      </c>
      <c r="I96" s="130" t="n">
        <f aca="false">H96*(1+((1-H96)*$F$88))</f>
        <v>0.196746137911261</v>
      </c>
      <c r="J96" s="130" t="n">
        <f aca="false">I96*(1+((1-I96)*$F$88))</f>
        <v>0.229948647033377</v>
      </c>
      <c r="K96" s="130" t="n">
        <f aca="false">J96*(1+((1-J96)*$F$88))</f>
        <v>0.267150315082457</v>
      </c>
      <c r="L96" s="130" t="n">
        <f aca="false">K96*(1+((1-K96)*$F$88))</f>
        <v>0.308282564683629</v>
      </c>
      <c r="M96" s="130" t="n">
        <f aca="false">L96*(1+((1-L96)*$F$88))</f>
        <v>0.35308375493845</v>
      </c>
      <c r="N96" s="130" t="n">
        <f aca="false">M96*(1+((1-M96)*$F$88))</f>
        <v>0.401072308504496</v>
      </c>
      <c r="O96" s="130" t="n">
        <f aca="false">N96*(1+((1-N96)*$F$88))</f>
        <v>0.451539476808612</v>
      </c>
      <c r="P96" s="130" t="n">
        <f aca="false">O96*(1+((1-O96)*$F$88))</f>
        <v>0.503569373718272</v>
      </c>
      <c r="Q96" s="130" t="n">
        <f aca="false">P96*(1+((1-P96)*$F$88))</f>
        <v>0.55608998136163</v>
      </c>
      <c r="R96" s="130" t="n">
        <f aca="false">Q96*(1+((1-Q96)*$F$88))</f>
        <v>0.607952294601817</v>
      </c>
      <c r="S96" s="130" t="n">
        <f aca="false">R96*(1+((1-R96)*$F$88))</f>
        <v>0.658027216967037</v>
      </c>
      <c r="T96" s="130" t="n">
        <f aca="false">S96*(1+((1-S96)*$F$88))</f>
        <v>0.705303929133386</v>
      </c>
      <c r="U96" s="130" t="n">
        <f aca="false">T96*(1+((1-T96)*$F$88))</f>
        <v>0.748971850047971</v>
      </c>
      <c r="V96" s="130" t="n">
        <f aca="false">U96*(1+((1-U96)*$F$88))</f>
        <v>0.788472094824638</v>
      </c>
      <c r="W96" s="130" t="n">
        <f aca="false">V96*(1+((1-V96)*$F$88))</f>
        <v>0.823512237225395</v>
      </c>
      <c r="X96" s="130" t="n">
        <f aca="false">W96*(1+((1-W96)*$F$88))</f>
        <v>0.854047138578797</v>
      </c>
      <c r="Y96" s="130" t="n">
        <f aca="false">X96*(1+((1-X96)*$F$88))</f>
        <v>0.880235379168311</v>
      </c>
      <c r="Z96" s="130" t="n">
        <f aca="false">Y96*(1+((1-Y96)*$F$88))</f>
        <v>0.902383619648796</v>
      </c>
      <c r="AA96" s="130" t="n">
        <f aca="false">Z96*(1+((1-Z96)*$F$88))</f>
        <v>0.920890182625793</v>
      </c>
      <c r="AB96" s="130" t="n">
        <f aca="false">AA96*(1+((1-AA96)*$F$88))</f>
        <v>0.936195773187617</v>
      </c>
      <c r="AC96" s="130" t="n">
        <f aca="false">AB96*(1+((1-AB96)*$F$88))</f>
        <v>0.948745318544995</v>
      </c>
    </row>
    <row r="97" customFormat="false" ht="14.65" hidden="false" customHeight="false" outlineLevel="0" collapsed="false">
      <c r="A97" s="130" t="s">
        <v>299</v>
      </c>
      <c r="B97" s="130" t="n">
        <v>0.101</v>
      </c>
      <c r="C97" s="130" t="n">
        <f aca="false">B97*(1+((1-B97)*$F$88))</f>
        <v>0.120076246771888</v>
      </c>
      <c r="D97" s="130" t="n">
        <f aca="false">C97*(1+((1-C97)*$F$88))</f>
        <v>0.142274255229135</v>
      </c>
      <c r="E97" s="130" t="n">
        <f aca="false">D97*(1+((1-D97)*$F$88))</f>
        <v>0.167912402205749</v>
      </c>
      <c r="F97" s="130" t="n">
        <f aca="false">E97*(1+((1-E97)*$F$88))</f>
        <v>0.197266158896322</v>
      </c>
      <c r="G97" s="130" t="n">
        <f aca="false">F97*(1+((1-F97)*$F$88))</f>
        <v>0.23053487389614</v>
      </c>
      <c r="H97" s="130" t="n">
        <f aca="false">G97*(1+((1-G97)*$F$88))</f>
        <v>0.267802990003706</v>
      </c>
      <c r="I97" s="130" t="n">
        <f aca="false">H97*(1+((1-H97)*$F$88))</f>
        <v>0.308999007980454</v>
      </c>
      <c r="J97" s="130" t="n">
        <f aca="false">I97*(1+((1-I97)*$F$88))</f>
        <v>0.353857804944035</v>
      </c>
      <c r="K97" s="130" t="n">
        <f aca="false">J97*(1+((1-J97)*$F$88))</f>
        <v>0.401894016433831</v>
      </c>
      <c r="L97" s="130" t="n">
        <f aca="false">K97*(1+((1-K97)*$F$88))</f>
        <v>0.452395199685218</v>
      </c>
      <c r="M97" s="130" t="n">
        <f aca="false">L97*(1+((1-L97)*$F$88))</f>
        <v>0.5044423673632</v>
      </c>
      <c r="N97" s="130" t="n">
        <f aca="false">M97*(1+((1-M97)*$F$88))</f>
        <v>0.556961505573337</v>
      </c>
      <c r="O97" s="130" t="n">
        <f aca="false">N97*(1+((1-N97)*$F$88))</f>
        <v>0.60880311894429</v>
      </c>
      <c r="P97" s="130" t="n">
        <f aca="false">O97*(1+((1-O97)*$F$88))</f>
        <v>0.658839295768796</v>
      </c>
      <c r="Q97" s="130" t="n">
        <f aca="false">P97*(1+((1-P97)*$F$88))</f>
        <v>0.706061946647631</v>
      </c>
      <c r="R97" s="130" t="n">
        <f aca="false">Q97*(1+((1-Q97)*$F$88))</f>
        <v>0.749664355786805</v>
      </c>
      <c r="S97" s="130" t="n">
        <f aca="false">R97*(1+((1-R97)*$F$88))</f>
        <v>0.789092053631216</v>
      </c>
      <c r="T97" s="130" t="n">
        <f aca="false">S97*(1+((1-S97)*$F$88))</f>
        <v>0.824056968826841</v>
      </c>
      <c r="U97" s="130" t="n">
        <f aca="false">T97*(1+((1-T97)*$F$88))</f>
        <v>0.854517759529697</v>
      </c>
      <c r="V97" s="130" t="n">
        <f aca="false">U97*(1+((1-U97)*$F$88))</f>
        <v>0.880635941309057</v>
      </c>
      <c r="W97" s="130" t="n">
        <f aca="false">V97*(1+((1-V97)*$F$88))</f>
        <v>0.902720150392069</v>
      </c>
      <c r="X97" s="130" t="n">
        <f aca="false">W97*(1+((1-W97)*$F$88))</f>
        <v>0.92116979027852</v>
      </c>
      <c r="Y97" s="130" t="n">
        <f aca="false">X97*(1+((1-X97)*$F$88))</f>
        <v>0.936425915164884</v>
      </c>
      <c r="Z97" s="130" t="n">
        <f aca="false">Y97*(1+((1-Y97)*$F$88))</f>
        <v>0.948933268172832</v>
      </c>
      <c r="AA97" s="130" t="n">
        <f aca="false">Z97*(1+((1-Z97)*$F$88))</f>
        <v>0.95911415485771</v>
      </c>
      <c r="AB97" s="130" t="n">
        <f aca="false">AA97*(1+((1-AA97)*$F$88))</f>
        <v>0.967352787650917</v>
      </c>
      <c r="AC97" s="130" t="n">
        <f aca="false">AB97*(1+((1-AB97)*$F$88))</f>
        <v>0.973987817147725</v>
      </c>
    </row>
    <row r="98" customFormat="false" ht="14.65" hidden="false" customHeight="false" outlineLevel="0" collapsed="false">
      <c r="A98" s="130" t="s">
        <v>300</v>
      </c>
      <c r="B98" s="130" t="n">
        <v>0.1383</v>
      </c>
      <c r="C98" s="130" t="n">
        <f aca="false">B98*(1+((1-B98)*$F$88))</f>
        <v>0.163337452559316</v>
      </c>
      <c r="D98" s="130" t="n">
        <f aca="false">C98*(1+((1-C98)*$F$88))</f>
        <v>0.192048429666041</v>
      </c>
      <c r="E98" s="130" t="n">
        <f aca="false">D98*(1+((1-D98)*$F$88))</f>
        <v>0.224647705758486</v>
      </c>
      <c r="F98" s="130" t="n">
        <f aca="false">E98*(1+((1-E98)*$F$88))</f>
        <v>0.261241962465424</v>
      </c>
      <c r="G98" s="130" t="n">
        <f aca="false">F98*(1+((1-F98)*$F$88))</f>
        <v>0.301788803355133</v>
      </c>
      <c r="H98" s="130" t="n">
        <f aca="false">G98*(1+((1-G98)*$F$88))</f>
        <v>0.346058016047792</v>
      </c>
      <c r="I98" s="130" t="n">
        <f aca="false">H98*(1+((1-H98)*$F$88))</f>
        <v>0.393602484959153</v>
      </c>
      <c r="J98" s="130" t="n">
        <f aca="false">I98*(1+((1-I98)*$F$88))</f>
        <v>0.443747424371542</v>
      </c>
      <c r="K98" s="130" t="n">
        <f aca="false">J98*(1+((1-J98)*$F$88))</f>
        <v>0.495605899996766</v>
      </c>
      <c r="L98" s="130" t="n">
        <f aca="false">K98*(1+((1-K98)*$F$88))</f>
        <v>0.548125127814347</v>
      </c>
      <c r="M98" s="130" t="n">
        <f aca="false">L98*(1+((1-L98)*$F$88))</f>
        <v>0.600161830561107</v>
      </c>
      <c r="N98" s="130" t="n">
        <f aca="false">M98*(1+((1-M98)*$F$88))</f>
        <v>0.650577378108094</v>
      </c>
      <c r="O98" s="130" t="n">
        <f aca="false">N98*(1+((1-N98)*$F$88))</f>
        <v>0.698337105848059</v>
      </c>
      <c r="P98" s="130" t="n">
        <f aca="false">O98*(1+((1-O98)*$F$88))</f>
        <v>0.742595828783492</v>
      </c>
      <c r="Q98" s="130" t="n">
        <f aca="false">P98*(1+((1-P98)*$F$88))</f>
        <v>0.782754557129668</v>
      </c>
      <c r="R98" s="130" t="n">
        <f aca="false">Q98*(1+((1-Q98)*$F$88))</f>
        <v>0.818480865799838</v>
      </c>
      <c r="S98" s="130" t="n">
        <f aca="false">R98*(1+((1-R98)*$F$88))</f>
        <v>0.849694390204837</v>
      </c>
      <c r="T98" s="130" t="n">
        <f aca="false">S98*(1+((1-S98)*$F$88))</f>
        <v>0.876526190150351</v>
      </c>
      <c r="U98" s="130" t="n">
        <f aca="false">T98*(1+((1-T98)*$F$88))</f>
        <v>0.899264156121993</v>
      </c>
      <c r="V98" s="130" t="n">
        <f aca="false">U98*(1+((1-U98)*$F$88))</f>
        <v>0.918296101317961</v>
      </c>
      <c r="W98" s="130" t="n">
        <f aca="false">V98*(1+((1-V98)*$F$88))</f>
        <v>0.934059047297078</v>
      </c>
      <c r="X98" s="130" t="n">
        <f aca="false">W98*(1+((1-W98)*$F$88))</f>
        <v>0.946999260004178</v>
      </c>
      <c r="Y98" s="130" t="n">
        <f aca="false">X98*(1+((1-X98)*$F$88))</f>
        <v>0.957544183645715</v>
      </c>
      <c r="Z98" s="130" t="n">
        <f aca="false">Y98*(1+((1-Y98)*$F$88))</f>
        <v>0.96608516718788</v>
      </c>
      <c r="AA98" s="130" t="n">
        <f aca="false">Z98*(1+((1-Z98)*$F$88))</f>
        <v>0.972968788349944</v>
      </c>
      <c r="AB98" s="130" t="n">
        <f aca="false">AA98*(1+((1-AA98)*$F$88))</f>
        <v>0.978494348211154</v>
      </c>
      <c r="AC98" s="130" t="n">
        <f aca="false">AB98*(1+((1-AB98)*$F$88))</f>
        <v>0.982915371447017</v>
      </c>
    </row>
    <row r="99" customFormat="false" ht="14.65" hidden="false" customHeight="false" outlineLevel="0" collapsed="false">
      <c r="A99" s="130" t="s">
        <v>301</v>
      </c>
      <c r="B99" s="130" t="n">
        <v>0.2598</v>
      </c>
      <c r="C99" s="130" t="n">
        <f aca="false">B99*(1+((1-B99)*$F$88))</f>
        <v>0.300201742267769</v>
      </c>
      <c r="D99" s="130" t="n">
        <f aca="false">C99*(1+((1-C99)*$F$88))</f>
        <v>0.344338246412176</v>
      </c>
      <c r="E99" s="130" t="n">
        <f aca="false">D99*(1+((1-D99)*$F$88))</f>
        <v>0.391770851840413</v>
      </c>
      <c r="F99" s="130" t="n">
        <f aca="false">E99*(1+((1-E99)*$F$88))</f>
        <v>0.441833200004985</v>
      </c>
      <c r="G99" s="130" t="n">
        <f aca="false">F99*(1+((1-F99)*$F$88))</f>
        <v>0.493645660115942</v>
      </c>
      <c r="H99" s="130" t="n">
        <f aca="false">G99*(1+((1-G99)*$F$88))</f>
        <v>0.546160461371855</v>
      </c>
      <c r="I99" s="130" t="n">
        <f aca="false">H99*(1+((1-H99)*$F$88))</f>
        <v>0.598236081715288</v>
      </c>
      <c r="J99" s="130" t="n">
        <f aca="false">I99*(1+((1-I99)*$F$88))</f>
        <v>0.64873189840235</v>
      </c>
      <c r="K99" s="130" t="n">
        <f aca="false">J99*(1+((1-J99)*$F$88))</f>
        <v>0.696607675119543</v>
      </c>
      <c r="L99" s="130" t="n">
        <f aca="false">K99*(1+((1-K99)*$F$88))</f>
        <v>0.741009897894956</v>
      </c>
      <c r="M99" s="130" t="n">
        <f aca="false">L99*(1+((1-L99)*$F$88))</f>
        <v>0.78132976037875</v>
      </c>
      <c r="N99" s="130" t="n">
        <f aca="false">M99*(1+((1-M99)*$F$88))</f>
        <v>0.81722492205946</v>
      </c>
      <c r="O99" s="130" t="n">
        <f aca="false">N99*(1+((1-N99)*$F$88))</f>
        <v>0.848606187074306</v>
      </c>
      <c r="P99" s="130" t="n">
        <f aca="false">O99*(1+((1-O99)*$F$88))</f>
        <v>0.875597635297768</v>
      </c>
      <c r="Q99" s="130" t="n">
        <f aca="false">P99*(1+((1-P99)*$F$88))</f>
        <v>0.898482327843241</v>
      </c>
      <c r="R99" s="130" t="n">
        <f aca="false">Q99*(1+((1-Q99)*$F$88))</f>
        <v>0.917645308288694</v>
      </c>
      <c r="S99" s="130" t="n">
        <f aca="false">R99*(1+((1-R99)*$F$88))</f>
        <v>0.933522550153677</v>
      </c>
      <c r="T99" s="130" t="n">
        <f aca="false">S99*(1+((1-S99)*$F$88))</f>
        <v>0.946560551772221</v>
      </c>
      <c r="U99" s="130" t="n">
        <f aca="false">T99*(1+((1-T99)*$F$88))</f>
        <v>0.95718783445418</v>
      </c>
      <c r="V99" s="130" t="n">
        <f aca="false">U99*(1+((1-U99)*$F$88))</f>
        <v>0.965797300798922</v>
      </c>
      <c r="W99" s="130" t="n">
        <f aca="false">V99*(1+((1-V99)*$F$88))</f>
        <v>0.972737281050382</v>
      </c>
      <c r="X99" s="130" t="n">
        <f aca="false">W99*(1+((1-W99)*$F$88))</f>
        <v>0.978308838253112</v>
      </c>
      <c r="Y99" s="130" t="n">
        <f aca="false">X99*(1+((1-X99)*$F$88))</f>
        <v>0.982767152289503</v>
      </c>
      <c r="Z99" s="130" t="n">
        <f aca="false">Y99*(1+((1-Y99)*$F$88))</f>
        <v>0.986325263751751</v>
      </c>
      <c r="AA99" s="130" t="n">
        <f aca="false">Z99*(1+((1-Z99)*$F$88))</f>
        <v>0.989158944908692</v>
      </c>
      <c r="AB99" s="130" t="n">
        <f aca="false">AA99*(1+((1-AA99)*$F$88))</f>
        <v>0.991411884258115</v>
      </c>
      <c r="AC99" s="130" t="n">
        <f aca="false">AB99*(1+((1-AB99)*$F$88))</f>
        <v>0.993200692864524</v>
      </c>
    </row>
    <row r="100" customFormat="false" ht="12.8" hidden="false" customHeight="false" outlineLevel="0" collapsed="false">
      <c r="A100" s="130"/>
      <c r="B100" s="130"/>
      <c r="C100" s="130"/>
      <c r="D100" s="130"/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</row>
    <row r="101" customFormat="false" ht="12.8" hidden="false" customHeight="false" outlineLevel="0" collapsed="false">
      <c r="A101" s="130" t="s">
        <v>295</v>
      </c>
      <c r="B101" s="1" t="s">
        <v>43</v>
      </c>
      <c r="C101" s="1" t="n">
        <v>2024</v>
      </c>
      <c r="D101" s="1" t="n">
        <v>2025</v>
      </c>
      <c r="E101" s="1" t="n">
        <v>2026</v>
      </c>
      <c r="F101" s="1" t="n">
        <v>2027</v>
      </c>
      <c r="G101" s="1" t="n">
        <v>2028</v>
      </c>
      <c r="H101" s="1" t="n">
        <v>2029</v>
      </c>
      <c r="I101" s="1" t="n">
        <v>2030</v>
      </c>
      <c r="J101" s="1" t="n">
        <v>2031</v>
      </c>
      <c r="K101" s="1" t="n">
        <v>2032</v>
      </c>
      <c r="L101" s="1" t="n">
        <v>2033</v>
      </c>
      <c r="M101" s="1" t="n">
        <v>2034</v>
      </c>
      <c r="N101" s="1" t="n">
        <v>2035</v>
      </c>
      <c r="O101" s="1" t="n">
        <v>2036</v>
      </c>
      <c r="P101" s="1" t="n">
        <v>2037</v>
      </c>
      <c r="Q101" s="1" t="n">
        <v>2038</v>
      </c>
      <c r="R101" s="1" t="n">
        <v>2039</v>
      </c>
      <c r="S101" s="1" t="n">
        <v>2040</v>
      </c>
      <c r="T101" s="1" t="n">
        <v>2041</v>
      </c>
      <c r="U101" s="1" t="n">
        <v>2042</v>
      </c>
      <c r="V101" s="1" t="n">
        <v>2043</v>
      </c>
      <c r="W101" s="1" t="n">
        <v>2044</v>
      </c>
      <c r="X101" s="1" t="n">
        <v>2045</v>
      </c>
      <c r="Y101" s="1" t="n">
        <v>2046</v>
      </c>
      <c r="Z101" s="1" t="n">
        <v>2047</v>
      </c>
      <c r="AA101" s="1" t="n">
        <v>2048</v>
      </c>
      <c r="AB101" s="1" t="n">
        <v>2049</v>
      </c>
      <c r="AC101" s="1" t="n">
        <v>2050</v>
      </c>
    </row>
    <row r="102" customFormat="false" ht="15.8" hidden="false" customHeight="false" outlineLevel="0" collapsed="false">
      <c r="A102" s="130" t="s">
        <v>302</v>
      </c>
      <c r="B102" s="130" t="n">
        <v>0</v>
      </c>
      <c r="C102" s="130" t="n">
        <v>0</v>
      </c>
      <c r="D102" s="130" t="n">
        <v>0</v>
      </c>
      <c r="E102" s="130" t="n">
        <v>0</v>
      </c>
      <c r="F102" s="130" t="n">
        <v>0</v>
      </c>
      <c r="G102" s="130" t="n">
        <v>0</v>
      </c>
      <c r="H102" s="130" t="n">
        <v>0</v>
      </c>
      <c r="I102" s="130" t="n">
        <v>0.0025</v>
      </c>
      <c r="J102" s="130" t="n">
        <f aca="false">I102*1.2</f>
        <v>0.003</v>
      </c>
      <c r="K102" s="130" t="n">
        <f aca="false">J102*1.2</f>
        <v>0.0036</v>
      </c>
      <c r="L102" s="130" t="n">
        <f aca="false">K102*1.2</f>
        <v>0.00432</v>
      </c>
      <c r="M102" s="130" t="n">
        <f aca="false">L102*1.2</f>
        <v>0.005184</v>
      </c>
      <c r="N102" s="130" t="n">
        <f aca="false">M102*1.2</f>
        <v>0.0062208</v>
      </c>
      <c r="O102" s="130" t="n">
        <f aca="false">N102*1.09</f>
        <v>0.006780672</v>
      </c>
      <c r="P102" s="130" t="n">
        <f aca="false">O102*1.09</f>
        <v>0.00739093248</v>
      </c>
      <c r="Q102" s="130" t="n">
        <f aca="false">P102*1.09</f>
        <v>0.0080561164032</v>
      </c>
      <c r="R102" s="130" t="n">
        <f aca="false">Q102*1.09</f>
        <v>0.008781166879488</v>
      </c>
      <c r="S102" s="130" t="n">
        <f aca="false">R102*1.09</f>
        <v>0.00957147189864192</v>
      </c>
      <c r="T102" s="130" t="n">
        <f aca="false">S102*1.09</f>
        <v>0.0104329043695197</v>
      </c>
      <c r="U102" s="130" t="n">
        <f aca="false">T102*1.09</f>
        <v>0.0113718657627765</v>
      </c>
      <c r="V102" s="130" t="n">
        <f aca="false">U102*1.09</f>
        <v>0.0123953336814264</v>
      </c>
      <c r="W102" s="130" t="n">
        <f aca="false">V102*1.09</f>
        <v>0.0135109137127547</v>
      </c>
      <c r="X102" s="130" t="n">
        <f aca="false">W102*1.09</f>
        <v>0.0147268959469027</v>
      </c>
      <c r="Y102" s="130" t="n">
        <f aca="false">X102*1.09</f>
        <v>0.0160523165821239</v>
      </c>
      <c r="Z102" s="130" t="n">
        <f aca="false">Y102*1.09</f>
        <v>0.017497025074515</v>
      </c>
      <c r="AA102" s="130" t="n">
        <f aca="false">Z102*1.09</f>
        <v>0.0190717573312214</v>
      </c>
      <c r="AB102" s="130" t="n">
        <f aca="false">AA102*1.09</f>
        <v>0.0207882154910313</v>
      </c>
      <c r="AC102" s="130" t="n">
        <f aca="false">AB102*1.09</f>
        <v>0.0226591548852241</v>
      </c>
    </row>
    <row r="103" customFormat="false" ht="15.8" hidden="false" customHeight="false" outlineLevel="0" collapsed="false">
      <c r="A103" s="130" t="s">
        <v>303</v>
      </c>
      <c r="B103" s="130" t="n">
        <v>0</v>
      </c>
      <c r="C103" s="130" t="n">
        <v>0</v>
      </c>
      <c r="D103" s="130" t="n">
        <f aca="false">2/480</f>
        <v>0.00416666666666667</v>
      </c>
      <c r="E103" s="130" t="n">
        <f aca="false">D103+((D103-C103)*1.3)</f>
        <v>0.00958333333333333</v>
      </c>
      <c r="F103" s="130" t="n">
        <f aca="false">E103+((E103-D103)*1.3)</f>
        <v>0.016625</v>
      </c>
      <c r="G103" s="130" t="n">
        <f aca="false">F103+((F108*1.15)/480)</f>
        <v>0.0247229166666667</v>
      </c>
      <c r="H103" s="130" t="n">
        <f aca="false">G103+((G108*1.15)/480)</f>
        <v>0.0340355208333333</v>
      </c>
      <c r="I103" s="130" t="n">
        <f aca="false">H103+((H108*1.15)/480)</f>
        <v>0.044745015625</v>
      </c>
      <c r="J103" s="130" t="n">
        <f aca="false">I103+((I108*1.15)/480)</f>
        <v>0.0570609346354167</v>
      </c>
      <c r="K103" s="130" t="n">
        <f aca="false">J103+((J108*1.15)/480)</f>
        <v>0.0712242414973958</v>
      </c>
      <c r="L103" s="130" t="n">
        <f aca="false">K103+((K103-J103)*1.3)</f>
        <v>0.0896365404179687</v>
      </c>
      <c r="M103" s="130" t="n">
        <f aca="false">L103+((L108*1.15)/480)</f>
        <v>0.110810684176628</v>
      </c>
      <c r="N103" s="130" t="n">
        <f aca="false">M103+((M108*1.15)/480)</f>
        <v>0.135160949499085</v>
      </c>
      <c r="O103" s="130" t="n">
        <f aca="false">N103+((N108*1.15)/480)</f>
        <v>0.163163754619912</v>
      </c>
      <c r="P103" s="130" t="n">
        <f aca="false">O103+((O108*1.15)/480)</f>
        <v>0.195366980508862</v>
      </c>
      <c r="Q103" s="130" t="n">
        <f aca="false">P103+((P108*1.15)/480)</f>
        <v>0.232400690281155</v>
      </c>
      <c r="R103" s="130" t="n">
        <f aca="false">Q103+((Q108*1.15)/480)</f>
        <v>0.274989456519291</v>
      </c>
      <c r="S103" s="130" t="n">
        <f aca="false">R103+((R108*1.15)/480)</f>
        <v>0.323966537693148</v>
      </c>
      <c r="T103" s="130" t="n">
        <f aca="false">S103+((S108*1.15)/480)</f>
        <v>0.380290181043084</v>
      </c>
      <c r="U103" s="130" t="n">
        <f aca="false">T103+((T108*1.15)/480)</f>
        <v>0.44506237089551</v>
      </c>
      <c r="V103" s="130" t="n">
        <f aca="false">U103+((U108*1.15)/480)</f>
        <v>0.5195503892258</v>
      </c>
      <c r="W103" s="130" t="n">
        <f aca="false">V103+((V108*1.15)/480)</f>
        <v>0.605211610305634</v>
      </c>
      <c r="X103" s="130" t="n">
        <f aca="false">W103+((W108*1.15)/480)</f>
        <v>0.703722014547443</v>
      </c>
      <c r="Y103" s="130" t="n">
        <f aca="false">X103+((X108*1.15)/480)</f>
        <v>0.817008979425522</v>
      </c>
      <c r="Z103" s="130" t="n">
        <f aca="false">Y103+((Y108*1.15)/480)</f>
        <v>0.947288989035314</v>
      </c>
      <c r="AA103" s="130" t="n">
        <f aca="false">Z103+0.1</f>
        <v>1.04728898903531</v>
      </c>
      <c r="AB103" s="130" t="n">
        <f aca="false">AA103+0.1</f>
        <v>1.14728898903531</v>
      </c>
      <c r="AC103" s="130" t="n">
        <f aca="false">AB103+((AB108*1.15)/480)</f>
        <v>1.26228898903531</v>
      </c>
    </row>
    <row r="104" customFormat="false" ht="15.8" hidden="false" customHeight="false" outlineLevel="0" collapsed="false">
      <c r="A104" s="130" t="s">
        <v>304</v>
      </c>
      <c r="B104" s="130" t="n">
        <v>0</v>
      </c>
      <c r="C104" s="130" t="n">
        <v>0</v>
      </c>
      <c r="D104" s="130" t="n">
        <f aca="false">3/480</f>
        <v>0.00625</v>
      </c>
      <c r="E104" s="130" t="n">
        <f aca="false">D104+((D104-C104)*1.25)</f>
        <v>0.0140625</v>
      </c>
      <c r="F104" s="130" t="n">
        <f aca="false">E104+((E104-D104)*1.25)</f>
        <v>0.023828125</v>
      </c>
      <c r="G104" s="130" t="n">
        <f aca="false">F104+((F104-E104)*1.25)</f>
        <v>0.03603515625</v>
      </c>
      <c r="H104" s="130" t="n">
        <f aca="false">G104+((G104-F104)*1.25)</f>
        <v>0.0512939453125</v>
      </c>
      <c r="I104" s="130" t="n">
        <f aca="false">H104+((H104-G104)*1.25)</f>
        <v>0.070367431640625</v>
      </c>
      <c r="J104" s="130" t="n">
        <f aca="false">I104+((I107*1.15)/480)</f>
        <v>0.0923019409179688</v>
      </c>
      <c r="K104" s="130" t="n">
        <f aca="false">J104+((J107*1.15)/480)</f>
        <v>0.117526626586914</v>
      </c>
      <c r="L104" s="130" t="n">
        <f aca="false">K104+((K104-J104)*1.3)</f>
        <v>0.150318717956543</v>
      </c>
      <c r="M104" s="130" t="n">
        <f aca="false">L104+((L107*1.15)/480)</f>
        <v>0.188029623031616</v>
      </c>
      <c r="N104" s="130" t="n">
        <f aca="false">M104+((M107*1.15)/480)</f>
        <v>0.23139716386795</v>
      </c>
      <c r="O104" s="130" t="n">
        <f aca="false">N104+((N107*1.15)/480)</f>
        <v>0.281269835829735</v>
      </c>
      <c r="P104" s="130" t="n">
        <f aca="false">O104+((O107*1.15)/480)</f>
        <v>0.338623408585787</v>
      </c>
      <c r="Q104" s="130" t="n">
        <f aca="false">P104+((P107*1.15)/480)</f>
        <v>0.404580017255247</v>
      </c>
      <c r="R104" s="130" t="n">
        <f aca="false">Q104+((Q107*1.15)/480)</f>
        <v>0.480430117225125</v>
      </c>
      <c r="S104" s="130" t="n">
        <f aca="false">R104+((R107*1.15)/480)</f>
        <v>0.567657732190486</v>
      </c>
      <c r="T104" s="130" t="n">
        <f aca="false">S104+((S107*1.15)/480)</f>
        <v>0.667969489400651</v>
      </c>
      <c r="U104" s="130" t="n">
        <f aca="false">T104+((T107*1.15)/480)</f>
        <v>0.78332801019234</v>
      </c>
      <c r="V104" s="130" t="n">
        <f aca="false">U104+((U107*1.15)/480)</f>
        <v>0.915990309102783</v>
      </c>
      <c r="W104" s="130" t="n">
        <f aca="false">V104+((V107*1.15)/480)</f>
        <v>1.06855195284979</v>
      </c>
      <c r="X104" s="130" t="n">
        <f aca="false">W104+0.1</f>
        <v>1.16855195284979</v>
      </c>
      <c r="Y104" s="130" t="n">
        <f aca="false">X104+0.1</f>
        <v>1.26855195284979</v>
      </c>
      <c r="Z104" s="130" t="n">
        <f aca="false">Y104+0.1</f>
        <v>1.36855195284979</v>
      </c>
      <c r="AA104" s="130" t="n">
        <v>1</v>
      </c>
      <c r="AB104" s="130" t="n">
        <f aca="false">AA104+((AA107*1.15)/480)</f>
        <v>1</v>
      </c>
      <c r="AC104" s="130" t="n">
        <f aca="false">AB104+((AB107*1.15)/480)</f>
        <v>1</v>
      </c>
    </row>
    <row r="105" customFormat="false" ht="15.8" hidden="false" customHeight="false" outlineLevel="0" collapsed="false">
      <c r="A105" s="130" t="s">
        <v>305</v>
      </c>
      <c r="B105" s="130" t="n">
        <v>0</v>
      </c>
      <c r="C105" s="130" t="n">
        <v>0</v>
      </c>
      <c r="D105" s="130" t="n">
        <f aca="false">5/480</f>
        <v>0.0104166666666667</v>
      </c>
      <c r="E105" s="130" t="n">
        <f aca="false">D105+((D105-C105)*1.4)</f>
        <v>0.025</v>
      </c>
      <c r="F105" s="130" t="n">
        <f aca="false">E105+((E105-D105)*1.4)</f>
        <v>0.0454166666666667</v>
      </c>
      <c r="G105" s="130" t="n">
        <f aca="false">F105+((F105-E105)*1.4)</f>
        <v>0.074</v>
      </c>
      <c r="H105" s="130" t="n">
        <f aca="false">G105+((G105-F105)*1.4)</f>
        <v>0.114016666666667</v>
      </c>
      <c r="I105" s="130" t="n">
        <f aca="false">H105+((H105-G105)*1.4)</f>
        <v>0.17004</v>
      </c>
      <c r="J105" s="130" t="n">
        <f aca="false">I105+((I105-H105)*1.25)</f>
        <v>0.240069166666667</v>
      </c>
      <c r="K105" s="130" t="n">
        <f aca="false">J105+(40/480)</f>
        <v>0.3234025</v>
      </c>
      <c r="L105" s="130" t="n">
        <f aca="false">K105+(40/480)</f>
        <v>0.406735833333333</v>
      </c>
      <c r="M105" s="130" t="n">
        <f aca="false">L105+(40/480)</f>
        <v>0.490069166666667</v>
      </c>
      <c r="N105" s="130" t="n">
        <f aca="false">M105+(40/480)</f>
        <v>0.5734025</v>
      </c>
      <c r="O105" s="130" t="n">
        <f aca="false">N105+(40/480)</f>
        <v>0.656735833333333</v>
      </c>
      <c r="P105" s="130" t="n">
        <f aca="false">O105+(40/480)</f>
        <v>0.740069166666667</v>
      </c>
      <c r="Q105" s="130" t="n">
        <f aca="false">P105+(40/480)</f>
        <v>0.8234025</v>
      </c>
      <c r="R105" s="130" t="n">
        <f aca="false">Q105+(40/480)</f>
        <v>0.906735833333333</v>
      </c>
      <c r="S105" s="130" t="n">
        <f aca="false">R105+(40/480)</f>
        <v>0.990069166666667</v>
      </c>
      <c r="T105" s="130" t="n">
        <v>1</v>
      </c>
      <c r="U105" s="130" t="n">
        <v>1</v>
      </c>
      <c r="V105" s="130" t="n">
        <v>1</v>
      </c>
      <c r="W105" s="130" t="n">
        <v>1</v>
      </c>
      <c r="X105" s="130" t="n">
        <v>1</v>
      </c>
      <c r="Y105" s="130" t="n">
        <v>1</v>
      </c>
      <c r="Z105" s="130" t="n">
        <v>1</v>
      </c>
      <c r="AA105" s="130" t="n">
        <v>1</v>
      </c>
      <c r="AB105" s="130" t="n">
        <v>1</v>
      </c>
      <c r="AC105" s="130" t="n">
        <v>1</v>
      </c>
    </row>
    <row r="106" s="135" customFormat="true" ht="15.8" hidden="false" customHeight="false" outlineLevel="0" collapsed="false">
      <c r="A106" s="124" t="s">
        <v>306</v>
      </c>
      <c r="B106" s="130" t="s">
        <v>307</v>
      </c>
      <c r="C106" s="124" t="n">
        <f aca="false">(C105-B105)*480</f>
        <v>0</v>
      </c>
      <c r="D106" s="124" t="n">
        <f aca="false">(D105-C105)*480</f>
        <v>5</v>
      </c>
      <c r="E106" s="124" t="n">
        <f aca="false">(E105-D105)*480</f>
        <v>7</v>
      </c>
      <c r="F106" s="124" t="n">
        <f aca="false">(F105-E105)*480</f>
        <v>9.8</v>
      </c>
      <c r="G106" s="124" t="n">
        <f aca="false">(G105-F105)*480</f>
        <v>13.72</v>
      </c>
      <c r="H106" s="124" t="n">
        <f aca="false">(H105-G105)*480</f>
        <v>19.208</v>
      </c>
      <c r="I106" s="124" t="n">
        <f aca="false">(I105-H105)*480</f>
        <v>26.8912</v>
      </c>
      <c r="J106" s="124" t="n">
        <f aca="false">(J105-I105)*480</f>
        <v>33.614</v>
      </c>
      <c r="K106" s="124" t="n">
        <f aca="false">(K105-J105)*480</f>
        <v>40</v>
      </c>
      <c r="L106" s="124" t="n">
        <f aca="false">(L105-K105)*480</f>
        <v>40</v>
      </c>
      <c r="M106" s="124" t="n">
        <f aca="false">(M105-L105)*480</f>
        <v>40</v>
      </c>
      <c r="N106" s="124" t="n">
        <f aca="false">(N105-M105)*480</f>
        <v>40</v>
      </c>
      <c r="O106" s="124" t="n">
        <f aca="false">(O105-N105)*480</f>
        <v>40</v>
      </c>
      <c r="P106" s="124" t="n">
        <f aca="false">(P105-O105)*480</f>
        <v>40</v>
      </c>
      <c r="Q106" s="124" t="n">
        <f aca="false">(Q105-P105)*480</f>
        <v>40</v>
      </c>
      <c r="R106" s="124" t="n">
        <f aca="false">(R105-Q105)*480</f>
        <v>40</v>
      </c>
      <c r="S106" s="124" t="n">
        <f aca="false">(S105-R105)*480</f>
        <v>40</v>
      </c>
      <c r="T106" s="124" t="n">
        <f aca="false">(T105-S105)*480</f>
        <v>4.7668</v>
      </c>
      <c r="U106" s="124"/>
      <c r="V106" s="124"/>
      <c r="W106" s="124"/>
      <c r="X106" s="124"/>
      <c r="Y106" s="124"/>
      <c r="Z106" s="124"/>
      <c r="AA106" s="124"/>
      <c r="AB106" s="124"/>
      <c r="AC106" s="124"/>
    </row>
    <row r="107" s="137" customFormat="true" ht="15.8" hidden="false" customHeight="false" outlineLevel="0" collapsed="false">
      <c r="A107" s="136"/>
      <c r="B107" s="136" t="s">
        <v>308</v>
      </c>
      <c r="C107" s="136"/>
      <c r="D107" s="136" t="n">
        <f aca="false">(D104-C104)*480</f>
        <v>3</v>
      </c>
      <c r="E107" s="136" t="n">
        <f aca="false">(E104-D104)*480</f>
        <v>3.75</v>
      </c>
      <c r="F107" s="136" t="n">
        <f aca="false">(F104-E104)*480</f>
        <v>4.6875</v>
      </c>
      <c r="G107" s="136" t="n">
        <f aca="false">(G104-F104)*480</f>
        <v>5.859375</v>
      </c>
      <c r="H107" s="136" t="n">
        <f aca="false">(H104-G104)*480</f>
        <v>7.32421875</v>
      </c>
      <c r="I107" s="136" t="n">
        <f aca="false">(I104-H104)*480</f>
        <v>9.1552734375</v>
      </c>
      <c r="J107" s="136" t="n">
        <f aca="false">(J104-I104)*480</f>
        <v>10.528564453125</v>
      </c>
      <c r="K107" s="136" t="n">
        <f aca="false">(K104-J104)*480</f>
        <v>12.1078491210938</v>
      </c>
      <c r="L107" s="136" t="n">
        <f aca="false">(L104-K104)*480</f>
        <v>15.7402038574219</v>
      </c>
      <c r="M107" s="136" t="n">
        <f aca="false">(M104-L104)*480</f>
        <v>18.1012344360352</v>
      </c>
      <c r="N107" s="136" t="n">
        <f aca="false">(N104-M104)*480</f>
        <v>20.8164196014404</v>
      </c>
      <c r="O107" s="136" t="n">
        <f aca="false">(O104-N104)*480</f>
        <v>23.9388825416565</v>
      </c>
      <c r="P107" s="136" t="n">
        <f aca="false">(P104-O104)*480</f>
        <v>27.529714922905</v>
      </c>
      <c r="Q107" s="136" t="n">
        <f aca="false">(Q104-P104)*480</f>
        <v>31.6591721613407</v>
      </c>
      <c r="R107" s="136" t="n">
        <f aca="false">(R104-Q104)*480</f>
        <v>36.4080479855418</v>
      </c>
      <c r="S107" s="136" t="n">
        <f aca="false">(S104-R104)*480</f>
        <v>41.8692551833731</v>
      </c>
      <c r="T107" s="136" t="n">
        <f aca="false">(T104-S104)*480</f>
        <v>48.149643460879</v>
      </c>
      <c r="U107" s="136" t="n">
        <f aca="false">(U104-T104)*480</f>
        <v>55.3720899800109</v>
      </c>
      <c r="V107" s="136" t="n">
        <f aca="false">(V104-U104)*480</f>
        <v>63.6779034770125</v>
      </c>
      <c r="W107" s="136" t="n">
        <f aca="false">(W104-V104)*480</f>
        <v>73.2295889985644</v>
      </c>
      <c r="X107" s="136" t="n">
        <f aca="false">(X104-W104)*480</f>
        <v>48</v>
      </c>
      <c r="Y107" s="136" t="n">
        <f aca="false">(Y104-X104)*480</f>
        <v>48</v>
      </c>
      <c r="Z107" s="136" t="n">
        <f aca="false">(Z104-Y104)*480</f>
        <v>48</v>
      </c>
      <c r="AA107" s="136"/>
      <c r="AB107" s="136"/>
      <c r="AC107" s="136"/>
    </row>
    <row r="108" customFormat="false" ht="15.8" hidden="false" customHeight="false" outlineLevel="0" collapsed="false">
      <c r="A108" s="130"/>
      <c r="B108" s="130" t="s">
        <v>309</v>
      </c>
      <c r="C108" s="130"/>
      <c r="D108" s="136" t="n">
        <f aca="false">(D103-C103)*480</f>
        <v>2</v>
      </c>
      <c r="E108" s="136" t="n">
        <f aca="false">(E103-D103)*480</f>
        <v>2.6</v>
      </c>
      <c r="F108" s="136" t="n">
        <f aca="false">(F103-E103)*480</f>
        <v>3.38</v>
      </c>
      <c r="G108" s="136" t="n">
        <f aca="false">(G103-F103)*480</f>
        <v>3.887</v>
      </c>
      <c r="H108" s="136" t="n">
        <f aca="false">(H103-G103)*480</f>
        <v>4.47005</v>
      </c>
      <c r="I108" s="136" t="n">
        <f aca="false">(I103-H103)*480</f>
        <v>5.1405575</v>
      </c>
      <c r="J108" s="136" t="n">
        <f aca="false">(J103-I103)*480</f>
        <v>5.911641125</v>
      </c>
      <c r="K108" s="136" t="n">
        <f aca="false">(K103-J103)*480</f>
        <v>6.79838729375</v>
      </c>
      <c r="L108" s="136" t="n">
        <f aca="false">(L103-K103)*480</f>
        <v>8.83790348187499</v>
      </c>
      <c r="M108" s="136" t="n">
        <f aca="false">(M103-L103)*480</f>
        <v>10.1635890041562</v>
      </c>
      <c r="N108" s="136" t="n">
        <f aca="false">(N103-M103)*480</f>
        <v>11.6881273547797</v>
      </c>
      <c r="O108" s="136" t="n">
        <f aca="false">(O103-N103)*480</f>
        <v>13.4413464579966</v>
      </c>
      <c r="P108" s="136" t="n">
        <f aca="false">(P103-O103)*480</f>
        <v>15.4575484266961</v>
      </c>
      <c r="Q108" s="136" t="n">
        <f aca="false">(Q103-P103)*480</f>
        <v>17.7761806907005</v>
      </c>
      <c r="R108" s="136" t="n">
        <f aca="false">(R103-Q103)*480</f>
        <v>20.4426077943056</v>
      </c>
      <c r="S108" s="136" t="n">
        <f aca="false">(S103-R103)*480</f>
        <v>23.5089989634514</v>
      </c>
      <c r="T108" s="136" t="n">
        <f aca="false">(T103-S103)*480</f>
        <v>27.0353488079692</v>
      </c>
      <c r="U108" s="136" t="n">
        <f aca="false">(U103-T103)*480</f>
        <v>31.0906511291646</v>
      </c>
      <c r="V108" s="136" t="n">
        <f aca="false">(V103-U103)*480</f>
        <v>35.7542487985392</v>
      </c>
      <c r="W108" s="136" t="n">
        <f aca="false">(W103-V103)*480</f>
        <v>41.1173861183201</v>
      </c>
      <c r="X108" s="136" t="n">
        <f aca="false">(X103-W103)*480</f>
        <v>47.2849940360681</v>
      </c>
      <c r="Y108" s="136" t="n">
        <f aca="false">(Y103-X103)*480</f>
        <v>54.3777431414783</v>
      </c>
      <c r="Z108" s="136" t="n">
        <f aca="false">(Z103-Y103)*480</f>
        <v>62.5344046127001</v>
      </c>
      <c r="AA108" s="136" t="n">
        <f aca="false">(AA103-Z103)*480</f>
        <v>48</v>
      </c>
      <c r="AB108" s="136" t="n">
        <f aca="false">(AB103-AA103)*480</f>
        <v>48</v>
      </c>
      <c r="AC108" s="136" t="n">
        <f aca="false">(AC103-AB103)*480</f>
        <v>55.2</v>
      </c>
    </row>
    <row r="109" customFormat="false" ht="14.65" hidden="false" customHeight="false" outlineLevel="0" collapsed="false">
      <c r="A109" s="130" t="s">
        <v>310</v>
      </c>
      <c r="B109" s="130" t="n">
        <v>0</v>
      </c>
      <c r="C109" s="130" t="n">
        <v>0</v>
      </c>
      <c r="D109" s="130" t="n">
        <f aca="false">(C109*(1-$B$91))+(D95*($B$91))</f>
        <v>0.00246930682028889</v>
      </c>
      <c r="E109" s="130" t="n">
        <f aca="false">(D109*(1-$B$91))+(E95*($B$91))</f>
        <v>0.00527662151738606</v>
      </c>
      <c r="F109" s="130" t="n">
        <f aca="false">(E109*(1-$B$91))+(F95*($B$91))</f>
        <v>0.00849601650524568</v>
      </c>
      <c r="G109" s="130" t="n">
        <f aca="false">(F109*(1-$B$91))+(G95*($B$91))</f>
        <v>0.0122131463870569</v>
      </c>
      <c r="H109" s="130" t="n">
        <f aca="false">(G109*(1-$B$91))+(H95*($B$91))</f>
        <v>0.0165263850316616</v>
      </c>
      <c r="I109" s="130" t="n">
        <f aca="false">(H109*(1-$B$91))+(I95*($B$91))</f>
        <v>0.0215477019831361</v>
      </c>
      <c r="J109" s="130" t="n">
        <f aca="false">(I109*(1-$B$91))+(J95*($B$91))</f>
        <v>0.0274030756440792</v>
      </c>
      <c r="K109" s="130" t="n">
        <f aca="false">(J109*(1-$B$91))+(K95*($B$91))</f>
        <v>0.0342321784324897</v>
      </c>
      <c r="L109" s="130" t="n">
        <f aca="false">(K109*(1-$B$91))+(L95*($B$91))</f>
        <v>0.0421870090206355</v>
      </c>
      <c r="M109" s="130" t="n">
        <f aca="false">(L109*(1-$B$91))+(M95*($B$91))</f>
        <v>0.0514291039995292</v>
      </c>
      <c r="N109" s="130" t="n">
        <f aca="false">(M109*(1-$B$91))+(N95*($B$91))</f>
        <v>0.0621249593422711</v>
      </c>
      <c r="O109" s="130" t="n">
        <f aca="false">(N109*(1-$B$91))+(O95*($B$91))</f>
        <v>0.0744393619899549</v>
      </c>
      <c r="P109" s="130" t="n">
        <f aca="false">(O109*(1-$B$91))+(P95*($B$91))</f>
        <v>0.0885265076197198</v>
      </c>
      <c r="Q109" s="130" t="n">
        <f aca="false">(P109*(1-$B$91))+(Q95*($B$91))</f>
        <v>0.104519087307398</v>
      </c>
      <c r="R109" s="130" t="n">
        <f aca="false">(Q109*(1-$B$91))+(R95*($B$91))</f>
        <v>0.122515961159045</v>
      </c>
      <c r="S109" s="130" t="n">
        <f aca="false">(R109*(1-$B$91))+(S95*($B$91))</f>
        <v>0.142569549666325</v>
      </c>
      <c r="T109" s="130" t="n">
        <f aca="false">(S109*(1-$B$91))+(T95*($B$91))</f>
        <v>0.164674548747789</v>
      </c>
      <c r="U109" s="130" t="n">
        <f aca="false">(T109*(1-$B$91))+(U95*($B$91))</f>
        <v>0.188759844022597</v>
      </c>
      <c r="V109" s="130" t="n">
        <f aca="false">(U109*(1-$B$91))+(V95*($B$91))</f>
        <v>0.214685390440029</v>
      </c>
      <c r="W109" s="130" t="n">
        <f aca="false">(V109*(1-$B$91))+(W95*($B$91))</f>
        <v>0.242245238024716</v>
      </c>
      <c r="X109" s="130" t="n">
        <f aca="false">(W109*(1-$B$91))+(X95*($B$91))</f>
        <v>0.271176883267909</v>
      </c>
      <c r="Y109" s="130" t="n">
        <f aca="false">(X109*(1-$B$91))+(Y95*($B$91))</f>
        <v>0.301175949514204</v>
      </c>
      <c r="Z109" s="130" t="n">
        <f aca="false">(Y109*(1-$B$91))+(Z95*($B$91))</f>
        <v>0.331914198478785</v>
      </c>
      <c r="AA109" s="130" t="n">
        <f aca="false">(Z109*(1-$B$91))+(AA95*($B$91))</f>
        <v>0.363058360071783</v>
      </c>
      <c r="AB109" s="130" t="n">
        <f aca="false">(AA109*(1-$B$91))+(AB95*($B$91))</f>
        <v>0.394287369489539</v>
      </c>
      <c r="AC109" s="130" t="n">
        <f aca="false">(AB109*(1-$B$91))+(AC95*($B$91))</f>
        <v>0.425306219864218</v>
      </c>
    </row>
    <row r="110" customFormat="false" ht="14.65" hidden="false" customHeight="false" outlineLevel="0" collapsed="false">
      <c r="A110" s="130" t="s">
        <v>298</v>
      </c>
      <c r="B110" s="130" t="n">
        <f aca="false">B121/1144</f>
        <v>0</v>
      </c>
      <c r="C110" s="130" t="n">
        <f aca="false">C121/1144</f>
        <v>0</v>
      </c>
      <c r="D110" s="130" t="n">
        <f aca="false">(C110*(1-$B$91))+(D96*($B$91))</f>
        <v>0.00551192649159113</v>
      </c>
      <c r="E110" s="130" t="n">
        <f aca="false">(D110*(1-$B$91))+(E96*($B$91))</f>
        <v>0.0117243555402711</v>
      </c>
      <c r="F110" s="130" t="n">
        <f aca="false">(E110*(1-$B$91))+(F96*($B$91))</f>
        <v>0.0187730704262512</v>
      </c>
      <c r="G110" s="130" t="n">
        <f aca="false">(F110*(1-$B$91))+(G96*($B$91))</f>
        <v>0.0268068621254419</v>
      </c>
      <c r="H110" s="130" t="n">
        <f aca="false">(G110*(1-$B$91))+(H96*($B$91))</f>
        <v>0.0359856195640031</v>
      </c>
      <c r="I110" s="130" t="n">
        <f aca="false">(H110*(1-$B$91))+(I96*($B$91))</f>
        <v>0.0464768376874902</v>
      </c>
      <c r="J110" s="130" t="n">
        <f aca="false">(I110*(1-$B$91))+(J96*($B$91))</f>
        <v>0.0584501927820583</v>
      </c>
      <c r="K110" s="130" t="n">
        <f aca="false">(J110*(1-$B$91))+(K96*($B$91))</f>
        <v>0.0720699454922502</v>
      </c>
      <c r="L110" s="130" t="n">
        <f aca="false">(K110*(1-$B$91))+(L96*($B$91))</f>
        <v>0.0874851614727307</v>
      </c>
      <c r="M110" s="130" t="n">
        <f aca="false">(L110*(1-$B$91))+(M96*($B$91))</f>
        <v>0.104818103702497</v>
      </c>
      <c r="N110" s="130" t="n">
        <f aca="false">(M110*(1-$B$91))+(N96*($B$91))</f>
        <v>0.124151628591141</v>
      </c>
      <c r="O110" s="130" t="n">
        <f aca="false">(N110*(1-$B$91))+(O96*($B$91))</f>
        <v>0.145516932472591</v>
      </c>
      <c r="P110" s="130" t="n">
        <f aca="false">(O110*(1-$B$91))+(P96*($B$91))</f>
        <v>0.168883405157391</v>
      </c>
      <c r="Q110" s="130" t="n">
        <f aca="false">(P110*(1-$B$91))+(Q96*($B$91))</f>
        <v>0.194152474276915</v>
      </c>
      <c r="R110" s="130" t="n">
        <f aca="false">(Q110*(1-$B$91))+(R96*($B$91))</f>
        <v>0.221157016307009</v>
      </c>
      <c r="S110" s="130" t="n">
        <f aca="false">(R110*(1-$B$91))+(S96*($B$91))</f>
        <v>0.249667129448568</v>
      </c>
      <c r="T110" s="130" t="n">
        <f aca="false">(S110*(1-$B$91))+(T96*($B$91))</f>
        <v>0.279401949289441</v>
      </c>
      <c r="U110" s="130" t="n">
        <f aca="false">(T110*(1-$B$91))+(U96*($B$91))</f>
        <v>0.31004604215334</v>
      </c>
      <c r="V110" s="130" t="n">
        <f aca="false">(U110*(1-$B$91))+(V96*($B$91))</f>
        <v>0.341268086758169</v>
      </c>
      <c r="W110" s="130" t="n">
        <f aca="false">(V110*(1-$B$91))+(W96*($B$91))</f>
        <v>0.372739300109191</v>
      </c>
      <c r="X110" s="130" t="n">
        <f aca="false">(W110*(1-$B$91))+(X96*($B$91))</f>
        <v>0.404149409816734</v>
      </c>
      <c r="Y110" s="130" t="n">
        <f aca="false">(X110*(1-$B$91))+(Y96*($B$91))</f>
        <v>0.435218740777773</v>
      </c>
      <c r="Z110" s="130" t="n">
        <f aca="false">(Y110*(1-$B$91))+(Z96*($B$91))</f>
        <v>0.465705882112323</v>
      </c>
      <c r="AA110" s="130" t="n">
        <f aca="false">(Z110*(1-$B$91))+(AA96*($B$91))</f>
        <v>0.495411171894721</v>
      </c>
      <c r="AB110" s="130" t="n">
        <f aca="false">(AA110*(1-$B$91))+(AB96*($B$91))</f>
        <v>0.524176738497642</v>
      </c>
      <c r="AC110" s="130" t="n">
        <f aca="false">(AB110*(1-$B$91))+(AC96*($B$91))</f>
        <v>0.551884048896047</v>
      </c>
    </row>
    <row r="111" customFormat="false" ht="14.65" hidden="false" customHeight="false" outlineLevel="0" collapsed="false">
      <c r="A111" s="130" t="s">
        <v>299</v>
      </c>
      <c r="B111" s="130" t="n">
        <f aca="false">B132/1144</f>
        <v>0</v>
      </c>
      <c r="C111" s="130" t="n">
        <f aca="false">C132/1144</f>
        <v>0</v>
      </c>
      <c r="D111" s="130" t="n">
        <f aca="false">(C111*(1-$B$91))+(D97*($B$91))</f>
        <v>0.00928480612224278</v>
      </c>
      <c r="E111" s="130" t="n">
        <f aca="false">(D111*(1-$B$91))+(E97*($B$91))</f>
        <v>0.019636829915309</v>
      </c>
      <c r="F111" s="130" t="n">
        <f aca="false">(E111*(1-$B$91))+(F97*($B$91))</f>
        <v>0.0312289052247642</v>
      </c>
      <c r="G111" s="130" t="n">
        <f aca="false">(F111*(1-$B$91))+(G97*($B$91))</f>
        <v>0.0442355962465463</v>
      </c>
      <c r="H111" s="130" t="n">
        <f aca="false">(G111*(1-$B$91))+(H97*($B$91))</f>
        <v>0.0588255858616545</v>
      </c>
      <c r="I111" s="130" t="n">
        <f aca="false">(H111*(1-$B$91))+(I97*($B$91))</f>
        <v>0.0751518826858419</v>
      </c>
      <c r="J111" s="130" t="n">
        <f aca="false">(I111*(1-$B$91))+(J97*($B$91))</f>
        <v>0.093340208107898</v>
      </c>
      <c r="K111" s="130" t="n">
        <f aca="false">(J111*(1-$B$91))+(K97*($B$91))</f>
        <v>0.113476404104651</v>
      </c>
      <c r="L111" s="130" t="n">
        <f aca="false">(K111*(1-$B$91))+(L97*($B$91))</f>
        <v>0.135594216656765</v>
      </c>
      <c r="M111" s="130" t="n">
        <f aca="false">(L111*(1-$B$91))+(M97*($B$91))</f>
        <v>0.159665216447567</v>
      </c>
      <c r="N111" s="130" t="n">
        <f aca="false">(M111*(1-$B$91))+(N97*($B$91))</f>
        <v>0.185592739397368</v>
      </c>
      <c r="O111" s="130" t="n">
        <f aca="false">(N111*(1-$B$91))+(O97*($B$91))</f>
        <v>0.213211413743514</v>
      </c>
      <c r="P111" s="130" t="n">
        <f aca="false">(O111*(1-$B$91))+(P97*($B$91))</f>
        <v>0.242293052446221</v>
      </c>
      <c r="Q111" s="130" t="n">
        <f aca="false">(P111*(1-$B$91))+(Q97*($B$91))</f>
        <v>0.272558572102269</v>
      </c>
      <c r="R111" s="130" t="n">
        <f aca="false">(Q111*(1-$B$91))+(R97*($B$91))</f>
        <v>0.303694456062282</v>
      </c>
      <c r="S111" s="130" t="n">
        <f aca="false">(R111*(1-$B$91))+(S97*($B$91))</f>
        <v>0.335371463110196</v>
      </c>
      <c r="T111" s="130" t="n">
        <f aca="false">(S111*(1-$B$91))+(T97*($B$91))</f>
        <v>0.367263038771736</v>
      </c>
      <c r="U111" s="130" t="n">
        <f aca="false">(T111*(1-$B$91))+(U97*($B$91))</f>
        <v>0.399061241525278</v>
      </c>
      <c r="V111" s="130" t="n">
        <f aca="false">(U111*(1-$B$91))+(V97*($B$91))</f>
        <v>0.430488766580099</v>
      </c>
      <c r="W111" s="130" t="n">
        <f aca="false">(V111*(1-$B$91))+(W97*($B$91))</f>
        <v>0.461306547607813</v>
      </c>
      <c r="X111" s="130" t="n">
        <f aca="false">(W111*(1-$B$91))+(X97*($B$91))</f>
        <v>0.491317184768182</v>
      </c>
      <c r="Y111" s="130" t="n">
        <f aca="false">(X111*(1-$B$91))+(Y97*($B$91))</f>
        <v>0.520364943678571</v>
      </c>
      <c r="Z111" s="130" t="n">
        <f aca="false">(Y111*(1-$B$91))+(Z97*($B$91))</f>
        <v>0.54833327706858</v>
      </c>
      <c r="AA111" s="130" t="n">
        <f aca="false">(Z111*(1-$B$91))+(AA97*($B$91))</f>
        <v>0.575140803158625</v>
      </c>
      <c r="AB111" s="130" t="n">
        <f aca="false">(AA111*(1-$B$91))+(AB97*($B$91))</f>
        <v>0.600736524808801</v>
      </c>
      <c r="AC111" s="130" t="n">
        <f aca="false">(AB111*(1-$B$91))+(AC97*($B$91))</f>
        <v>0.625094873258154</v>
      </c>
    </row>
    <row r="112" customFormat="false" ht="14.65" hidden="false" customHeight="false" outlineLevel="0" collapsed="false">
      <c r="A112" s="130" t="s">
        <v>300</v>
      </c>
      <c r="B112" s="130" t="n">
        <f aca="false">B143/1144</f>
        <v>0</v>
      </c>
      <c r="C112" s="130" t="n">
        <f aca="false">C143/1144</f>
        <v>0</v>
      </c>
      <c r="D112" s="130" t="n">
        <f aca="false">D117</f>
        <v>0.0197571428571429</v>
      </c>
      <c r="E112" s="130" t="n">
        <f aca="false">E117</f>
        <v>0.0430910646513308</v>
      </c>
      <c r="F112" s="130" t="n">
        <f aca="false">F117</f>
        <v>0.0705265546036223</v>
      </c>
      <c r="G112" s="130" t="n">
        <f aca="false">G117</f>
        <v>0.102619083997692</v>
      </c>
      <c r="H112" s="130" t="n">
        <f aca="false">H117</f>
        <v>0.139939364349895</v>
      </c>
      <c r="I112" s="130" t="n">
        <f aca="false">I117</f>
        <v>0.183052050543486</v>
      </c>
      <c r="J112" s="130" t="n">
        <f aca="false">J117</f>
        <v>0.232488909978884</v>
      </c>
      <c r="K112" s="130" t="n">
        <f aca="false">K117</f>
        <v>0.280941375877356</v>
      </c>
      <c r="L112" s="130" t="n">
        <f aca="false">L117</f>
        <v>0.333979497376633</v>
      </c>
      <c r="M112" s="130" t="n">
        <f aca="false">M117</f>
        <v>0.391183149543656</v>
      </c>
      <c r="N112" s="130" t="n">
        <f aca="false">N117</f>
        <v>0.45189601745541</v>
      </c>
      <c r="O112" s="130" t="n">
        <f aca="false">O117</f>
        <v>0.51523521404805</v>
      </c>
      <c r="P112" s="130" t="n">
        <f aca="false">P117</f>
        <v>0.580126701145041</v>
      </c>
      <c r="Q112" s="130" t="n">
        <f aca="false">Q117</f>
        <v>0.645365551497287</v>
      </c>
      <c r="R112" s="130" t="n">
        <f aca="false">R117</f>
        <v>0.700798498950055</v>
      </c>
      <c r="S112" s="130" t="n">
        <f aca="false">S117</f>
        <v>0.752840013614744</v>
      </c>
      <c r="T112" s="130" t="n">
        <f aca="false">T117</f>
        <v>0.800490333263777</v>
      </c>
      <c r="U112" s="130" t="n">
        <f aca="false">U117</f>
        <v>0.843019020678693</v>
      </c>
      <c r="V112" s="130" t="n">
        <f aca="false">V117</f>
        <v>0.880006380014038</v>
      </c>
      <c r="W112" s="130" t="n">
        <f aca="false">W117</f>
        <v>0.911348406279658</v>
      </c>
      <c r="X112" s="130" t="n">
        <f aca="false">X117</f>
        <v>0.937227306396931</v>
      </c>
      <c r="Y112" s="130" t="n">
        <f aca="false">Y117</f>
        <v>0.955174864896279</v>
      </c>
      <c r="Z112" s="130" t="n">
        <f aca="false">Z117</f>
        <v>0.968852929107429</v>
      </c>
      <c r="AA112" s="130" t="n">
        <f aca="false">AA117</f>
        <v>0.978971950668628</v>
      </c>
      <c r="AB112" s="130" t="n">
        <f aca="false">AB117</f>
        <v>0.986239865546099</v>
      </c>
      <c r="AC112" s="130" t="n">
        <f aca="false">AC117</f>
        <v>0.99130933122321</v>
      </c>
    </row>
    <row r="113" customFormat="false" ht="14.65" hidden="false" customHeight="false" outlineLevel="0" collapsed="false">
      <c r="A113" s="130" t="s">
        <v>301</v>
      </c>
      <c r="B113" s="130" t="n">
        <f aca="false">B154/1144</f>
        <v>0</v>
      </c>
      <c r="C113" s="130" t="n">
        <f aca="false">C154/1144</f>
        <v>0</v>
      </c>
      <c r="D113" s="130" t="n">
        <f aca="false">D118</f>
        <v>0.0371142857142857</v>
      </c>
      <c r="E113" s="130" t="n">
        <f aca="false">E118</f>
        <v>0.0800002488953956</v>
      </c>
      <c r="F113" s="130" t="n">
        <f aca="false">F118</f>
        <v>0.129191426954278</v>
      </c>
      <c r="G113" s="130" t="n">
        <f aca="false">G118</f>
        <v>0.185158691502908</v>
      </c>
      <c r="H113" s="130" t="n">
        <f aca="false">H118</f>
        <v>0.248277720075049</v>
      </c>
      <c r="I113" s="130" t="n">
        <f aca="false">I118</f>
        <v>0.318798528663041</v>
      </c>
      <c r="J113" s="130" t="n">
        <f aca="false">J118</f>
        <v>0.396821451716163</v>
      </c>
      <c r="K113" s="130" t="n">
        <f aca="false">K118</f>
        <v>0.460080644242685</v>
      </c>
      <c r="L113" s="130" t="n">
        <f aca="false">L118</f>
        <v>0.52493513741944</v>
      </c>
      <c r="M113" s="130" t="n">
        <f aca="false">M118</f>
        <v>0.590183567395386</v>
      </c>
      <c r="N113" s="130" t="n">
        <f aca="false">N118</f>
        <v>0.654569827248882</v>
      </c>
      <c r="O113" s="130" t="n">
        <f aca="false">O118</f>
        <v>0.716871588976236</v>
      </c>
      <c r="P113" s="130" t="n">
        <f aca="false">P118</f>
        <v>0.77598664411141</v>
      </c>
      <c r="Q113" s="130" t="n">
        <f aca="false">Q118</f>
        <v>0.831005364171237</v>
      </c>
      <c r="R113" s="130" t="n">
        <f aca="false">R118</f>
        <v>0.868203960448084</v>
      </c>
      <c r="S113" s="130" t="n">
        <f aca="false">S118</f>
        <v>0.899755682680096</v>
      </c>
      <c r="T113" s="130" t="n">
        <f aca="false">T118</f>
        <v>0.925832900182924</v>
      </c>
      <c r="U113" s="130" t="n">
        <f aca="false">U118</f>
        <v>0.946840535470736</v>
      </c>
      <c r="V113" s="130" t="n">
        <f aca="false">V118</f>
        <v>0.963345098968599</v>
      </c>
      <c r="W113" s="130" t="n">
        <f aca="false">W118</f>
        <v>0.976000346511564</v>
      </c>
      <c r="X113" s="130" t="n">
        <f aca="false">X118</f>
        <v>0.985480129670499</v>
      </c>
      <c r="Y113" s="130" t="n">
        <f aca="false">Y118</f>
        <v>0.990621112677218</v>
      </c>
      <c r="Z113" s="130" t="n">
        <f aca="false">Z118</f>
        <v>0.99410874872794</v>
      </c>
      <c r="AA113" s="130" t="n">
        <f aca="false">AA118</f>
        <v>0.996408735715467</v>
      </c>
      <c r="AB113" s="130" t="n">
        <f aca="false">AB118</f>
        <v>0.997884261707428</v>
      </c>
      <c r="AC113" s="130" t="n">
        <f aca="false">AC118</f>
        <v>0.998805949190683</v>
      </c>
    </row>
    <row r="114" customFormat="false" ht="14.65" hidden="false" customHeight="false" outlineLevel="0" collapsed="false">
      <c r="A114" s="130"/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</row>
    <row r="115" customFormat="false" ht="14.65" hidden="false" customHeight="false" outlineLevel="0" collapsed="false">
      <c r="A115" s="130" t="s">
        <v>298</v>
      </c>
      <c r="B115" s="0"/>
      <c r="C115" s="130" t="n">
        <f aca="false">C121/1144</f>
        <v>0</v>
      </c>
      <c r="D115" s="130" t="n">
        <f aca="false">D121/1144</f>
        <v>0.00842857142857143</v>
      </c>
      <c r="E115" s="130" t="n">
        <f aca="false">E121/1144</f>
        <v>0.0185234515555213</v>
      </c>
      <c r="F115" s="130" t="n">
        <f aca="false">F121/1144</f>
        <v>0.0305893275706568</v>
      </c>
      <c r="G115" s="130" t="n">
        <f aca="false">G121/1144</f>
        <v>0.0449760559307715</v>
      </c>
      <c r="H115" s="130" t="n">
        <f aca="false">H121/1144</f>
        <v>0.0620809446549388</v>
      </c>
      <c r="I115" s="130" t="n">
        <f aca="false">I121/1144</f>
        <v>0.0823491738542165</v>
      </c>
      <c r="J115" s="130" t="n">
        <f aca="false">J121/1144</f>
        <v>0.106271473447926</v>
      </c>
      <c r="K115" s="130" t="n">
        <f aca="false">K121/1144</f>
        <v>0.132719775701425</v>
      </c>
      <c r="L115" s="130" t="n">
        <f aca="false">L121/1144</f>
        <v>0.163248278393323</v>
      </c>
      <c r="M115" s="130" t="n">
        <f aca="false">M121/1144</f>
        <v>0.198189206540199</v>
      </c>
      <c r="N115" s="130" t="n">
        <f aca="false">N121/1144</f>
        <v>0.237794395407312</v>
      </c>
      <c r="O115" s="130" t="n">
        <f aca="false">O121/1144</f>
        <v>0.282195473488557</v>
      </c>
      <c r="P115" s="130" t="n">
        <f aca="false">P121/1144</f>
        <v>0.331362492086375</v>
      </c>
      <c r="Q115" s="130" t="n">
        <f aca="false">Q121/1144</f>
        <v>0.38506626898786</v>
      </c>
      <c r="R115" s="130" t="n">
        <f aca="false">R121/1144</f>
        <v>0.439441825510282</v>
      </c>
      <c r="S115" s="130" t="n">
        <f aca="false">S121/1144</f>
        <v>0.496292995224507</v>
      </c>
      <c r="T115" s="130" t="n">
        <f aca="false">T121/1144</f>
        <v>0.554565428572573</v>
      </c>
      <c r="U115" s="130" t="n">
        <f aca="false">U121/1144</f>
        <v>0.613041165678974</v>
      </c>
      <c r="V115" s="130" t="n">
        <f aca="false">V121/1144</f>
        <v>0.670418469787881</v>
      </c>
      <c r="W115" s="130" t="n">
        <f aca="false">W121/1144</f>
        <v>0.725409402365033</v>
      </c>
      <c r="X115" s="130" t="n">
        <f aca="false">X121/1144</f>
        <v>0.776842277907083</v>
      </c>
      <c r="Y115" s="130" t="n">
        <f aca="false">Y121/1144</f>
        <v>0.820986414749492</v>
      </c>
      <c r="Z115" s="130" t="n">
        <f aca="false">Z121/1144</f>
        <v>0.859745286157058</v>
      </c>
      <c r="AA115" s="130" t="n">
        <f aca="false">AA121/1144</f>
        <v>0.892822687918582</v>
      </c>
      <c r="AB115" s="130" t="n">
        <f aca="false">AB121/1144</f>
        <v>0.920245664571707</v>
      </c>
      <c r="AC115" s="130" t="n">
        <f aca="false">AC121/1144</f>
        <v>0.942322967883381</v>
      </c>
    </row>
    <row r="116" customFormat="false" ht="14.65" hidden="false" customHeight="false" outlineLevel="0" collapsed="false">
      <c r="A116" s="130" t="s">
        <v>299</v>
      </c>
      <c r="B116" s="0"/>
      <c r="C116" s="130" t="n">
        <f aca="false">C132/1144</f>
        <v>0</v>
      </c>
      <c r="D116" s="130" t="n">
        <f aca="false">D132/1144</f>
        <v>0.0144285714285714</v>
      </c>
      <c r="E116" s="130" t="n">
        <f aca="false">E132/1144</f>
        <v>0.0315823209674125</v>
      </c>
      <c r="F116" s="130" t="n">
        <f aca="false">F132/1144</f>
        <v>0.0519072145715747</v>
      </c>
      <c r="G116" s="130" t="n">
        <f aca="false">G132/1144</f>
        <v>0.0758947006009674</v>
      </c>
      <c r="H116" s="130" t="n">
        <f aca="false">H132/1144</f>
        <v>0.104075580443299</v>
      </c>
      <c r="I116" s="130" t="n">
        <f aca="false">I132/1144</f>
        <v>0.137009133857033</v>
      </c>
      <c r="J116" s="130" t="n">
        <f aca="false">J132/1144</f>
        <v>0.175266703857563</v>
      </c>
      <c r="K116" s="130" t="n">
        <f aca="false">K132/1144</f>
        <v>0.214951005025338</v>
      </c>
      <c r="L116" s="130" t="n">
        <f aca="false">L132/1144</f>
        <v>0.259432131858969</v>
      </c>
      <c r="M116" s="130" t="n">
        <f aca="false">M132/1144</f>
        <v>0.308677109653921</v>
      </c>
      <c r="N116" s="130" t="n">
        <f aca="false">N132/1144</f>
        <v>0.362453171791024</v>
      </c>
      <c r="O116" s="130" t="n">
        <f aca="false">O132/1144</f>
        <v>0.420300737386581</v>
      </c>
      <c r="P116" s="130" t="n">
        <f aca="false">P132/1144</f>
        <v>0.481523945261007</v>
      </c>
      <c r="Q116" s="130" t="n">
        <f aca="false">Q132/1144</f>
        <v>0.545204491456354</v>
      </c>
      <c r="R116" s="130" t="n">
        <f aca="false">R132/1144</f>
        <v>0.603672703978492</v>
      </c>
      <c r="S116" s="130" t="n">
        <f aca="false">S132/1144</f>
        <v>0.661020655563791</v>
      </c>
      <c r="T116" s="130" t="n">
        <f aca="false">T132/1144</f>
        <v>0.715961510708748</v>
      </c>
      <c r="U116" s="130" t="n">
        <f aca="false">U132/1144</f>
        <v>0.767326349021428</v>
      </c>
      <c r="V116" s="130" t="n">
        <f aca="false">V132/1144</f>
        <v>0.814156433159117</v>
      </c>
      <c r="W116" s="130" t="n">
        <f aca="false">W132/1144</f>
        <v>0.855771774105685</v>
      </c>
      <c r="X116" s="130" t="n">
        <f aca="false">X132/1144</f>
        <v>0.89180653966698</v>
      </c>
      <c r="Y116" s="130" t="n">
        <f aca="false">Y132/1144</f>
        <v>0.9191373470621</v>
      </c>
      <c r="Z116" s="130" t="n">
        <f aca="false">Z132/1144</f>
        <v>0.941129644710997</v>
      </c>
      <c r="AA116" s="130" t="n">
        <f aca="false">AA132/1144</f>
        <v>0.958309704396962</v>
      </c>
      <c r="AB116" s="130" t="n">
        <f aca="false">AB132/1144</f>
        <v>0.971337378054655</v>
      </c>
      <c r="AC116" s="130" t="n">
        <f aca="false">AC132/1144</f>
        <v>0.980927189581953</v>
      </c>
    </row>
    <row r="117" customFormat="false" ht="14.65" hidden="false" customHeight="false" outlineLevel="0" collapsed="false">
      <c r="A117" s="130" t="s">
        <v>300</v>
      </c>
      <c r="B117" s="0"/>
      <c r="C117" s="130" t="n">
        <f aca="false">C143/1144</f>
        <v>0</v>
      </c>
      <c r="D117" s="130" t="n">
        <f aca="false">D143/1144</f>
        <v>0.0197571428571429</v>
      </c>
      <c r="E117" s="130" t="n">
        <f aca="false">E143/1144</f>
        <v>0.0430910646513308</v>
      </c>
      <c r="F117" s="130" t="n">
        <f aca="false">F143/1144</f>
        <v>0.0705265546036223</v>
      </c>
      <c r="G117" s="130" t="n">
        <f aca="false">G143/1144</f>
        <v>0.102619083997692</v>
      </c>
      <c r="H117" s="130" t="n">
        <f aca="false">H143/1144</f>
        <v>0.139939364349895</v>
      </c>
      <c r="I117" s="130" t="n">
        <f aca="false">I143/1144</f>
        <v>0.183052050543486</v>
      </c>
      <c r="J117" s="130" t="n">
        <f aca="false">J143/1144</f>
        <v>0.232488909978884</v>
      </c>
      <c r="K117" s="130" t="n">
        <f aca="false">K143/1144</f>
        <v>0.280941375877356</v>
      </c>
      <c r="L117" s="130" t="n">
        <f aca="false">L143/1144</f>
        <v>0.333979497376633</v>
      </c>
      <c r="M117" s="130" t="n">
        <f aca="false">M143/1144</f>
        <v>0.391183149543656</v>
      </c>
      <c r="N117" s="130" t="n">
        <f aca="false">N143/1144</f>
        <v>0.45189601745541</v>
      </c>
      <c r="O117" s="130" t="n">
        <f aca="false">O143/1144</f>
        <v>0.51523521404805</v>
      </c>
      <c r="P117" s="130" t="n">
        <f aca="false">P143/1144</f>
        <v>0.580126701145041</v>
      </c>
      <c r="Q117" s="130" t="n">
        <f aca="false">Q143/1144</f>
        <v>0.645365551497287</v>
      </c>
      <c r="R117" s="130" t="n">
        <f aca="false">R143/1144</f>
        <v>0.700798498950055</v>
      </c>
      <c r="S117" s="130" t="n">
        <f aca="false">S143/1144</f>
        <v>0.752840013614744</v>
      </c>
      <c r="T117" s="130" t="n">
        <f aca="false">T143/1144</f>
        <v>0.800490333263777</v>
      </c>
      <c r="U117" s="130" t="n">
        <f aca="false">U143/1144</f>
        <v>0.843019020678693</v>
      </c>
      <c r="V117" s="130" t="n">
        <f aca="false">V143/1144</f>
        <v>0.880006380014038</v>
      </c>
      <c r="W117" s="130" t="n">
        <f aca="false">W143/1144</f>
        <v>0.911348406279658</v>
      </c>
      <c r="X117" s="130" t="n">
        <f aca="false">X143/1144</f>
        <v>0.937227306396931</v>
      </c>
      <c r="Y117" s="130" t="n">
        <f aca="false">Y143/1144</f>
        <v>0.955174864896279</v>
      </c>
      <c r="Z117" s="130" t="n">
        <f aca="false">Z143/1144</f>
        <v>0.968852929107429</v>
      </c>
      <c r="AA117" s="130" t="n">
        <f aca="false">AA143/1144</f>
        <v>0.978971950668628</v>
      </c>
      <c r="AB117" s="130" t="n">
        <f aca="false">AB143/1144</f>
        <v>0.986239865546099</v>
      </c>
      <c r="AC117" s="130" t="n">
        <f aca="false">AC143/1144</f>
        <v>0.99130933122321</v>
      </c>
    </row>
    <row r="118" customFormat="false" ht="14.65" hidden="false" customHeight="false" outlineLevel="0" collapsed="false">
      <c r="A118" s="130" t="s">
        <v>301</v>
      </c>
      <c r="B118" s="0"/>
      <c r="C118" s="130" t="n">
        <f aca="false">C154/1144</f>
        <v>0</v>
      </c>
      <c r="D118" s="130" t="n">
        <f aca="false">D154/1144</f>
        <v>0.0371142857142857</v>
      </c>
      <c r="E118" s="130" t="n">
        <f aca="false">E154/1144</f>
        <v>0.0800002488953956</v>
      </c>
      <c r="F118" s="130" t="n">
        <f aca="false">F154/1144</f>
        <v>0.129191426954278</v>
      </c>
      <c r="G118" s="130" t="n">
        <f aca="false">G154/1144</f>
        <v>0.185158691502908</v>
      </c>
      <c r="H118" s="130" t="n">
        <f aca="false">H154/1144</f>
        <v>0.248277720075049</v>
      </c>
      <c r="I118" s="130" t="n">
        <f aca="false">I154/1144</f>
        <v>0.318798528663041</v>
      </c>
      <c r="J118" s="130" t="n">
        <f aca="false">J154/1144</f>
        <v>0.396821451716163</v>
      </c>
      <c r="K118" s="130" t="n">
        <f aca="false">K154/1144</f>
        <v>0.460080644242685</v>
      </c>
      <c r="L118" s="130" t="n">
        <f aca="false">L154/1144</f>
        <v>0.52493513741944</v>
      </c>
      <c r="M118" s="130" t="n">
        <f aca="false">M154/1144</f>
        <v>0.590183567395386</v>
      </c>
      <c r="N118" s="130" t="n">
        <f aca="false">N154/1144</f>
        <v>0.654569827248882</v>
      </c>
      <c r="O118" s="130" t="n">
        <f aca="false">O154/1144</f>
        <v>0.716871588976236</v>
      </c>
      <c r="P118" s="130" t="n">
        <f aca="false">P154/1144</f>
        <v>0.77598664411141</v>
      </c>
      <c r="Q118" s="130" t="n">
        <f aca="false">Q154/1144</f>
        <v>0.831005364171237</v>
      </c>
      <c r="R118" s="130" t="n">
        <f aca="false">R154/1144</f>
        <v>0.868203960448084</v>
      </c>
      <c r="S118" s="130" t="n">
        <f aca="false">S154/1144</f>
        <v>0.899755682680096</v>
      </c>
      <c r="T118" s="130" t="n">
        <f aca="false">T154/1144</f>
        <v>0.925832900182924</v>
      </c>
      <c r="U118" s="130" t="n">
        <f aca="false">U154/1144</f>
        <v>0.946840535470736</v>
      </c>
      <c r="V118" s="130" t="n">
        <f aca="false">V154/1144</f>
        <v>0.963345098968599</v>
      </c>
      <c r="W118" s="130" t="n">
        <f aca="false">W154/1144</f>
        <v>0.976000346511564</v>
      </c>
      <c r="X118" s="130" t="n">
        <f aca="false">X154/1144</f>
        <v>0.985480129670499</v>
      </c>
      <c r="Y118" s="130" t="n">
        <f aca="false">Y154/1144</f>
        <v>0.990621112677218</v>
      </c>
      <c r="Z118" s="130" t="n">
        <f aca="false">Z154/1144</f>
        <v>0.99410874872794</v>
      </c>
      <c r="AA118" s="130" t="n">
        <f aca="false">AA154/1144</f>
        <v>0.996408735715467</v>
      </c>
      <c r="AB118" s="130" t="n">
        <f aca="false">AB154/1144</f>
        <v>0.997884261707428</v>
      </c>
      <c r="AC118" s="130" t="n">
        <f aca="false">AC154/1144</f>
        <v>0.998805949190683</v>
      </c>
    </row>
    <row r="119" customFormat="false" ht="12.8" hidden="false" customHeight="false" outlineLevel="0" collapsed="false">
      <c r="A119" s="130"/>
      <c r="B119" s="130"/>
      <c r="C119" s="130"/>
      <c r="D119" s="130"/>
      <c r="E119" s="130"/>
      <c r="F119" s="130"/>
      <c r="G119" s="130"/>
      <c r="H119" s="130"/>
      <c r="I119" s="130"/>
      <c r="J119" s="130"/>
      <c r="K119" s="130"/>
      <c r="L119" s="130"/>
      <c r="M119" s="130"/>
      <c r="N119" s="130"/>
      <c r="O119" s="130"/>
      <c r="P119" s="130"/>
      <c r="Q119" s="130"/>
      <c r="R119" s="130"/>
      <c r="S119" s="130"/>
      <c r="T119" s="130"/>
      <c r="U119" s="130"/>
      <c r="V119" s="130"/>
      <c r="W119" s="130"/>
      <c r="X119" s="130"/>
      <c r="Y119" s="130"/>
      <c r="Z119" s="130"/>
      <c r="AA119" s="130"/>
      <c r="AB119" s="130"/>
      <c r="AC119" s="130"/>
    </row>
    <row r="120" customFormat="false" ht="12.8" hidden="false" customHeight="false" outlineLevel="0" collapsed="false">
      <c r="A120" s="130" t="s">
        <v>311</v>
      </c>
      <c r="B120" s="124" t="n">
        <v>2023</v>
      </c>
      <c r="C120" s="124" t="n">
        <v>2024</v>
      </c>
      <c r="D120" s="124" t="n">
        <v>2025</v>
      </c>
      <c r="E120" s="124" t="n">
        <v>2026</v>
      </c>
      <c r="F120" s="124" t="n">
        <v>2027</v>
      </c>
      <c r="G120" s="124" t="n">
        <v>2028</v>
      </c>
      <c r="H120" s="124" t="n">
        <v>2029</v>
      </c>
      <c r="I120" s="124" t="n">
        <v>2030</v>
      </c>
      <c r="J120" s="124" t="n">
        <v>2031</v>
      </c>
      <c r="K120" s="124" t="n">
        <v>2032</v>
      </c>
      <c r="L120" s="124" t="n">
        <v>2033</v>
      </c>
      <c r="M120" s="124" t="n">
        <v>2034</v>
      </c>
      <c r="N120" s="124" t="n">
        <v>2035</v>
      </c>
      <c r="O120" s="124" t="n">
        <v>2036</v>
      </c>
      <c r="P120" s="124" t="n">
        <v>2037</v>
      </c>
      <c r="Q120" s="124" t="n">
        <v>2038</v>
      </c>
      <c r="R120" s="124" t="n">
        <v>2039</v>
      </c>
      <c r="S120" s="124" t="n">
        <v>2040</v>
      </c>
      <c r="T120" s="124" t="n">
        <v>2041</v>
      </c>
      <c r="U120" s="124" t="n">
        <v>2042</v>
      </c>
      <c r="V120" s="124" t="n">
        <v>2043</v>
      </c>
      <c r="W120" s="124" t="n">
        <v>2044</v>
      </c>
      <c r="X120" s="124" t="n">
        <v>2045</v>
      </c>
      <c r="Y120" s="124" t="n">
        <v>2046</v>
      </c>
      <c r="Z120" s="124" t="n">
        <v>2047</v>
      </c>
      <c r="AA120" s="124" t="n">
        <v>2048</v>
      </c>
      <c r="AB120" s="124" t="n">
        <v>2049</v>
      </c>
      <c r="AC120" s="124" t="n">
        <v>2050</v>
      </c>
    </row>
    <row r="121" customFormat="false" ht="12.8" hidden="false" customHeight="false" outlineLevel="0" collapsed="false">
      <c r="A121" s="130" t="s">
        <v>312</v>
      </c>
      <c r="B121" s="136" t="n">
        <v>0</v>
      </c>
      <c r="C121" s="136" t="n">
        <v>0</v>
      </c>
      <c r="D121" s="136" t="n">
        <f aca="false">C121+D123</f>
        <v>9.64228571428571</v>
      </c>
      <c r="E121" s="136" t="n">
        <f aca="false">D121+E123</f>
        <v>21.1908285795163</v>
      </c>
      <c r="F121" s="136" t="n">
        <f aca="false">E121+F123</f>
        <v>34.9941907408314</v>
      </c>
      <c r="G121" s="136" t="n">
        <f aca="false">F121+G123</f>
        <v>51.4526079848026</v>
      </c>
      <c r="H121" s="136" t="n">
        <f aca="false">G121+H123</f>
        <v>71.02060068525</v>
      </c>
      <c r="I121" s="136" t="n">
        <f aca="false">H121+I123</f>
        <v>94.2074548892236</v>
      </c>
      <c r="J121" s="136" t="n">
        <f aca="false">I121+J123</f>
        <v>121.574565624427</v>
      </c>
      <c r="K121" s="136" t="n">
        <f aca="false">J121+K123</f>
        <v>151.831423402431</v>
      </c>
      <c r="L121" s="136" t="n">
        <f aca="false">K121+L123</f>
        <v>186.756030481962</v>
      </c>
      <c r="M121" s="136" t="n">
        <f aca="false">L121+M123</f>
        <v>226.728452281988</v>
      </c>
      <c r="N121" s="136" t="n">
        <f aca="false">M121+N123</f>
        <v>272.036788345965</v>
      </c>
      <c r="O121" s="136" t="n">
        <f aca="false">N121+O123</f>
        <v>322.831621670909</v>
      </c>
      <c r="P121" s="136" t="n">
        <f aca="false">O121+P123</f>
        <v>379.078690946813</v>
      </c>
      <c r="Q121" s="136" t="n">
        <f aca="false">P121+Q123</f>
        <v>440.515811722112</v>
      </c>
      <c r="R121" s="136" t="n">
        <f aca="false">Q121+R123</f>
        <v>502.721448383762</v>
      </c>
      <c r="S121" s="136" t="n">
        <f aca="false">R121+S123</f>
        <v>567.759186536836</v>
      </c>
      <c r="T121" s="136" t="n">
        <f aca="false">S121+T123</f>
        <v>634.422850287024</v>
      </c>
      <c r="U121" s="136" t="n">
        <f aca="false">T121+U123</f>
        <v>701.319093536746</v>
      </c>
      <c r="V121" s="136" t="n">
        <f aca="false">U121+V123</f>
        <v>766.958729437336</v>
      </c>
      <c r="W121" s="136" t="n">
        <f aca="false">V121+W123</f>
        <v>829.868356305597</v>
      </c>
      <c r="X121" s="136" t="n">
        <f aca="false">W121+X123</f>
        <v>888.707565925703</v>
      </c>
      <c r="Y121" s="136" t="n">
        <f aca="false">X121+Y123</f>
        <v>939.208458473419</v>
      </c>
      <c r="Z121" s="136" t="n">
        <f aca="false">Y121+Z123</f>
        <v>983.548607363674</v>
      </c>
      <c r="AA121" s="136" t="n">
        <f aca="false">Z121+AA123</f>
        <v>1021.38915497886</v>
      </c>
      <c r="AB121" s="136" t="n">
        <f aca="false">AA121+AB123</f>
        <v>1052.76104027003</v>
      </c>
      <c r="AC121" s="136" t="n">
        <f aca="false">AB121+AC123</f>
        <v>1078.01747525859</v>
      </c>
    </row>
    <row r="122" customFormat="false" ht="12.8" hidden="false" customHeight="false" outlineLevel="0" collapsed="false">
      <c r="A122" s="130" t="s">
        <v>313</v>
      </c>
      <c r="B122" s="136" t="n">
        <v>1144</v>
      </c>
      <c r="C122" s="136" t="n">
        <f aca="false">$B122-C121</f>
        <v>1144</v>
      </c>
      <c r="D122" s="136" t="n">
        <f aca="false">$B122-D121</f>
        <v>1134.35771428571</v>
      </c>
      <c r="E122" s="136" t="n">
        <f aca="false">$B122-E121</f>
        <v>1122.80917142048</v>
      </c>
      <c r="F122" s="136" t="n">
        <f aca="false">$B122-F121</f>
        <v>1109.00580925917</v>
      </c>
      <c r="G122" s="136" t="n">
        <f aca="false">$B122-G121</f>
        <v>1092.5473920152</v>
      </c>
      <c r="H122" s="136" t="n">
        <f aca="false">$B122-H121</f>
        <v>1072.97939931475</v>
      </c>
      <c r="I122" s="136" t="n">
        <f aca="false">$B122-I121</f>
        <v>1049.79254511078</v>
      </c>
      <c r="J122" s="136" t="n">
        <f aca="false">$B122-J121</f>
        <v>1022.42543437557</v>
      </c>
      <c r="K122" s="136" t="n">
        <f aca="false">$B122-K121</f>
        <v>992.168576597569</v>
      </c>
      <c r="L122" s="136" t="n">
        <f aca="false">$B122-L121</f>
        <v>957.243969518038</v>
      </c>
      <c r="M122" s="136" t="n">
        <f aca="false">$B122-M121</f>
        <v>917.271547718012</v>
      </c>
      <c r="N122" s="136" t="n">
        <f aca="false">$B122-N121</f>
        <v>871.963211654035</v>
      </c>
      <c r="O122" s="136" t="n">
        <f aca="false">$B122-O121</f>
        <v>821.168378329091</v>
      </c>
      <c r="P122" s="136" t="n">
        <f aca="false">$B122-P121</f>
        <v>764.921309053187</v>
      </c>
      <c r="Q122" s="136" t="n">
        <f aca="false">$B122-Q121</f>
        <v>703.484188277888</v>
      </c>
      <c r="R122" s="136" t="n">
        <f aca="false">$B122-R121</f>
        <v>641.278551616238</v>
      </c>
      <c r="S122" s="136" t="n">
        <f aca="false">$B122-S121</f>
        <v>576.240813463164</v>
      </c>
      <c r="T122" s="136" t="n">
        <f aca="false">$B122-T121</f>
        <v>509.577149712976</v>
      </c>
      <c r="U122" s="136" t="n">
        <f aca="false">$B122-U121</f>
        <v>442.680906463254</v>
      </c>
      <c r="V122" s="136" t="n">
        <f aca="false">$B122-V121</f>
        <v>377.041270562664</v>
      </c>
      <c r="W122" s="136" t="n">
        <f aca="false">$B122-W121</f>
        <v>314.131643694403</v>
      </c>
      <c r="X122" s="136" t="n">
        <f aca="false">$B122-X121</f>
        <v>255.292434074297</v>
      </c>
      <c r="Y122" s="136" t="n">
        <f aca="false">$B122-Y121</f>
        <v>204.791541526581</v>
      </c>
      <c r="Z122" s="136" t="n">
        <f aca="false">$B122-Z121</f>
        <v>160.451392636326</v>
      </c>
      <c r="AA122" s="136" t="n">
        <f aca="false">$B122-AA121</f>
        <v>122.610845021142</v>
      </c>
      <c r="AB122" s="136" t="n">
        <f aca="false">$B122-AB121</f>
        <v>91.2389597299673</v>
      </c>
      <c r="AC122" s="136" t="n">
        <f aca="false">$B122-AC121</f>
        <v>65.9825247414126</v>
      </c>
    </row>
    <row r="123" customFormat="false" ht="11.9" hidden="false" customHeight="true" outlineLevel="0" collapsed="false">
      <c r="A123" s="0" t="s">
        <v>314</v>
      </c>
      <c r="B123" s="136"/>
      <c r="C123" s="136"/>
      <c r="D123" s="138" t="n">
        <f aca="false">B96*C130</f>
        <v>9.64228571428571</v>
      </c>
      <c r="E123" s="136" t="n">
        <f aca="false">C96*D130</f>
        <v>11.5485428652306</v>
      </c>
      <c r="F123" s="136" t="n">
        <f aca="false">D96*E130</f>
        <v>13.8033621613151</v>
      </c>
      <c r="G123" s="136" t="n">
        <f aca="false">E96*F130</f>
        <v>16.4584172439712</v>
      </c>
      <c r="H123" s="136" t="n">
        <f aca="false">F96*G130</f>
        <v>19.5679927004473</v>
      </c>
      <c r="I123" s="136" t="n">
        <f aca="false">G96*H130</f>
        <v>23.1868542039736</v>
      </c>
      <c r="J123" s="136" t="n">
        <f aca="false">H96*I130</f>
        <v>27.3671107352037</v>
      </c>
      <c r="K123" s="136" t="n">
        <f aca="false">I96*J130</f>
        <v>30.2568577780034</v>
      </c>
      <c r="L123" s="136" t="n">
        <f aca="false">J96*K130</f>
        <v>34.9246070795309</v>
      </c>
      <c r="M123" s="136" t="n">
        <f aca="false">K96*L130</f>
        <v>39.972421800026</v>
      </c>
      <c r="N123" s="136" t="n">
        <f aca="false">L96*M130</f>
        <v>45.308336063977</v>
      </c>
      <c r="O123" s="136" t="n">
        <f aca="false">M96*N130</f>
        <v>50.7948333249446</v>
      </c>
      <c r="P123" s="136" t="n">
        <f aca="false">N96*O130</f>
        <v>56.2470692759042</v>
      </c>
      <c r="Q123" s="136" t="n">
        <f aca="false">O96*P130</f>
        <v>61.4371207752988</v>
      </c>
      <c r="R123" s="136" t="n">
        <f aca="false">P96*Q130</f>
        <v>62.20563666165</v>
      </c>
      <c r="S123" s="136" t="n">
        <f aca="false">Q96*R130</f>
        <v>65.0377381530734</v>
      </c>
      <c r="T123" s="136" t="n">
        <f aca="false">R96*S130</f>
        <v>66.6636637501881</v>
      </c>
      <c r="U123" s="136" t="n">
        <f aca="false">S96*T130</f>
        <v>66.8962432497227</v>
      </c>
      <c r="V123" s="136" t="n">
        <f aca="false">T96*U130</f>
        <v>65.6396359005898</v>
      </c>
      <c r="W123" s="136" t="n">
        <f aca="false">U96*V130</f>
        <v>62.909626868261</v>
      </c>
      <c r="X123" s="136" t="n">
        <f aca="false">V96*W130</f>
        <v>58.8392096201057</v>
      </c>
      <c r="Y123" s="136" t="n">
        <f aca="false">W96*X130</f>
        <v>50.5008925477156</v>
      </c>
      <c r="Z123" s="136" t="n">
        <f aca="false">X96*Y130</f>
        <v>44.3401488902556</v>
      </c>
      <c r="AA123" s="136" t="n">
        <f aca="false">Y96*Z130</f>
        <v>37.8405476151841</v>
      </c>
      <c r="AB123" s="136" t="n">
        <f aca="false">Z96*AA130</f>
        <v>31.3718852911744</v>
      </c>
      <c r="AC123" s="136" t="n">
        <f aca="false">AA96*AB130</f>
        <v>25.2564349885548</v>
      </c>
    </row>
    <row r="124" customFormat="false" ht="12.8" hidden="false" customHeight="false" outlineLevel="0" collapsed="false">
      <c r="A124" s="139" t="n">
        <v>1</v>
      </c>
      <c r="B124" s="139" t="n">
        <f aca="false">1/7*B$122</f>
        <v>163.428571428571</v>
      </c>
      <c r="C124" s="139" t="n">
        <f aca="false">1/7*C$122</f>
        <v>163.428571428571</v>
      </c>
      <c r="D124" s="139" t="n">
        <f aca="false">C130-D123</f>
        <v>153.786285714286</v>
      </c>
      <c r="E124" s="139" t="n">
        <f aca="false">D130-E123</f>
        <v>151.880028563341</v>
      </c>
      <c r="F124" s="139" t="n">
        <f aca="false">E130-F123</f>
        <v>149.625209267256</v>
      </c>
      <c r="G124" s="139" t="n">
        <f aca="false">F130-G123</f>
        <v>146.9701541846</v>
      </c>
      <c r="H124" s="139" t="n">
        <f aca="false">G130-H123</f>
        <v>143.860578728124</v>
      </c>
      <c r="I124" s="139" t="n">
        <f aca="false">H130-I123</f>
        <v>140.241717224598</v>
      </c>
      <c r="J124" s="139" t="n">
        <f aca="false">I130-J123</f>
        <v>136.061460693368</v>
      </c>
      <c r="K124" s="139" t="n">
        <f aca="false">J130-K123</f>
        <v>123.529427936282</v>
      </c>
      <c r="L124" s="139" t="n">
        <f aca="false">K130-L123</f>
        <v>116.95542148381</v>
      </c>
      <c r="M124" s="139" t="n">
        <f aca="false">L130-M123</f>
        <v>109.65278746723</v>
      </c>
      <c r="N124" s="139" t="n">
        <f aca="false">M130-N123</f>
        <v>101.661818120623</v>
      </c>
      <c r="O124" s="139" t="n">
        <f aca="false">N130-O123</f>
        <v>93.0657454031795</v>
      </c>
      <c r="P124" s="139" t="n">
        <f aca="false">O130-P123</f>
        <v>83.9946479486936</v>
      </c>
      <c r="Q124" s="139" t="n">
        <f aca="false">P130-Q123</f>
        <v>74.624339918069</v>
      </c>
      <c r="R124" s="139" t="n">
        <f aca="false">Q130-R123</f>
        <v>61.3237912746322</v>
      </c>
      <c r="S124" s="139" t="n">
        <f aca="false">R130-S123</f>
        <v>51.9176833307365</v>
      </c>
      <c r="T124" s="139" t="n">
        <f aca="false">S130-T123</f>
        <v>42.9891237170423</v>
      </c>
      <c r="U124" s="139" t="n">
        <f aca="false">T130-U123</f>
        <v>34.7655748709005</v>
      </c>
      <c r="V124" s="139" t="n">
        <f aca="false">U130-V123</f>
        <v>27.4261095025897</v>
      </c>
      <c r="W124" s="139" t="n">
        <f aca="false">V130-W123</f>
        <v>21.0850210804326</v>
      </c>
      <c r="X124" s="139" t="n">
        <f aca="false">W130-X123</f>
        <v>15.7851302979633</v>
      </c>
      <c r="Y124" s="139" t="n">
        <f aca="false">X130-Y123</f>
        <v>10.8228987269167</v>
      </c>
      <c r="Z124" s="139" t="n">
        <f aca="false">Y130-Z123</f>
        <v>7.5775344404809</v>
      </c>
      <c r="AA124" s="139" t="n">
        <f aca="false">Z130-AA123</f>
        <v>5.14857610185813</v>
      </c>
      <c r="AB124" s="139" t="n">
        <f aca="false">AA130-AB123</f>
        <v>3.39368957972608</v>
      </c>
      <c r="AC124" s="139" t="n">
        <f aca="false">AB130-AC123</f>
        <v>2.16967451403486</v>
      </c>
      <c r="AD124" s="12"/>
    </row>
    <row r="125" customFormat="false" ht="12.8" hidden="false" customHeight="false" outlineLevel="0" collapsed="false">
      <c r="A125" s="139" t="n">
        <v>2</v>
      </c>
      <c r="B125" s="139" t="n">
        <f aca="false">1/7*B$122</f>
        <v>163.428571428571</v>
      </c>
      <c r="C125" s="139" t="n">
        <f aca="false">1/7*C$122</f>
        <v>163.428571428571</v>
      </c>
      <c r="D125" s="139" t="n">
        <f aca="false">C124</f>
        <v>163.428571428571</v>
      </c>
      <c r="E125" s="139" t="n">
        <f aca="false">D124</f>
        <v>153.786285714286</v>
      </c>
      <c r="F125" s="139" t="n">
        <f aca="false">E124</f>
        <v>151.880028563341</v>
      </c>
      <c r="G125" s="139" t="n">
        <f aca="false">F124</f>
        <v>149.625209267256</v>
      </c>
      <c r="H125" s="139" t="n">
        <f aca="false">G124</f>
        <v>146.9701541846</v>
      </c>
      <c r="I125" s="139" t="n">
        <f aca="false">H124</f>
        <v>143.860578728124</v>
      </c>
      <c r="J125" s="139" t="n">
        <f aca="false">I124</f>
        <v>140.241717224598</v>
      </c>
      <c r="K125" s="139" t="n">
        <f aca="false">J124</f>
        <v>136.061460693368</v>
      </c>
      <c r="L125" s="139" t="n">
        <f aca="false">K124</f>
        <v>123.529427936282</v>
      </c>
      <c r="M125" s="139" t="n">
        <f aca="false">L124</f>
        <v>116.95542148381</v>
      </c>
      <c r="N125" s="139" t="n">
        <f aca="false">M124</f>
        <v>109.65278746723</v>
      </c>
      <c r="O125" s="139" t="n">
        <f aca="false">N124</f>
        <v>101.661818120623</v>
      </c>
      <c r="P125" s="139" t="n">
        <f aca="false">O124</f>
        <v>93.0657454031795</v>
      </c>
      <c r="Q125" s="139" t="n">
        <f aca="false">P124</f>
        <v>83.9946479486936</v>
      </c>
      <c r="R125" s="139" t="n">
        <f aca="false">Q124</f>
        <v>74.624339918069</v>
      </c>
      <c r="S125" s="139" t="n">
        <f aca="false">R124</f>
        <v>61.3237912746322</v>
      </c>
      <c r="T125" s="139" t="n">
        <f aca="false">S124</f>
        <v>51.9176833307365</v>
      </c>
      <c r="U125" s="139" t="n">
        <f aca="false">T124</f>
        <v>42.9891237170423</v>
      </c>
      <c r="V125" s="139" t="n">
        <f aca="false">U124</f>
        <v>34.7655748709005</v>
      </c>
      <c r="W125" s="139" t="n">
        <f aca="false">V124</f>
        <v>27.4261095025897</v>
      </c>
      <c r="X125" s="139" t="n">
        <f aca="false">W124</f>
        <v>21.0850210804326</v>
      </c>
      <c r="Y125" s="139" t="n">
        <f aca="false">X124</f>
        <v>15.7851302979633</v>
      </c>
      <c r="Z125" s="139" t="n">
        <f aca="false">Y124</f>
        <v>10.8228987269167</v>
      </c>
      <c r="AA125" s="139" t="n">
        <f aca="false">Z124</f>
        <v>7.5775344404809</v>
      </c>
      <c r="AB125" s="139" t="n">
        <f aca="false">AA124</f>
        <v>5.14857610185813</v>
      </c>
      <c r="AC125" s="139" t="n">
        <f aca="false">AB124</f>
        <v>3.39368957972608</v>
      </c>
      <c r="AD125" s="12"/>
    </row>
    <row r="126" customFormat="false" ht="12.8" hidden="false" customHeight="false" outlineLevel="0" collapsed="false">
      <c r="A126" s="139" t="n">
        <v>3</v>
      </c>
      <c r="B126" s="139" t="n">
        <f aca="false">1/7*B$122</f>
        <v>163.428571428571</v>
      </c>
      <c r="C126" s="139" t="n">
        <f aca="false">1/7*C$122</f>
        <v>163.428571428571</v>
      </c>
      <c r="D126" s="139" t="n">
        <f aca="false">C125</f>
        <v>163.428571428571</v>
      </c>
      <c r="E126" s="139" t="n">
        <f aca="false">D125</f>
        <v>163.428571428571</v>
      </c>
      <c r="F126" s="139" t="n">
        <f aca="false">E125</f>
        <v>153.786285714286</v>
      </c>
      <c r="G126" s="139" t="n">
        <f aca="false">F125</f>
        <v>151.880028563341</v>
      </c>
      <c r="H126" s="139" t="n">
        <f aca="false">G125</f>
        <v>149.625209267256</v>
      </c>
      <c r="I126" s="139" t="n">
        <f aca="false">H125</f>
        <v>146.9701541846</v>
      </c>
      <c r="J126" s="139" t="n">
        <f aca="false">I125</f>
        <v>143.860578728124</v>
      </c>
      <c r="K126" s="139" t="n">
        <f aca="false">J125</f>
        <v>140.241717224598</v>
      </c>
      <c r="L126" s="139" t="n">
        <f aca="false">K125</f>
        <v>136.061460693368</v>
      </c>
      <c r="M126" s="139" t="n">
        <f aca="false">L125</f>
        <v>123.529427936282</v>
      </c>
      <c r="N126" s="139" t="n">
        <f aca="false">M125</f>
        <v>116.95542148381</v>
      </c>
      <c r="O126" s="139" t="n">
        <f aca="false">N125</f>
        <v>109.65278746723</v>
      </c>
      <c r="P126" s="139" t="n">
        <f aca="false">O125</f>
        <v>101.661818120623</v>
      </c>
      <c r="Q126" s="139" t="n">
        <f aca="false">P125</f>
        <v>93.0657454031795</v>
      </c>
      <c r="R126" s="139" t="n">
        <f aca="false">Q125</f>
        <v>83.9946479486936</v>
      </c>
      <c r="S126" s="139" t="n">
        <f aca="false">R125</f>
        <v>74.624339918069</v>
      </c>
      <c r="T126" s="139" t="n">
        <f aca="false">S125</f>
        <v>61.3237912746322</v>
      </c>
      <c r="U126" s="139" t="n">
        <f aca="false">T125</f>
        <v>51.9176833307365</v>
      </c>
      <c r="V126" s="139" t="n">
        <f aca="false">U125</f>
        <v>42.9891237170423</v>
      </c>
      <c r="W126" s="139" t="n">
        <f aca="false">V125</f>
        <v>34.7655748709005</v>
      </c>
      <c r="X126" s="139" t="n">
        <f aca="false">W125</f>
        <v>27.4261095025897</v>
      </c>
      <c r="Y126" s="139" t="n">
        <f aca="false">X125</f>
        <v>21.0850210804326</v>
      </c>
      <c r="Z126" s="139" t="n">
        <f aca="false">Y125</f>
        <v>15.7851302979633</v>
      </c>
      <c r="AA126" s="139" t="n">
        <f aca="false">Z125</f>
        <v>10.8228987269167</v>
      </c>
      <c r="AB126" s="139" t="n">
        <f aca="false">AA125</f>
        <v>7.5775344404809</v>
      </c>
      <c r="AC126" s="139" t="n">
        <f aca="false">AB125</f>
        <v>5.14857610185813</v>
      </c>
      <c r="AD126" s="12"/>
    </row>
    <row r="127" customFormat="false" ht="12.8" hidden="false" customHeight="false" outlineLevel="0" collapsed="false">
      <c r="A127" s="139" t="n">
        <v>4</v>
      </c>
      <c r="B127" s="139" t="n">
        <f aca="false">1/7*B$122</f>
        <v>163.428571428571</v>
      </c>
      <c r="C127" s="139" t="n">
        <f aca="false">1/7*C$122</f>
        <v>163.428571428571</v>
      </c>
      <c r="D127" s="139" t="n">
        <f aca="false">C126</f>
        <v>163.428571428571</v>
      </c>
      <c r="E127" s="139" t="n">
        <f aca="false">D126</f>
        <v>163.428571428571</v>
      </c>
      <c r="F127" s="139" t="n">
        <f aca="false">E126</f>
        <v>163.428571428571</v>
      </c>
      <c r="G127" s="139" t="n">
        <f aca="false">F126</f>
        <v>153.786285714286</v>
      </c>
      <c r="H127" s="139" t="n">
        <f aca="false">G126</f>
        <v>151.880028563341</v>
      </c>
      <c r="I127" s="139" t="n">
        <f aca="false">H126</f>
        <v>149.625209267256</v>
      </c>
      <c r="J127" s="139" t="n">
        <f aca="false">I126</f>
        <v>146.9701541846</v>
      </c>
      <c r="K127" s="139" t="n">
        <f aca="false">J126</f>
        <v>143.860578728124</v>
      </c>
      <c r="L127" s="139" t="n">
        <f aca="false">K126</f>
        <v>140.241717224598</v>
      </c>
      <c r="M127" s="139" t="n">
        <f aca="false">L126</f>
        <v>136.061460693368</v>
      </c>
      <c r="N127" s="139" t="n">
        <f aca="false">M126</f>
        <v>123.529427936282</v>
      </c>
      <c r="O127" s="139" t="n">
        <f aca="false">N126</f>
        <v>116.95542148381</v>
      </c>
      <c r="P127" s="139" t="n">
        <f aca="false">O126</f>
        <v>109.65278746723</v>
      </c>
      <c r="Q127" s="139" t="n">
        <f aca="false">P126</f>
        <v>101.661818120623</v>
      </c>
      <c r="R127" s="139" t="n">
        <f aca="false">Q126</f>
        <v>93.0657454031795</v>
      </c>
      <c r="S127" s="139" t="n">
        <f aca="false">R126</f>
        <v>83.9946479486936</v>
      </c>
      <c r="T127" s="139" t="n">
        <f aca="false">S126</f>
        <v>74.624339918069</v>
      </c>
      <c r="U127" s="139" t="n">
        <f aca="false">T126</f>
        <v>61.3237912746322</v>
      </c>
      <c r="V127" s="139" t="n">
        <f aca="false">U126</f>
        <v>51.9176833307365</v>
      </c>
      <c r="W127" s="139" t="n">
        <f aca="false">V126</f>
        <v>42.9891237170423</v>
      </c>
      <c r="X127" s="139" t="n">
        <f aca="false">W126</f>
        <v>34.7655748709005</v>
      </c>
      <c r="Y127" s="139" t="n">
        <f aca="false">X126</f>
        <v>27.4261095025897</v>
      </c>
      <c r="Z127" s="139" t="n">
        <f aca="false">Y126</f>
        <v>21.0850210804326</v>
      </c>
      <c r="AA127" s="139" t="n">
        <f aca="false">Z126</f>
        <v>15.7851302979633</v>
      </c>
      <c r="AB127" s="139" t="n">
        <f aca="false">AA126</f>
        <v>10.8228987269167</v>
      </c>
      <c r="AC127" s="139" t="n">
        <f aca="false">AB126</f>
        <v>7.5775344404809</v>
      </c>
      <c r="AD127" s="12"/>
    </row>
    <row r="128" customFormat="false" ht="12.8" hidden="false" customHeight="false" outlineLevel="0" collapsed="false">
      <c r="A128" s="139" t="n">
        <v>5</v>
      </c>
      <c r="B128" s="139" t="n">
        <f aca="false">1/7*B$122</f>
        <v>163.428571428571</v>
      </c>
      <c r="C128" s="139" t="n">
        <f aca="false">1/7*C$122</f>
        <v>163.428571428571</v>
      </c>
      <c r="D128" s="139" t="n">
        <f aca="false">C127</f>
        <v>163.428571428571</v>
      </c>
      <c r="E128" s="139" t="n">
        <f aca="false">D127</f>
        <v>163.428571428571</v>
      </c>
      <c r="F128" s="139" t="n">
        <f aca="false">E127</f>
        <v>163.428571428571</v>
      </c>
      <c r="G128" s="139" t="n">
        <f aca="false">F127</f>
        <v>163.428571428571</v>
      </c>
      <c r="H128" s="139" t="n">
        <f aca="false">G127</f>
        <v>153.786285714286</v>
      </c>
      <c r="I128" s="139" t="n">
        <f aca="false">H127</f>
        <v>151.880028563341</v>
      </c>
      <c r="J128" s="139" t="n">
        <f aca="false">I127</f>
        <v>149.625209267256</v>
      </c>
      <c r="K128" s="139" t="n">
        <f aca="false">J127</f>
        <v>146.9701541846</v>
      </c>
      <c r="L128" s="139" t="n">
        <f aca="false">K127</f>
        <v>143.860578728124</v>
      </c>
      <c r="M128" s="139" t="n">
        <f aca="false">L127</f>
        <v>140.241717224598</v>
      </c>
      <c r="N128" s="139" t="n">
        <f aca="false">M127</f>
        <v>136.061460693368</v>
      </c>
      <c r="O128" s="139" t="n">
        <f aca="false">N127</f>
        <v>123.529427936282</v>
      </c>
      <c r="P128" s="139" t="n">
        <f aca="false">O127</f>
        <v>116.95542148381</v>
      </c>
      <c r="Q128" s="139" t="n">
        <f aca="false">P127</f>
        <v>109.65278746723</v>
      </c>
      <c r="R128" s="139" t="n">
        <f aca="false">Q127</f>
        <v>101.661818120623</v>
      </c>
      <c r="S128" s="139" t="n">
        <f aca="false">R127</f>
        <v>93.0657454031795</v>
      </c>
      <c r="T128" s="139" t="n">
        <f aca="false">S127</f>
        <v>83.9946479486936</v>
      </c>
      <c r="U128" s="139" t="n">
        <f aca="false">T127</f>
        <v>74.624339918069</v>
      </c>
      <c r="V128" s="139" t="n">
        <f aca="false">U127</f>
        <v>61.3237912746322</v>
      </c>
      <c r="W128" s="139" t="n">
        <f aca="false">V127</f>
        <v>51.9176833307365</v>
      </c>
      <c r="X128" s="139" t="n">
        <f aca="false">W127</f>
        <v>42.9891237170423</v>
      </c>
      <c r="Y128" s="139" t="n">
        <f aca="false">X127</f>
        <v>34.7655748709005</v>
      </c>
      <c r="Z128" s="139" t="n">
        <f aca="false">Y127</f>
        <v>27.4261095025897</v>
      </c>
      <c r="AA128" s="139" t="n">
        <f aca="false">Z127</f>
        <v>21.0850210804326</v>
      </c>
      <c r="AB128" s="139" t="n">
        <f aca="false">AA127</f>
        <v>15.7851302979633</v>
      </c>
      <c r="AC128" s="139" t="n">
        <f aca="false">AB127</f>
        <v>10.8228987269167</v>
      </c>
      <c r="AD128" s="12"/>
    </row>
    <row r="129" customFormat="false" ht="12.8" hidden="false" customHeight="false" outlineLevel="0" collapsed="false">
      <c r="A129" s="139" t="n">
        <v>6</v>
      </c>
      <c r="B129" s="139" t="n">
        <f aca="false">1/7*B$122</f>
        <v>163.428571428571</v>
      </c>
      <c r="C129" s="139" t="n">
        <f aca="false">1/7*C$122</f>
        <v>163.428571428571</v>
      </c>
      <c r="D129" s="139" t="n">
        <f aca="false">C128</f>
        <v>163.428571428571</v>
      </c>
      <c r="E129" s="139" t="n">
        <f aca="false">D128</f>
        <v>163.428571428571</v>
      </c>
      <c r="F129" s="139" t="n">
        <f aca="false">E128</f>
        <v>163.428571428571</v>
      </c>
      <c r="G129" s="139" t="n">
        <f aca="false">F128</f>
        <v>163.428571428571</v>
      </c>
      <c r="H129" s="139" t="n">
        <f aca="false">G128</f>
        <v>163.428571428571</v>
      </c>
      <c r="I129" s="139" t="n">
        <f aca="false">H128</f>
        <v>153.786285714286</v>
      </c>
      <c r="J129" s="139" t="n">
        <f aca="false">I128</f>
        <v>151.880028563341</v>
      </c>
      <c r="K129" s="139" t="n">
        <f aca="false">J128</f>
        <v>149.625209267256</v>
      </c>
      <c r="L129" s="139" t="n">
        <f aca="false">K128</f>
        <v>146.9701541846</v>
      </c>
      <c r="M129" s="139" t="n">
        <f aca="false">L128</f>
        <v>143.860578728124</v>
      </c>
      <c r="N129" s="139" t="n">
        <f aca="false">M128</f>
        <v>140.241717224598</v>
      </c>
      <c r="O129" s="139" t="n">
        <f aca="false">N128</f>
        <v>136.061460693368</v>
      </c>
      <c r="P129" s="139" t="n">
        <f aca="false">O128</f>
        <v>123.529427936282</v>
      </c>
      <c r="Q129" s="139" t="n">
        <f aca="false">P128</f>
        <v>116.95542148381</v>
      </c>
      <c r="R129" s="139" t="n">
        <f aca="false">Q128</f>
        <v>109.65278746723</v>
      </c>
      <c r="S129" s="139" t="n">
        <f aca="false">R128</f>
        <v>101.661818120623</v>
      </c>
      <c r="T129" s="139" t="n">
        <f aca="false">S128</f>
        <v>93.0657454031795</v>
      </c>
      <c r="U129" s="139" t="n">
        <f aca="false">T128</f>
        <v>83.9946479486936</v>
      </c>
      <c r="V129" s="139" t="n">
        <f aca="false">U128</f>
        <v>74.624339918069</v>
      </c>
      <c r="W129" s="139" t="n">
        <f aca="false">V128</f>
        <v>61.3237912746322</v>
      </c>
      <c r="X129" s="139" t="n">
        <f aca="false">W128</f>
        <v>51.9176833307365</v>
      </c>
      <c r="Y129" s="139" t="n">
        <f aca="false">X128</f>
        <v>42.9891237170423</v>
      </c>
      <c r="Z129" s="139" t="n">
        <f aca="false">Y128</f>
        <v>34.7655748709005</v>
      </c>
      <c r="AA129" s="139" t="n">
        <f aca="false">Z128</f>
        <v>27.4261095025897</v>
      </c>
      <c r="AB129" s="139" t="n">
        <f aca="false">AA128</f>
        <v>21.0850210804326</v>
      </c>
      <c r="AC129" s="139" t="n">
        <f aca="false">AB128</f>
        <v>15.7851302979633</v>
      </c>
      <c r="AD129" s="12"/>
    </row>
    <row r="130" customFormat="false" ht="12.8" hidden="false" customHeight="false" outlineLevel="0" collapsed="false">
      <c r="A130" s="140" t="n">
        <v>7</v>
      </c>
      <c r="B130" s="139" t="n">
        <f aca="false">1/7*B$122</f>
        <v>163.428571428571</v>
      </c>
      <c r="C130" s="139" t="n">
        <f aca="false">1/7*C$122</f>
        <v>163.428571428571</v>
      </c>
      <c r="D130" s="139" t="n">
        <f aca="false">C129</f>
        <v>163.428571428571</v>
      </c>
      <c r="E130" s="139" t="n">
        <f aca="false">D129</f>
        <v>163.428571428571</v>
      </c>
      <c r="F130" s="139" t="n">
        <f aca="false">E129</f>
        <v>163.428571428571</v>
      </c>
      <c r="G130" s="139" t="n">
        <f aca="false">F129</f>
        <v>163.428571428571</v>
      </c>
      <c r="H130" s="139" t="n">
        <f aca="false">G129</f>
        <v>163.428571428571</v>
      </c>
      <c r="I130" s="139" t="n">
        <f aca="false">H129</f>
        <v>163.428571428571</v>
      </c>
      <c r="J130" s="139" t="n">
        <f aca="false">I129</f>
        <v>153.786285714286</v>
      </c>
      <c r="K130" s="139" t="n">
        <f aca="false">J129</f>
        <v>151.880028563341</v>
      </c>
      <c r="L130" s="139" t="n">
        <f aca="false">K129</f>
        <v>149.625209267256</v>
      </c>
      <c r="M130" s="139" t="n">
        <f aca="false">L129</f>
        <v>146.9701541846</v>
      </c>
      <c r="N130" s="139" t="n">
        <f aca="false">M129</f>
        <v>143.860578728124</v>
      </c>
      <c r="O130" s="139" t="n">
        <f aca="false">N129</f>
        <v>140.241717224598</v>
      </c>
      <c r="P130" s="139" t="n">
        <f aca="false">O129</f>
        <v>136.061460693368</v>
      </c>
      <c r="Q130" s="139" t="n">
        <f aca="false">P129</f>
        <v>123.529427936282</v>
      </c>
      <c r="R130" s="139" t="n">
        <f aca="false">Q129</f>
        <v>116.95542148381</v>
      </c>
      <c r="S130" s="139" t="n">
        <f aca="false">R129</f>
        <v>109.65278746723</v>
      </c>
      <c r="T130" s="139" t="n">
        <f aca="false">S129</f>
        <v>101.661818120623</v>
      </c>
      <c r="U130" s="139" t="n">
        <f aca="false">T129</f>
        <v>93.0657454031795</v>
      </c>
      <c r="V130" s="139" t="n">
        <f aca="false">U129</f>
        <v>83.9946479486936</v>
      </c>
      <c r="W130" s="139" t="n">
        <f aca="false">V129</f>
        <v>74.624339918069</v>
      </c>
      <c r="X130" s="139" t="n">
        <f aca="false">W129</f>
        <v>61.3237912746322</v>
      </c>
      <c r="Y130" s="139" t="n">
        <f aca="false">X129</f>
        <v>51.9176833307365</v>
      </c>
      <c r="Z130" s="139" t="n">
        <f aca="false">Y129</f>
        <v>42.9891237170423</v>
      </c>
      <c r="AA130" s="139" t="n">
        <f aca="false">Z129</f>
        <v>34.7655748709005</v>
      </c>
      <c r="AB130" s="139" t="n">
        <f aca="false">AA129</f>
        <v>27.4261095025897</v>
      </c>
      <c r="AC130" s="139" t="n">
        <f aca="false">AB129</f>
        <v>21.0850210804326</v>
      </c>
      <c r="AD130" s="12"/>
    </row>
    <row r="131" customFormat="false" ht="12.8" hidden="false" customHeight="false" outlineLevel="0" collapsed="false">
      <c r="A131" s="130" t="s">
        <v>315</v>
      </c>
      <c r="B131" s="124" t="n">
        <v>2023</v>
      </c>
      <c r="C131" s="124" t="n">
        <v>2024</v>
      </c>
      <c r="D131" s="124" t="n">
        <v>2025</v>
      </c>
      <c r="E131" s="124" t="n">
        <v>2026</v>
      </c>
      <c r="F131" s="124" t="n">
        <v>2027</v>
      </c>
      <c r="G131" s="124" t="n">
        <v>2028</v>
      </c>
      <c r="H131" s="124" t="n">
        <v>2029</v>
      </c>
      <c r="I131" s="124" t="n">
        <v>2030</v>
      </c>
      <c r="J131" s="124" t="n">
        <v>2031</v>
      </c>
      <c r="K131" s="124" t="n">
        <v>2032</v>
      </c>
      <c r="L131" s="124" t="n">
        <v>2033</v>
      </c>
      <c r="M131" s="124" t="n">
        <v>2034</v>
      </c>
      <c r="N131" s="124" t="n">
        <v>2035</v>
      </c>
      <c r="O131" s="124" t="n">
        <v>2036</v>
      </c>
      <c r="P131" s="124" t="n">
        <v>2037</v>
      </c>
      <c r="Q131" s="124" t="n">
        <v>2038</v>
      </c>
      <c r="R131" s="124" t="n">
        <v>2039</v>
      </c>
      <c r="S131" s="124" t="n">
        <v>2040</v>
      </c>
      <c r="T131" s="124" t="n">
        <v>2041</v>
      </c>
      <c r="U131" s="124" t="n">
        <v>2042</v>
      </c>
      <c r="V131" s="124" t="n">
        <v>2043</v>
      </c>
      <c r="W131" s="124" t="n">
        <v>2044</v>
      </c>
      <c r="X131" s="124" t="n">
        <v>2045</v>
      </c>
      <c r="Y131" s="124" t="n">
        <v>2046</v>
      </c>
      <c r="Z131" s="124" t="n">
        <v>2047</v>
      </c>
      <c r="AA131" s="124" t="n">
        <v>2048</v>
      </c>
      <c r="AB131" s="124" t="n">
        <v>2049</v>
      </c>
      <c r="AC131" s="124" t="n">
        <v>2050</v>
      </c>
    </row>
    <row r="132" customFormat="false" ht="12.8" hidden="false" customHeight="false" outlineLevel="0" collapsed="false">
      <c r="A132" s="130" t="s">
        <v>312</v>
      </c>
      <c r="B132" s="136" t="n">
        <v>0</v>
      </c>
      <c r="C132" s="136" t="n">
        <v>0</v>
      </c>
      <c r="D132" s="136" t="n">
        <f aca="false">C132+D134</f>
        <v>16.5062857142857</v>
      </c>
      <c r="E132" s="136" t="n">
        <f aca="false">D132+E134</f>
        <v>36.1301751867199</v>
      </c>
      <c r="F132" s="136" t="n">
        <f aca="false">E132+F134</f>
        <v>59.3818534698815</v>
      </c>
      <c r="G132" s="136" t="n">
        <f aca="false">F132+G134</f>
        <v>86.8235374875067</v>
      </c>
      <c r="H132" s="136" t="n">
        <f aca="false">G132+H134</f>
        <v>119.062464027134</v>
      </c>
      <c r="I132" s="136" t="n">
        <f aca="false">H132+I134</f>
        <v>156.738449132446</v>
      </c>
      <c r="J132" s="136" t="n">
        <f aca="false">I132+J134</f>
        <v>200.505109213052</v>
      </c>
      <c r="K132" s="136" t="n">
        <f aca="false">J132+K134</f>
        <v>245.903949748987</v>
      </c>
      <c r="L132" s="136" t="n">
        <f aca="false">K132+L134</f>
        <v>296.790358846661</v>
      </c>
      <c r="M132" s="136" t="n">
        <f aca="false">L132+M134</f>
        <v>353.126613444086</v>
      </c>
      <c r="N132" s="136" t="n">
        <f aca="false">M132+N134</f>
        <v>414.646428528932</v>
      </c>
      <c r="O132" s="136" t="n">
        <f aca="false">N132+O134</f>
        <v>480.824043570248</v>
      </c>
      <c r="P132" s="136" t="n">
        <f aca="false">O132+P134</f>
        <v>550.863393378592</v>
      </c>
      <c r="Q132" s="136" t="n">
        <f aca="false">P132+Q134</f>
        <v>623.713938226069</v>
      </c>
      <c r="R132" s="136" t="n">
        <f aca="false">Q132+R134</f>
        <v>690.601573351395</v>
      </c>
      <c r="S132" s="136" t="n">
        <f aca="false">R132+S134</f>
        <v>756.207629964977</v>
      </c>
      <c r="T132" s="136" t="n">
        <f aca="false">S132+T134</f>
        <v>819.059968250807</v>
      </c>
      <c r="U132" s="136" t="n">
        <f aca="false">T132+U134</f>
        <v>877.821343280514</v>
      </c>
      <c r="V132" s="136" t="n">
        <f aca="false">U132+V134</f>
        <v>931.39495953403</v>
      </c>
      <c r="W132" s="136" t="n">
        <f aca="false">V132+W134</f>
        <v>979.002909576904</v>
      </c>
      <c r="X132" s="136" t="n">
        <f aca="false">W132+X134</f>
        <v>1020.22668137903</v>
      </c>
      <c r="Y132" s="136" t="n">
        <f aca="false">X132+Y134</f>
        <v>1051.49312503904</v>
      </c>
      <c r="Z132" s="136" t="n">
        <f aca="false">Y132+Z134</f>
        <v>1076.65231354938</v>
      </c>
      <c r="AA132" s="136" t="n">
        <f aca="false">Z132+AA134</f>
        <v>1096.30630183013</v>
      </c>
      <c r="AB132" s="136" t="n">
        <f aca="false">AA132+AB134</f>
        <v>1111.20996049453</v>
      </c>
      <c r="AC132" s="136" t="n">
        <f aca="false">AB132+AC134</f>
        <v>1122.18070488175</v>
      </c>
    </row>
    <row r="133" customFormat="false" ht="12.8" hidden="false" customHeight="false" outlineLevel="0" collapsed="false">
      <c r="A133" s="130" t="s">
        <v>313</v>
      </c>
      <c r="B133" s="136" t="n">
        <v>1144</v>
      </c>
      <c r="C133" s="136" t="n">
        <f aca="false">$B133-C132</f>
        <v>1144</v>
      </c>
      <c r="D133" s="136" t="n">
        <f aca="false">$B133-D132</f>
        <v>1127.49371428571</v>
      </c>
      <c r="E133" s="136" t="n">
        <f aca="false">$B133-E132</f>
        <v>1107.86982481328</v>
      </c>
      <c r="F133" s="136" t="n">
        <f aca="false">$B133-F132</f>
        <v>1084.61814653012</v>
      </c>
      <c r="G133" s="136" t="n">
        <f aca="false">$B133-G132</f>
        <v>1057.17646251249</v>
      </c>
      <c r="H133" s="136" t="n">
        <f aca="false">$B133-H132</f>
        <v>1024.93753597287</v>
      </c>
      <c r="I133" s="136" t="n">
        <f aca="false">$B133-I132</f>
        <v>987.261550867554</v>
      </c>
      <c r="J133" s="136" t="n">
        <f aca="false">$B133-J132</f>
        <v>943.494890786948</v>
      </c>
      <c r="K133" s="136" t="n">
        <f aca="false">$B133-K132</f>
        <v>898.096050251013</v>
      </c>
      <c r="L133" s="136" t="n">
        <f aca="false">$B133-L132</f>
        <v>847.209641153339</v>
      </c>
      <c r="M133" s="136" t="n">
        <f aca="false">$B133-M132</f>
        <v>790.873386555914</v>
      </c>
      <c r="N133" s="136" t="n">
        <f aca="false">$B133-N132</f>
        <v>729.353571471068</v>
      </c>
      <c r="O133" s="136" t="n">
        <f aca="false">$B133-O132</f>
        <v>663.175956429752</v>
      </c>
      <c r="P133" s="136" t="n">
        <f aca="false">$B133-P132</f>
        <v>593.136606621408</v>
      </c>
      <c r="Q133" s="136" t="n">
        <f aca="false">$B133-Q132</f>
        <v>520.286061773932</v>
      </c>
      <c r="R133" s="136" t="n">
        <f aca="false">$B133-R132</f>
        <v>453.398426648605</v>
      </c>
      <c r="S133" s="136" t="n">
        <f aca="false">$B133-S132</f>
        <v>387.792370035023</v>
      </c>
      <c r="T133" s="136" t="n">
        <f aca="false">$B133-T132</f>
        <v>324.940031749193</v>
      </c>
      <c r="U133" s="136" t="n">
        <f aca="false">$B133-U132</f>
        <v>266.178656719486</v>
      </c>
      <c r="V133" s="136" t="n">
        <f aca="false">$B133-V132</f>
        <v>212.60504046597</v>
      </c>
      <c r="W133" s="136" t="n">
        <f aca="false">$B133-W132</f>
        <v>164.997090423096</v>
      </c>
      <c r="X133" s="136" t="n">
        <f aca="false">$B133-X132</f>
        <v>123.773318620975</v>
      </c>
      <c r="Y133" s="136" t="n">
        <f aca="false">$B133-Y132</f>
        <v>92.5068749609579</v>
      </c>
      <c r="Z133" s="136" t="n">
        <f aca="false">$B133-Z132</f>
        <v>67.3476864506192</v>
      </c>
      <c r="AA133" s="136" t="n">
        <f aca="false">$B133-AA132</f>
        <v>47.693698169875</v>
      </c>
      <c r="AB133" s="136" t="n">
        <f aca="false">$B133-AB132</f>
        <v>32.7900395054751</v>
      </c>
      <c r="AC133" s="136" t="n">
        <f aca="false">$B133-AC132</f>
        <v>21.8192951182459</v>
      </c>
    </row>
    <row r="134" customFormat="false" ht="11.9" hidden="false" customHeight="true" outlineLevel="0" collapsed="false">
      <c r="A134" s="0" t="s">
        <v>314</v>
      </c>
      <c r="B134" s="136"/>
      <c r="C134" s="136"/>
      <c r="D134" s="136" t="n">
        <f aca="false">B97*C141</f>
        <v>16.5062857142857</v>
      </c>
      <c r="E134" s="136" t="n">
        <f aca="false">C97*D141</f>
        <v>19.6238894724342</v>
      </c>
      <c r="F134" s="136" t="n">
        <f aca="false">D97*E141</f>
        <v>23.2516782831616</v>
      </c>
      <c r="G134" s="136" t="n">
        <f aca="false">E97*F141</f>
        <v>27.4416840176252</v>
      </c>
      <c r="H134" s="136" t="n">
        <f aca="false">F97*G141</f>
        <v>32.2389265396275</v>
      </c>
      <c r="I134" s="136" t="n">
        <f aca="false">G97*H141</f>
        <v>37.675985105312</v>
      </c>
      <c r="J134" s="136" t="n">
        <f aca="false">H97*I141</f>
        <v>43.7666600806057</v>
      </c>
      <c r="K134" s="136" t="n">
        <f aca="false">I97*J141</f>
        <v>45.3988405359351</v>
      </c>
      <c r="L134" s="136" t="n">
        <f aca="false">J97*K141</f>
        <v>50.8864090976738</v>
      </c>
      <c r="M134" s="136" t="n">
        <f aca="false">K97*L141</f>
        <v>56.3362545974248</v>
      </c>
      <c r="N134" s="136" t="n">
        <f aca="false">L97*M141</f>
        <v>61.5198150848463</v>
      </c>
      <c r="O134" s="136" t="n">
        <f aca="false">M97*N141</f>
        <v>66.1776150413164</v>
      </c>
      <c r="P134" s="136" t="n">
        <f aca="false">N97*O141</f>
        <v>70.0393498083435</v>
      </c>
      <c r="Q134" s="136" t="n">
        <f aca="false">O97*P141</f>
        <v>72.8505448474767</v>
      </c>
      <c r="R134" s="136" t="n">
        <f aca="false">P97*Q141</f>
        <v>66.8876351253265</v>
      </c>
      <c r="S134" s="136" t="n">
        <f aca="false">Q97*R141</f>
        <v>65.6060566135824</v>
      </c>
      <c r="T134" s="136" t="n">
        <f aca="false">R97*S141</f>
        <v>62.8523382858296</v>
      </c>
      <c r="U134" s="136" t="n">
        <f aca="false">S97*T141</f>
        <v>58.7613750297065</v>
      </c>
      <c r="V134" s="136" t="n">
        <f aca="false">T97*U141</f>
        <v>53.5736162535161</v>
      </c>
      <c r="W134" s="136" t="n">
        <f aca="false">U97*V141</f>
        <v>47.607950042874</v>
      </c>
      <c r="X134" s="136" t="n">
        <f aca="false">V97*W141</f>
        <v>41.2237718021214</v>
      </c>
      <c r="Y134" s="136" t="n">
        <f aca="false">W97*X141</f>
        <v>31.2664436600171</v>
      </c>
      <c r="Z134" s="136" t="n">
        <f aca="false">X97*Y141</f>
        <v>25.1591885103387</v>
      </c>
      <c r="AA134" s="136" t="n">
        <f aca="false">Y97*Z141</f>
        <v>19.6539882807443</v>
      </c>
      <c r="AB134" s="136" t="n">
        <f aca="false">Z97*AA141</f>
        <v>14.9036586643998</v>
      </c>
      <c r="AC134" s="136" t="n">
        <f aca="false">AA97*AB141</f>
        <v>10.9707443872292</v>
      </c>
    </row>
    <row r="135" s="12" customFormat="true" ht="12.8" hidden="false" customHeight="false" outlineLevel="0" collapsed="false">
      <c r="A135" s="139" t="n">
        <v>1</v>
      </c>
      <c r="B135" s="139" t="n">
        <f aca="false">1/7*B$133</f>
        <v>163.428571428571</v>
      </c>
      <c r="C135" s="139" t="n">
        <f aca="false">1/7*C$133</f>
        <v>163.428571428571</v>
      </c>
      <c r="D135" s="139" t="n">
        <f aca="false">C141-D134</f>
        <v>146.922285714286</v>
      </c>
      <c r="E135" s="139" t="n">
        <f aca="false">D141-E134</f>
        <v>143.804681956137</v>
      </c>
      <c r="F135" s="139" t="n">
        <f aca="false">E141-F134</f>
        <v>140.17689314541</v>
      </c>
      <c r="G135" s="139" t="n">
        <f aca="false">F141-G134</f>
        <v>135.986887410946</v>
      </c>
      <c r="H135" s="139" t="n">
        <f aca="false">G141-H134</f>
        <v>131.189644888944</v>
      </c>
      <c r="I135" s="139" t="n">
        <f aca="false">H141-I134</f>
        <v>125.752586323259</v>
      </c>
      <c r="J135" s="139" t="n">
        <f aca="false">I141-J134</f>
        <v>119.661911347966</v>
      </c>
      <c r="K135" s="139" t="n">
        <f aca="false">J141-K134</f>
        <v>101.523445178351</v>
      </c>
      <c r="L135" s="139" t="n">
        <f aca="false">K141-L134</f>
        <v>92.9182728584634</v>
      </c>
      <c r="M135" s="139" t="n">
        <f aca="false">L141-M134</f>
        <v>83.8406385479851</v>
      </c>
      <c r="N135" s="139" t="n">
        <f aca="false">M141-N134</f>
        <v>74.4670723260999</v>
      </c>
      <c r="O135" s="139" t="n">
        <f aca="false">N141-O134</f>
        <v>65.0120298476276</v>
      </c>
      <c r="P135" s="139" t="n">
        <f aca="false">O141-P134</f>
        <v>55.7132365149159</v>
      </c>
      <c r="Q135" s="139" t="n">
        <f aca="false">P141-Q134</f>
        <v>46.811366500489</v>
      </c>
      <c r="R135" s="139" t="n">
        <f aca="false">Q141-R134</f>
        <v>34.6358100530241</v>
      </c>
      <c r="S135" s="139" t="n">
        <f aca="false">R141-S134</f>
        <v>27.312216244881</v>
      </c>
      <c r="T135" s="139" t="n">
        <f aca="false">S141-T134</f>
        <v>20.9883002621555</v>
      </c>
      <c r="U135" s="139" t="n">
        <f aca="false">T141-U134</f>
        <v>15.7056972963934</v>
      </c>
      <c r="V135" s="139" t="n">
        <f aca="false">U141-V134</f>
        <v>11.4384135941115</v>
      </c>
      <c r="W135" s="139" t="n">
        <f aca="false">V141-W134</f>
        <v>8.10528647204188</v>
      </c>
      <c r="X135" s="139" t="n">
        <f aca="false">W141-X134</f>
        <v>5.58759469836762</v>
      </c>
      <c r="Y135" s="139" t="n">
        <f aca="false">X141-Y134</f>
        <v>3.36936639300704</v>
      </c>
      <c r="Z135" s="139" t="n">
        <f aca="false">Y141-Z134</f>
        <v>2.15302773454239</v>
      </c>
      <c r="AA135" s="139" t="n">
        <f aca="false">Z141-AA134</f>
        <v>1.33431198141115</v>
      </c>
      <c r="AB135" s="139" t="n">
        <f aca="false">AA141-AB134</f>
        <v>0.802038631993593</v>
      </c>
      <c r="AC135" s="139" t="n">
        <f aca="false">AB141-AC134</f>
        <v>0.467669206882311</v>
      </c>
    </row>
    <row r="136" s="12" customFormat="true" ht="12.8" hidden="false" customHeight="false" outlineLevel="0" collapsed="false">
      <c r="A136" s="139" t="n">
        <v>2</v>
      </c>
      <c r="B136" s="139" t="n">
        <f aca="false">1/7*B$133</f>
        <v>163.428571428571</v>
      </c>
      <c r="C136" s="139" t="n">
        <f aca="false">1/7*C$133</f>
        <v>163.428571428571</v>
      </c>
      <c r="D136" s="139" t="n">
        <f aca="false">C135</f>
        <v>163.428571428571</v>
      </c>
      <c r="E136" s="139" t="n">
        <f aca="false">D135</f>
        <v>146.922285714286</v>
      </c>
      <c r="F136" s="139" t="n">
        <f aca="false">E135</f>
        <v>143.804681956137</v>
      </c>
      <c r="G136" s="139" t="n">
        <f aca="false">F135</f>
        <v>140.17689314541</v>
      </c>
      <c r="H136" s="139" t="n">
        <f aca="false">G135</f>
        <v>135.986887410946</v>
      </c>
      <c r="I136" s="139" t="n">
        <f aca="false">H135</f>
        <v>131.189644888944</v>
      </c>
      <c r="J136" s="139" t="n">
        <f aca="false">I135</f>
        <v>125.752586323259</v>
      </c>
      <c r="K136" s="139" t="n">
        <f aca="false">J135</f>
        <v>119.661911347966</v>
      </c>
      <c r="L136" s="139" t="n">
        <f aca="false">K135</f>
        <v>101.523445178351</v>
      </c>
      <c r="M136" s="139" t="n">
        <f aca="false">L135</f>
        <v>92.9182728584634</v>
      </c>
      <c r="N136" s="139" t="n">
        <f aca="false">M135</f>
        <v>83.8406385479851</v>
      </c>
      <c r="O136" s="139" t="n">
        <f aca="false">N135</f>
        <v>74.4670723260999</v>
      </c>
      <c r="P136" s="139" t="n">
        <f aca="false">O135</f>
        <v>65.0120298476276</v>
      </c>
      <c r="Q136" s="139" t="n">
        <f aca="false">P135</f>
        <v>55.7132365149159</v>
      </c>
      <c r="R136" s="139" t="n">
        <f aca="false">Q135</f>
        <v>46.811366500489</v>
      </c>
      <c r="S136" s="139" t="n">
        <f aca="false">R135</f>
        <v>34.6358100530241</v>
      </c>
      <c r="T136" s="139" t="n">
        <f aca="false">S135</f>
        <v>27.312216244881</v>
      </c>
      <c r="U136" s="139" t="n">
        <f aca="false">T135</f>
        <v>20.9883002621555</v>
      </c>
      <c r="V136" s="139" t="n">
        <f aca="false">U135</f>
        <v>15.7056972963934</v>
      </c>
      <c r="W136" s="139" t="n">
        <f aca="false">V135</f>
        <v>11.4384135941115</v>
      </c>
      <c r="X136" s="139" t="n">
        <f aca="false">W135</f>
        <v>8.10528647204188</v>
      </c>
      <c r="Y136" s="139" t="n">
        <f aca="false">X135</f>
        <v>5.58759469836762</v>
      </c>
      <c r="Z136" s="139" t="n">
        <f aca="false">Y135</f>
        <v>3.36936639300704</v>
      </c>
      <c r="AA136" s="139" t="n">
        <f aca="false">Z135</f>
        <v>2.15302773454239</v>
      </c>
      <c r="AB136" s="139" t="n">
        <f aca="false">AA135</f>
        <v>1.33431198141115</v>
      </c>
      <c r="AC136" s="139" t="n">
        <f aca="false">AB135</f>
        <v>0.802038631993593</v>
      </c>
    </row>
    <row r="137" s="12" customFormat="true" ht="12.8" hidden="false" customHeight="false" outlineLevel="0" collapsed="false">
      <c r="A137" s="139" t="n">
        <v>3</v>
      </c>
      <c r="B137" s="139" t="n">
        <f aca="false">1/7*B$133</f>
        <v>163.428571428571</v>
      </c>
      <c r="C137" s="139" t="n">
        <f aca="false">1/7*C$133</f>
        <v>163.428571428571</v>
      </c>
      <c r="D137" s="139" t="n">
        <f aca="false">C136</f>
        <v>163.428571428571</v>
      </c>
      <c r="E137" s="139" t="n">
        <f aca="false">D136</f>
        <v>163.428571428571</v>
      </c>
      <c r="F137" s="139" t="n">
        <f aca="false">E136</f>
        <v>146.922285714286</v>
      </c>
      <c r="G137" s="139" t="n">
        <f aca="false">F136</f>
        <v>143.804681956137</v>
      </c>
      <c r="H137" s="139" t="n">
        <f aca="false">G136</f>
        <v>140.17689314541</v>
      </c>
      <c r="I137" s="139" t="n">
        <f aca="false">H136</f>
        <v>135.986887410946</v>
      </c>
      <c r="J137" s="139" t="n">
        <f aca="false">I136</f>
        <v>131.189644888944</v>
      </c>
      <c r="K137" s="139" t="n">
        <f aca="false">J136</f>
        <v>125.752586323259</v>
      </c>
      <c r="L137" s="139" t="n">
        <f aca="false">K136</f>
        <v>119.661911347966</v>
      </c>
      <c r="M137" s="139" t="n">
        <f aca="false">L136</f>
        <v>101.523445178351</v>
      </c>
      <c r="N137" s="139" t="n">
        <f aca="false">M136</f>
        <v>92.9182728584634</v>
      </c>
      <c r="O137" s="139" t="n">
        <f aca="false">N136</f>
        <v>83.8406385479851</v>
      </c>
      <c r="P137" s="139" t="n">
        <f aca="false">O136</f>
        <v>74.4670723260999</v>
      </c>
      <c r="Q137" s="139" t="n">
        <f aca="false">P136</f>
        <v>65.0120298476276</v>
      </c>
      <c r="R137" s="139" t="n">
        <f aca="false">Q136</f>
        <v>55.7132365149159</v>
      </c>
      <c r="S137" s="139" t="n">
        <f aca="false">R136</f>
        <v>46.811366500489</v>
      </c>
      <c r="T137" s="139" t="n">
        <f aca="false">S136</f>
        <v>34.6358100530241</v>
      </c>
      <c r="U137" s="139" t="n">
        <f aca="false">T136</f>
        <v>27.312216244881</v>
      </c>
      <c r="V137" s="139" t="n">
        <f aca="false">U136</f>
        <v>20.9883002621555</v>
      </c>
      <c r="W137" s="139" t="n">
        <f aca="false">V136</f>
        <v>15.7056972963934</v>
      </c>
      <c r="X137" s="139" t="n">
        <f aca="false">W136</f>
        <v>11.4384135941115</v>
      </c>
      <c r="Y137" s="139" t="n">
        <f aca="false">X136</f>
        <v>8.10528647204188</v>
      </c>
      <c r="Z137" s="139" t="n">
        <f aca="false">Y136</f>
        <v>5.58759469836762</v>
      </c>
      <c r="AA137" s="139" t="n">
        <f aca="false">Z136</f>
        <v>3.36936639300704</v>
      </c>
      <c r="AB137" s="139" t="n">
        <f aca="false">AA136</f>
        <v>2.15302773454239</v>
      </c>
      <c r="AC137" s="139" t="n">
        <f aca="false">AB136</f>
        <v>1.33431198141115</v>
      </c>
    </row>
    <row r="138" s="12" customFormat="true" ht="12.8" hidden="false" customHeight="false" outlineLevel="0" collapsed="false">
      <c r="A138" s="139" t="n">
        <v>4</v>
      </c>
      <c r="B138" s="139" t="n">
        <f aca="false">1/7*B$133</f>
        <v>163.428571428571</v>
      </c>
      <c r="C138" s="139" t="n">
        <f aca="false">1/7*C$133</f>
        <v>163.428571428571</v>
      </c>
      <c r="D138" s="139" t="n">
        <f aca="false">C137</f>
        <v>163.428571428571</v>
      </c>
      <c r="E138" s="139" t="n">
        <f aca="false">D137</f>
        <v>163.428571428571</v>
      </c>
      <c r="F138" s="139" t="n">
        <f aca="false">E137</f>
        <v>163.428571428571</v>
      </c>
      <c r="G138" s="139" t="n">
        <f aca="false">F137</f>
        <v>146.922285714286</v>
      </c>
      <c r="H138" s="139" t="n">
        <f aca="false">G137</f>
        <v>143.804681956137</v>
      </c>
      <c r="I138" s="139" t="n">
        <f aca="false">H137</f>
        <v>140.17689314541</v>
      </c>
      <c r="J138" s="139" t="n">
        <f aca="false">I137</f>
        <v>135.986887410946</v>
      </c>
      <c r="K138" s="139" t="n">
        <f aca="false">J137</f>
        <v>131.189644888944</v>
      </c>
      <c r="L138" s="139" t="n">
        <f aca="false">K137</f>
        <v>125.752586323259</v>
      </c>
      <c r="M138" s="139" t="n">
        <f aca="false">L137</f>
        <v>119.661911347966</v>
      </c>
      <c r="N138" s="139" t="n">
        <f aca="false">M137</f>
        <v>101.523445178351</v>
      </c>
      <c r="O138" s="139" t="n">
        <f aca="false">N137</f>
        <v>92.9182728584634</v>
      </c>
      <c r="P138" s="139" t="n">
        <f aca="false">O137</f>
        <v>83.8406385479851</v>
      </c>
      <c r="Q138" s="139" t="n">
        <f aca="false">P137</f>
        <v>74.4670723260999</v>
      </c>
      <c r="R138" s="139" t="n">
        <f aca="false">Q137</f>
        <v>65.0120298476276</v>
      </c>
      <c r="S138" s="139" t="n">
        <f aca="false">R137</f>
        <v>55.7132365149159</v>
      </c>
      <c r="T138" s="139" t="n">
        <f aca="false">S137</f>
        <v>46.811366500489</v>
      </c>
      <c r="U138" s="139" t="n">
        <f aca="false">T137</f>
        <v>34.6358100530241</v>
      </c>
      <c r="V138" s="139" t="n">
        <f aca="false">U137</f>
        <v>27.312216244881</v>
      </c>
      <c r="W138" s="139" t="n">
        <f aca="false">V137</f>
        <v>20.9883002621555</v>
      </c>
      <c r="X138" s="139" t="n">
        <f aca="false">W137</f>
        <v>15.7056972963934</v>
      </c>
      <c r="Y138" s="139" t="n">
        <f aca="false">X137</f>
        <v>11.4384135941115</v>
      </c>
      <c r="Z138" s="139" t="n">
        <f aca="false">Y137</f>
        <v>8.10528647204188</v>
      </c>
      <c r="AA138" s="139" t="n">
        <f aca="false">Z137</f>
        <v>5.58759469836762</v>
      </c>
      <c r="AB138" s="139" t="n">
        <f aca="false">AA137</f>
        <v>3.36936639300704</v>
      </c>
      <c r="AC138" s="139" t="n">
        <f aca="false">AB137</f>
        <v>2.15302773454239</v>
      </c>
    </row>
    <row r="139" s="12" customFormat="true" ht="12.8" hidden="false" customHeight="false" outlineLevel="0" collapsed="false">
      <c r="A139" s="139" t="n">
        <v>5</v>
      </c>
      <c r="B139" s="139" t="n">
        <f aca="false">1/7*B$133</f>
        <v>163.428571428571</v>
      </c>
      <c r="C139" s="139" t="n">
        <f aca="false">1/7*C$133</f>
        <v>163.428571428571</v>
      </c>
      <c r="D139" s="139" t="n">
        <f aca="false">C138</f>
        <v>163.428571428571</v>
      </c>
      <c r="E139" s="139" t="n">
        <f aca="false">D138</f>
        <v>163.428571428571</v>
      </c>
      <c r="F139" s="139" t="n">
        <f aca="false">E138</f>
        <v>163.428571428571</v>
      </c>
      <c r="G139" s="139" t="n">
        <f aca="false">F138</f>
        <v>163.428571428571</v>
      </c>
      <c r="H139" s="139" t="n">
        <f aca="false">G138</f>
        <v>146.922285714286</v>
      </c>
      <c r="I139" s="139" t="n">
        <f aca="false">H138</f>
        <v>143.804681956137</v>
      </c>
      <c r="J139" s="139" t="n">
        <f aca="false">I138</f>
        <v>140.17689314541</v>
      </c>
      <c r="K139" s="139" t="n">
        <f aca="false">J138</f>
        <v>135.986887410946</v>
      </c>
      <c r="L139" s="139" t="n">
        <f aca="false">K138</f>
        <v>131.189644888944</v>
      </c>
      <c r="M139" s="139" t="n">
        <f aca="false">L138</f>
        <v>125.752586323259</v>
      </c>
      <c r="N139" s="139" t="n">
        <f aca="false">M138</f>
        <v>119.661911347966</v>
      </c>
      <c r="O139" s="139" t="n">
        <f aca="false">N138</f>
        <v>101.523445178351</v>
      </c>
      <c r="P139" s="139" t="n">
        <f aca="false">O138</f>
        <v>92.9182728584634</v>
      </c>
      <c r="Q139" s="139" t="n">
        <f aca="false">P138</f>
        <v>83.8406385479851</v>
      </c>
      <c r="R139" s="139" t="n">
        <f aca="false">Q138</f>
        <v>74.4670723260999</v>
      </c>
      <c r="S139" s="139" t="n">
        <f aca="false">R138</f>
        <v>65.0120298476276</v>
      </c>
      <c r="T139" s="139" t="n">
        <f aca="false">S138</f>
        <v>55.7132365149159</v>
      </c>
      <c r="U139" s="139" t="n">
        <f aca="false">T138</f>
        <v>46.811366500489</v>
      </c>
      <c r="V139" s="139" t="n">
        <f aca="false">U138</f>
        <v>34.6358100530241</v>
      </c>
      <c r="W139" s="139" t="n">
        <f aca="false">V138</f>
        <v>27.312216244881</v>
      </c>
      <c r="X139" s="139" t="n">
        <f aca="false">W138</f>
        <v>20.9883002621555</v>
      </c>
      <c r="Y139" s="139" t="n">
        <f aca="false">X138</f>
        <v>15.7056972963934</v>
      </c>
      <c r="Z139" s="139" t="n">
        <f aca="false">Y138</f>
        <v>11.4384135941115</v>
      </c>
      <c r="AA139" s="139" t="n">
        <f aca="false">Z138</f>
        <v>8.10528647204188</v>
      </c>
      <c r="AB139" s="139" t="n">
        <f aca="false">AA138</f>
        <v>5.58759469836762</v>
      </c>
      <c r="AC139" s="139" t="n">
        <f aca="false">AB138</f>
        <v>3.36936639300704</v>
      </c>
    </row>
    <row r="140" s="12" customFormat="true" ht="12.8" hidden="false" customHeight="false" outlineLevel="0" collapsed="false">
      <c r="A140" s="139" t="n">
        <v>6</v>
      </c>
      <c r="B140" s="139" t="n">
        <f aca="false">1/7*B$133</f>
        <v>163.428571428571</v>
      </c>
      <c r="C140" s="139" t="n">
        <f aca="false">1/7*C$133</f>
        <v>163.428571428571</v>
      </c>
      <c r="D140" s="139" t="n">
        <f aca="false">C139</f>
        <v>163.428571428571</v>
      </c>
      <c r="E140" s="139" t="n">
        <f aca="false">D139</f>
        <v>163.428571428571</v>
      </c>
      <c r="F140" s="139" t="n">
        <f aca="false">E139</f>
        <v>163.428571428571</v>
      </c>
      <c r="G140" s="139" t="n">
        <f aca="false">F139</f>
        <v>163.428571428571</v>
      </c>
      <c r="H140" s="139" t="n">
        <f aca="false">G139</f>
        <v>163.428571428571</v>
      </c>
      <c r="I140" s="139" t="n">
        <f aca="false">H139</f>
        <v>146.922285714286</v>
      </c>
      <c r="J140" s="139" t="n">
        <f aca="false">I139</f>
        <v>143.804681956137</v>
      </c>
      <c r="K140" s="139" t="n">
        <f aca="false">J139</f>
        <v>140.17689314541</v>
      </c>
      <c r="L140" s="139" t="n">
        <f aca="false">K139</f>
        <v>135.986887410946</v>
      </c>
      <c r="M140" s="139" t="n">
        <f aca="false">L139</f>
        <v>131.189644888944</v>
      </c>
      <c r="N140" s="139" t="n">
        <f aca="false">M139</f>
        <v>125.752586323259</v>
      </c>
      <c r="O140" s="139" t="n">
        <f aca="false">N139</f>
        <v>119.661911347966</v>
      </c>
      <c r="P140" s="139" t="n">
        <f aca="false">O139</f>
        <v>101.523445178351</v>
      </c>
      <c r="Q140" s="139" t="n">
        <f aca="false">P139</f>
        <v>92.9182728584634</v>
      </c>
      <c r="R140" s="139" t="n">
        <f aca="false">Q139</f>
        <v>83.8406385479851</v>
      </c>
      <c r="S140" s="139" t="n">
        <f aca="false">R139</f>
        <v>74.4670723260999</v>
      </c>
      <c r="T140" s="139" t="n">
        <f aca="false">S139</f>
        <v>65.0120298476276</v>
      </c>
      <c r="U140" s="139" t="n">
        <f aca="false">T139</f>
        <v>55.7132365149159</v>
      </c>
      <c r="V140" s="139" t="n">
        <f aca="false">U139</f>
        <v>46.811366500489</v>
      </c>
      <c r="W140" s="139" t="n">
        <f aca="false">V139</f>
        <v>34.6358100530241</v>
      </c>
      <c r="X140" s="139" t="n">
        <f aca="false">W139</f>
        <v>27.312216244881</v>
      </c>
      <c r="Y140" s="139" t="n">
        <f aca="false">X139</f>
        <v>20.9883002621555</v>
      </c>
      <c r="Z140" s="139" t="n">
        <f aca="false">Y139</f>
        <v>15.7056972963934</v>
      </c>
      <c r="AA140" s="139" t="n">
        <f aca="false">Z139</f>
        <v>11.4384135941115</v>
      </c>
      <c r="AB140" s="139" t="n">
        <f aca="false">AA139</f>
        <v>8.10528647204188</v>
      </c>
      <c r="AC140" s="139" t="n">
        <f aca="false">AB139</f>
        <v>5.58759469836762</v>
      </c>
    </row>
    <row r="141" s="12" customFormat="true" ht="12.8" hidden="false" customHeight="false" outlineLevel="0" collapsed="false">
      <c r="A141" s="139" t="n">
        <v>7</v>
      </c>
      <c r="B141" s="139" t="n">
        <f aca="false">1/7*B$133</f>
        <v>163.428571428571</v>
      </c>
      <c r="C141" s="139" t="n">
        <f aca="false">1/7*C$133</f>
        <v>163.428571428571</v>
      </c>
      <c r="D141" s="139" t="n">
        <f aca="false">C140</f>
        <v>163.428571428571</v>
      </c>
      <c r="E141" s="139" t="n">
        <f aca="false">D140</f>
        <v>163.428571428571</v>
      </c>
      <c r="F141" s="139" t="n">
        <f aca="false">E140</f>
        <v>163.428571428571</v>
      </c>
      <c r="G141" s="139" t="n">
        <f aca="false">F140</f>
        <v>163.428571428571</v>
      </c>
      <c r="H141" s="139" t="n">
        <f aca="false">G140</f>
        <v>163.428571428571</v>
      </c>
      <c r="I141" s="139" t="n">
        <f aca="false">H140</f>
        <v>163.428571428571</v>
      </c>
      <c r="J141" s="139" t="n">
        <f aca="false">I140</f>
        <v>146.922285714286</v>
      </c>
      <c r="K141" s="139" t="n">
        <f aca="false">J140</f>
        <v>143.804681956137</v>
      </c>
      <c r="L141" s="139" t="n">
        <f aca="false">K140</f>
        <v>140.17689314541</v>
      </c>
      <c r="M141" s="139" t="n">
        <f aca="false">L140</f>
        <v>135.986887410946</v>
      </c>
      <c r="N141" s="139" t="n">
        <f aca="false">M140</f>
        <v>131.189644888944</v>
      </c>
      <c r="O141" s="139" t="n">
        <f aca="false">N140</f>
        <v>125.752586323259</v>
      </c>
      <c r="P141" s="139" t="n">
        <f aca="false">O140</f>
        <v>119.661911347966</v>
      </c>
      <c r="Q141" s="139" t="n">
        <f aca="false">P140</f>
        <v>101.523445178351</v>
      </c>
      <c r="R141" s="139" t="n">
        <f aca="false">Q140</f>
        <v>92.9182728584634</v>
      </c>
      <c r="S141" s="139" t="n">
        <f aca="false">R140</f>
        <v>83.8406385479851</v>
      </c>
      <c r="T141" s="139" t="n">
        <f aca="false">S140</f>
        <v>74.4670723260999</v>
      </c>
      <c r="U141" s="139" t="n">
        <f aca="false">T140</f>
        <v>65.0120298476276</v>
      </c>
      <c r="V141" s="139" t="n">
        <f aca="false">U140</f>
        <v>55.7132365149159</v>
      </c>
      <c r="W141" s="139" t="n">
        <f aca="false">V140</f>
        <v>46.811366500489</v>
      </c>
      <c r="X141" s="139" t="n">
        <f aca="false">W140</f>
        <v>34.6358100530241</v>
      </c>
      <c r="Y141" s="139" t="n">
        <f aca="false">X140</f>
        <v>27.312216244881</v>
      </c>
      <c r="Z141" s="139" t="n">
        <f aca="false">Y140</f>
        <v>20.9883002621555</v>
      </c>
      <c r="AA141" s="139" t="n">
        <f aca="false">Z140</f>
        <v>15.7056972963934</v>
      </c>
      <c r="AB141" s="139" t="n">
        <f aca="false">AA140</f>
        <v>11.4384135941115</v>
      </c>
      <c r="AC141" s="139" t="n">
        <f aca="false">AB140</f>
        <v>8.10528647204188</v>
      </c>
    </row>
    <row r="142" customFormat="false" ht="12.8" hidden="false" customHeight="false" outlineLevel="0" collapsed="false">
      <c r="A142" s="130" t="s">
        <v>316</v>
      </c>
      <c r="B142" s="124" t="n">
        <v>2023</v>
      </c>
      <c r="C142" s="124" t="n">
        <v>2024</v>
      </c>
      <c r="D142" s="124" t="n">
        <v>2025</v>
      </c>
      <c r="E142" s="124" t="n">
        <v>2026</v>
      </c>
      <c r="F142" s="124" t="n">
        <v>2027</v>
      </c>
      <c r="G142" s="124" t="n">
        <v>2028</v>
      </c>
      <c r="H142" s="124" t="n">
        <v>2029</v>
      </c>
      <c r="I142" s="124" t="n">
        <v>2030</v>
      </c>
      <c r="J142" s="124" t="n">
        <v>2031</v>
      </c>
      <c r="K142" s="124" t="n">
        <v>2032</v>
      </c>
      <c r="L142" s="124" t="n">
        <v>2033</v>
      </c>
      <c r="M142" s="124" t="n">
        <v>2034</v>
      </c>
      <c r="N142" s="124" t="n">
        <v>2035</v>
      </c>
      <c r="O142" s="124" t="n">
        <v>2036</v>
      </c>
      <c r="P142" s="124" t="n">
        <v>2037</v>
      </c>
      <c r="Q142" s="124" t="n">
        <v>2038</v>
      </c>
      <c r="R142" s="124" t="n">
        <v>2039</v>
      </c>
      <c r="S142" s="124" t="n">
        <v>2040</v>
      </c>
      <c r="T142" s="124" t="n">
        <v>2041</v>
      </c>
      <c r="U142" s="124" t="n">
        <v>2042</v>
      </c>
      <c r="V142" s="124" t="n">
        <v>2043</v>
      </c>
      <c r="W142" s="124" t="n">
        <v>2044</v>
      </c>
      <c r="X142" s="124" t="n">
        <v>2045</v>
      </c>
      <c r="Y142" s="124" t="n">
        <v>2046</v>
      </c>
      <c r="Z142" s="124" t="n">
        <v>2047</v>
      </c>
      <c r="AA142" s="124" t="n">
        <v>2048</v>
      </c>
      <c r="AB142" s="124" t="n">
        <v>2049</v>
      </c>
      <c r="AC142" s="124" t="n">
        <v>2050</v>
      </c>
    </row>
    <row r="143" customFormat="false" ht="12.8" hidden="false" customHeight="false" outlineLevel="0" collapsed="false">
      <c r="A143" s="130" t="s">
        <v>312</v>
      </c>
      <c r="B143" s="136" t="n">
        <v>0</v>
      </c>
      <c r="C143" s="136" t="n">
        <v>0</v>
      </c>
      <c r="D143" s="136" t="n">
        <f aca="false">C143+D145</f>
        <v>22.6021714285714</v>
      </c>
      <c r="E143" s="136" t="n">
        <f aca="false">D143+E145</f>
        <v>49.2961779611224</v>
      </c>
      <c r="F143" s="136" t="n">
        <f aca="false">E143+F145</f>
        <v>80.6823784665439</v>
      </c>
      <c r="G143" s="136" t="n">
        <f aca="false">F143+G145</f>
        <v>117.396232093359</v>
      </c>
      <c r="H143" s="136" t="n">
        <f aca="false">G143+H145</f>
        <v>160.09063281628</v>
      </c>
      <c r="I143" s="136" t="n">
        <f aca="false">H143+I145</f>
        <v>209.411545821748</v>
      </c>
      <c r="J143" s="136" t="n">
        <f aca="false">I143+J145</f>
        <v>265.967313015844</v>
      </c>
      <c r="K143" s="136" t="n">
        <f aca="false">J143+K145</f>
        <v>321.396934003696</v>
      </c>
      <c r="L143" s="136" t="n">
        <f aca="false">K143+L145</f>
        <v>382.072544998868</v>
      </c>
      <c r="M143" s="136" t="n">
        <f aca="false">L143+M145</f>
        <v>447.513523077943</v>
      </c>
      <c r="N143" s="136" t="n">
        <f aca="false">M143+N145</f>
        <v>516.969043968989</v>
      </c>
      <c r="O143" s="136" t="n">
        <f aca="false">N143+O145</f>
        <v>589.42908487097</v>
      </c>
      <c r="P143" s="136" t="n">
        <f aca="false">O143+P145</f>
        <v>663.664946109926</v>
      </c>
      <c r="Q143" s="136" t="n">
        <f aca="false">P143+Q145</f>
        <v>738.298190912896</v>
      </c>
      <c r="R143" s="136" t="n">
        <f aca="false">Q143+R145</f>
        <v>801.713482798863</v>
      </c>
      <c r="S143" s="136" t="n">
        <f aca="false">R143+S145</f>
        <v>861.248975575267</v>
      </c>
      <c r="T143" s="136" t="n">
        <f aca="false">S143+T145</f>
        <v>915.760941253761</v>
      </c>
      <c r="U143" s="136" t="n">
        <f aca="false">T143+U145</f>
        <v>964.413759656425</v>
      </c>
      <c r="V143" s="136" t="n">
        <f aca="false">U143+V145</f>
        <v>1006.72729873606</v>
      </c>
      <c r="W143" s="136" t="n">
        <f aca="false">V143+W145</f>
        <v>1042.58257678393</v>
      </c>
      <c r="X143" s="136" t="n">
        <f aca="false">W143+X145</f>
        <v>1072.18803851809</v>
      </c>
      <c r="Y143" s="136" t="n">
        <f aca="false">X143+Y145</f>
        <v>1092.72004544134</v>
      </c>
      <c r="Z143" s="136" t="n">
        <f aca="false">Y143+Z145</f>
        <v>1108.3677508989</v>
      </c>
      <c r="AA143" s="136" t="n">
        <f aca="false">Z143+AA145</f>
        <v>1119.94391156491</v>
      </c>
      <c r="AB143" s="136" t="n">
        <f aca="false">AA143+AB145</f>
        <v>1128.25840618474</v>
      </c>
      <c r="AC143" s="136" t="n">
        <f aca="false">AB143+AC145</f>
        <v>1134.05787491935</v>
      </c>
    </row>
    <row r="144" customFormat="false" ht="12.8" hidden="false" customHeight="false" outlineLevel="0" collapsed="false">
      <c r="A144" s="130" t="s">
        <v>313</v>
      </c>
      <c r="B144" s="136" t="n">
        <v>1144</v>
      </c>
      <c r="C144" s="136" t="n">
        <f aca="false">$B144-C143</f>
        <v>1144</v>
      </c>
      <c r="D144" s="136" t="n">
        <f aca="false">$B144-D143</f>
        <v>1121.39782857143</v>
      </c>
      <c r="E144" s="136" t="n">
        <f aca="false">$B144-E143</f>
        <v>1094.70382203888</v>
      </c>
      <c r="F144" s="136" t="n">
        <f aca="false">$B144-F143</f>
        <v>1063.31762153346</v>
      </c>
      <c r="G144" s="136" t="n">
        <f aca="false">$B144-G143</f>
        <v>1026.60376790664</v>
      </c>
      <c r="H144" s="136" t="n">
        <f aca="false">$B144-H143</f>
        <v>983.90936718372</v>
      </c>
      <c r="I144" s="136" t="n">
        <f aca="false">$B144-I143</f>
        <v>934.588454178253</v>
      </c>
      <c r="J144" s="136" t="n">
        <f aca="false">$B144-J143</f>
        <v>878.032686984156</v>
      </c>
      <c r="K144" s="136" t="n">
        <f aca="false">$B144-K143</f>
        <v>822.603065996304</v>
      </c>
      <c r="L144" s="136" t="n">
        <f aca="false">$B144-L143</f>
        <v>761.927455001132</v>
      </c>
      <c r="M144" s="136" t="n">
        <f aca="false">$B144-M143</f>
        <v>696.486476922057</v>
      </c>
      <c r="N144" s="136" t="n">
        <f aca="false">$B144-N143</f>
        <v>627.030956031011</v>
      </c>
      <c r="O144" s="136" t="n">
        <f aca="false">$B144-O143</f>
        <v>554.570915129031</v>
      </c>
      <c r="P144" s="136" t="n">
        <f aca="false">$B144-P143</f>
        <v>480.335053890074</v>
      </c>
      <c r="Q144" s="136" t="n">
        <f aca="false">$B144-Q143</f>
        <v>405.701809087104</v>
      </c>
      <c r="R144" s="136" t="n">
        <f aca="false">$B144-R143</f>
        <v>342.286517201137</v>
      </c>
      <c r="S144" s="136" t="n">
        <f aca="false">$B144-S143</f>
        <v>282.751024424733</v>
      </c>
      <c r="T144" s="136" t="n">
        <f aca="false">$B144-T143</f>
        <v>228.239058746239</v>
      </c>
      <c r="U144" s="136" t="n">
        <f aca="false">$B144-U143</f>
        <v>179.586240343575</v>
      </c>
      <c r="V144" s="136" t="n">
        <f aca="false">$B144-V143</f>
        <v>137.272701263941</v>
      </c>
      <c r="W144" s="136" t="n">
        <f aca="false">$B144-W143</f>
        <v>101.417423216071</v>
      </c>
      <c r="X144" s="136" t="n">
        <f aca="false">$B144-X143</f>
        <v>71.8119614819111</v>
      </c>
      <c r="Y144" s="136" t="n">
        <f aca="false">$B144-Y143</f>
        <v>51.2799545586572</v>
      </c>
      <c r="Z144" s="136" t="n">
        <f aca="false">$B144-Z143</f>
        <v>35.632249101101</v>
      </c>
      <c r="AA144" s="136" t="n">
        <f aca="false">$B144-AA143</f>
        <v>24.05608843509</v>
      </c>
      <c r="AB144" s="136" t="n">
        <f aca="false">$B144-AB143</f>
        <v>15.7415938152626</v>
      </c>
      <c r="AC144" s="136" t="n">
        <f aca="false">$B144-AC143</f>
        <v>9.94212508064766</v>
      </c>
    </row>
    <row r="145" customFormat="false" ht="11.9" hidden="false" customHeight="true" outlineLevel="0" collapsed="false">
      <c r="A145" s="0" t="s">
        <v>314</v>
      </c>
      <c r="B145" s="136"/>
      <c r="C145" s="136"/>
      <c r="D145" s="136" t="n">
        <f aca="false">B98*C152</f>
        <v>22.6021714285714</v>
      </c>
      <c r="E145" s="136" t="n">
        <f aca="false">C98*D152</f>
        <v>26.694006532551</v>
      </c>
      <c r="F145" s="136" t="n">
        <f aca="false">D98*E152</f>
        <v>31.3862005054215</v>
      </c>
      <c r="G145" s="136" t="n">
        <f aca="false">E98*F152</f>
        <v>36.7138536268154</v>
      </c>
      <c r="H145" s="136" t="n">
        <f aca="false">F98*G152</f>
        <v>42.6944007229207</v>
      </c>
      <c r="I145" s="136" t="n">
        <f aca="false">G98*H152</f>
        <v>49.3209130054675</v>
      </c>
      <c r="J145" s="136" t="n">
        <f aca="false">H98*I152</f>
        <v>56.5557671940963</v>
      </c>
      <c r="K145" s="136" t="n">
        <f aca="false">I98*J152</f>
        <v>55.4296209878517</v>
      </c>
      <c r="L145" s="136" t="n">
        <f aca="false">J98*K152</f>
        <v>60.6756109951725</v>
      </c>
      <c r="M145" s="136" t="n">
        <f aca="false">K98*L152</f>
        <v>65.4409780790745</v>
      </c>
      <c r="N145" s="136" t="n">
        <f aca="false">L98*M152</f>
        <v>69.4555208910464</v>
      </c>
      <c r="O145" s="136" t="n">
        <f aca="false">M98*N152</f>
        <v>72.4600409019805</v>
      </c>
      <c r="P145" s="136" t="n">
        <f aca="false">N98*O152</f>
        <v>74.2358612389569</v>
      </c>
      <c r="Q145" s="136" t="n">
        <f aca="false">O98*P152</f>
        <v>74.6332448029695</v>
      </c>
      <c r="R145" s="136" t="n">
        <f aca="false">P98*Q152</f>
        <v>63.415291885967</v>
      </c>
      <c r="S145" s="136" t="n">
        <f aca="false">Q98*R152</f>
        <v>59.535492776404</v>
      </c>
      <c r="T145" s="136" t="n">
        <f aca="false">R98*S152</f>
        <v>54.511965678494</v>
      </c>
      <c r="U145" s="136" t="n">
        <f aca="false">S98*T152</f>
        <v>48.6528184026641</v>
      </c>
      <c r="V145" s="136" t="n">
        <f aca="false">T98*U152</f>
        <v>42.3135390796346</v>
      </c>
      <c r="W145" s="136" t="n">
        <f aca="false">U98*V152</f>
        <v>35.8552780478692</v>
      </c>
      <c r="X145" s="136" t="n">
        <f aca="false">V98*W152</f>
        <v>29.6054617341603</v>
      </c>
      <c r="Y145" s="136" t="n">
        <f aca="false">W98*X152</f>
        <v>20.5320069232539</v>
      </c>
      <c r="Z145" s="136" t="n">
        <f aca="false">X98*Y152</f>
        <v>15.6477054575562</v>
      </c>
      <c r="AA145" s="136" t="n">
        <f aca="false">Y98*Z152</f>
        <v>11.576160666011</v>
      </c>
      <c r="AB145" s="136" t="n">
        <f aca="false">Z98*AA152</f>
        <v>8.31449461982735</v>
      </c>
      <c r="AC145" s="136" t="n">
        <f aca="false">AA98*AB152</f>
        <v>5.7994687346149</v>
      </c>
    </row>
    <row r="146" customFormat="false" ht="12.8" hidden="false" customHeight="false" outlineLevel="0" collapsed="false">
      <c r="A146" s="139" t="n">
        <v>1</v>
      </c>
      <c r="B146" s="139" t="n">
        <f aca="false">1/7*B$144</f>
        <v>163.428571428571</v>
      </c>
      <c r="C146" s="139" t="n">
        <f aca="false">1/7*C$144</f>
        <v>163.428571428571</v>
      </c>
      <c r="D146" s="139" t="n">
        <f aca="false">C152-D145</f>
        <v>140.8264</v>
      </c>
      <c r="E146" s="139" t="n">
        <f aca="false">D152-E145</f>
        <v>136.73456489602</v>
      </c>
      <c r="F146" s="139" t="n">
        <f aca="false">E152-F145</f>
        <v>132.04237092315</v>
      </c>
      <c r="G146" s="139" t="n">
        <f aca="false">F152-G145</f>
        <v>126.714717801756</v>
      </c>
      <c r="H146" s="139" t="n">
        <f aca="false">G152-H145</f>
        <v>120.734170705651</v>
      </c>
      <c r="I146" s="139" t="n">
        <f aca="false">H152-I145</f>
        <v>114.107658423104</v>
      </c>
      <c r="J146" s="139" t="n">
        <f aca="false">I152-J145</f>
        <v>106.872804234475</v>
      </c>
      <c r="K146" s="139" t="n">
        <f aca="false">J152-K145</f>
        <v>85.3967790121483</v>
      </c>
      <c r="L146" s="139" t="n">
        <f aca="false">K152-L145</f>
        <v>76.0589539008479</v>
      </c>
      <c r="M146" s="139" t="n">
        <f aca="false">L152-M145</f>
        <v>66.6013928440754</v>
      </c>
      <c r="N146" s="139" t="n">
        <f aca="false">M152-N145</f>
        <v>57.2591969107096</v>
      </c>
      <c r="O146" s="139" t="n">
        <f aca="false">N152-O145</f>
        <v>48.2741298036702</v>
      </c>
      <c r="P146" s="139" t="n">
        <f aca="false">O152-P145</f>
        <v>39.871797184147</v>
      </c>
      <c r="Q146" s="139" t="n">
        <f aca="false">P152-Q145</f>
        <v>32.2395594315056</v>
      </c>
      <c r="R146" s="139" t="n">
        <f aca="false">Q152-R145</f>
        <v>21.9814871261813</v>
      </c>
      <c r="S146" s="139" t="n">
        <f aca="false">R152-S145</f>
        <v>16.5234611244439</v>
      </c>
      <c r="T146" s="139" t="n">
        <f aca="false">S152-T145</f>
        <v>12.0894271655814</v>
      </c>
      <c r="U146" s="139" t="n">
        <f aca="false">T152-U145</f>
        <v>8.60637850804554</v>
      </c>
      <c r="V146" s="139" t="n">
        <f aca="false">U152-V145</f>
        <v>5.96059072403567</v>
      </c>
      <c r="W146" s="139" t="n">
        <f aca="false">V152-W145</f>
        <v>4.01651913627781</v>
      </c>
      <c r="X146" s="139" t="n">
        <f aca="false">W152-X145</f>
        <v>2.6340976973453</v>
      </c>
      <c r="Y146" s="139" t="n">
        <f aca="false">X152-Y145</f>
        <v>1.4494802029274</v>
      </c>
      <c r="Z146" s="139" t="n">
        <f aca="false">Y152-Z145</f>
        <v>0.875755666887716</v>
      </c>
      <c r="AA146" s="139" t="n">
        <f aca="false">Z152-AA145</f>
        <v>0.513266499570424</v>
      </c>
      <c r="AB146" s="139" t="n">
        <f aca="false">AA152-AB145</f>
        <v>0.291883888218191</v>
      </c>
      <c r="AC146" s="139" t="n">
        <f aca="false">AB152-AC145</f>
        <v>0.161121989420766</v>
      </c>
      <c r="AD146" s="12"/>
    </row>
    <row r="147" customFormat="false" ht="12.8" hidden="false" customHeight="false" outlineLevel="0" collapsed="false">
      <c r="A147" s="139" t="n">
        <v>2</v>
      </c>
      <c r="B147" s="139" t="n">
        <f aca="false">1/7*B$144</f>
        <v>163.428571428571</v>
      </c>
      <c r="C147" s="139" t="n">
        <f aca="false">1/7*C$144</f>
        <v>163.428571428571</v>
      </c>
      <c r="D147" s="139" t="n">
        <f aca="false">C146</f>
        <v>163.428571428571</v>
      </c>
      <c r="E147" s="139" t="n">
        <f aca="false">D146</f>
        <v>140.8264</v>
      </c>
      <c r="F147" s="139" t="n">
        <f aca="false">E146</f>
        <v>136.73456489602</v>
      </c>
      <c r="G147" s="139" t="n">
        <f aca="false">F146</f>
        <v>132.04237092315</v>
      </c>
      <c r="H147" s="139" t="n">
        <f aca="false">G146</f>
        <v>126.714717801756</v>
      </c>
      <c r="I147" s="139" t="n">
        <f aca="false">H146</f>
        <v>120.734170705651</v>
      </c>
      <c r="J147" s="139" t="n">
        <f aca="false">I146</f>
        <v>114.107658423104</v>
      </c>
      <c r="K147" s="139" t="n">
        <f aca="false">J146</f>
        <v>106.872804234475</v>
      </c>
      <c r="L147" s="139" t="n">
        <f aca="false">K146</f>
        <v>85.3967790121483</v>
      </c>
      <c r="M147" s="139" t="n">
        <f aca="false">L146</f>
        <v>76.0589539008479</v>
      </c>
      <c r="N147" s="139" t="n">
        <f aca="false">M146</f>
        <v>66.6013928440754</v>
      </c>
      <c r="O147" s="139" t="n">
        <f aca="false">N146</f>
        <v>57.2591969107096</v>
      </c>
      <c r="P147" s="139" t="n">
        <f aca="false">O146</f>
        <v>48.2741298036702</v>
      </c>
      <c r="Q147" s="139" t="n">
        <f aca="false">P146</f>
        <v>39.871797184147</v>
      </c>
      <c r="R147" s="139" t="n">
        <f aca="false">Q146</f>
        <v>32.2395594315056</v>
      </c>
      <c r="S147" s="139" t="n">
        <f aca="false">R146</f>
        <v>21.9814871261813</v>
      </c>
      <c r="T147" s="139" t="n">
        <f aca="false">S146</f>
        <v>16.5234611244439</v>
      </c>
      <c r="U147" s="139" t="n">
        <f aca="false">T146</f>
        <v>12.0894271655814</v>
      </c>
      <c r="V147" s="139" t="n">
        <f aca="false">U146</f>
        <v>8.60637850804554</v>
      </c>
      <c r="W147" s="139" t="n">
        <f aca="false">V146</f>
        <v>5.96059072403567</v>
      </c>
      <c r="X147" s="139" t="n">
        <f aca="false">W146</f>
        <v>4.01651913627781</v>
      </c>
      <c r="Y147" s="139" t="n">
        <f aca="false">X146</f>
        <v>2.6340976973453</v>
      </c>
      <c r="Z147" s="139" t="n">
        <f aca="false">Y146</f>
        <v>1.4494802029274</v>
      </c>
      <c r="AA147" s="139" t="n">
        <f aca="false">Z146</f>
        <v>0.875755666887716</v>
      </c>
      <c r="AB147" s="139" t="n">
        <f aca="false">AA146</f>
        <v>0.513266499570424</v>
      </c>
      <c r="AC147" s="139" t="n">
        <f aca="false">AB146</f>
        <v>0.291883888218191</v>
      </c>
      <c r="AD147" s="12"/>
    </row>
    <row r="148" customFormat="false" ht="12.8" hidden="false" customHeight="false" outlineLevel="0" collapsed="false">
      <c r="A148" s="139" t="n">
        <v>3</v>
      </c>
      <c r="B148" s="139" t="n">
        <f aca="false">1/7*B$144</f>
        <v>163.428571428571</v>
      </c>
      <c r="C148" s="139" t="n">
        <f aca="false">1/7*C$144</f>
        <v>163.428571428571</v>
      </c>
      <c r="D148" s="139" t="n">
        <f aca="false">C147</f>
        <v>163.428571428571</v>
      </c>
      <c r="E148" s="139" t="n">
        <f aca="false">D147</f>
        <v>163.428571428571</v>
      </c>
      <c r="F148" s="139" t="n">
        <f aca="false">E147</f>
        <v>140.8264</v>
      </c>
      <c r="G148" s="139" t="n">
        <f aca="false">F147</f>
        <v>136.73456489602</v>
      </c>
      <c r="H148" s="139" t="n">
        <f aca="false">G147</f>
        <v>132.04237092315</v>
      </c>
      <c r="I148" s="139" t="n">
        <f aca="false">H147</f>
        <v>126.714717801756</v>
      </c>
      <c r="J148" s="139" t="n">
        <f aca="false">I147</f>
        <v>120.734170705651</v>
      </c>
      <c r="K148" s="139" t="n">
        <f aca="false">J147</f>
        <v>114.107658423104</v>
      </c>
      <c r="L148" s="139" t="n">
        <f aca="false">K147</f>
        <v>106.872804234475</v>
      </c>
      <c r="M148" s="139" t="n">
        <f aca="false">L147</f>
        <v>85.3967790121483</v>
      </c>
      <c r="N148" s="139" t="n">
        <f aca="false">M147</f>
        <v>76.0589539008479</v>
      </c>
      <c r="O148" s="139" t="n">
        <f aca="false">N147</f>
        <v>66.6013928440754</v>
      </c>
      <c r="P148" s="139" t="n">
        <f aca="false">O147</f>
        <v>57.2591969107096</v>
      </c>
      <c r="Q148" s="139" t="n">
        <f aca="false">P147</f>
        <v>48.2741298036702</v>
      </c>
      <c r="R148" s="139" t="n">
        <f aca="false">Q147</f>
        <v>39.871797184147</v>
      </c>
      <c r="S148" s="139" t="n">
        <f aca="false">R147</f>
        <v>32.2395594315056</v>
      </c>
      <c r="T148" s="139" t="n">
        <f aca="false">S147</f>
        <v>21.9814871261813</v>
      </c>
      <c r="U148" s="139" t="n">
        <f aca="false">T147</f>
        <v>16.5234611244439</v>
      </c>
      <c r="V148" s="139" t="n">
        <f aca="false">U147</f>
        <v>12.0894271655814</v>
      </c>
      <c r="W148" s="139" t="n">
        <f aca="false">V147</f>
        <v>8.60637850804554</v>
      </c>
      <c r="X148" s="139" t="n">
        <f aca="false">W147</f>
        <v>5.96059072403567</v>
      </c>
      <c r="Y148" s="139" t="n">
        <f aca="false">X147</f>
        <v>4.01651913627781</v>
      </c>
      <c r="Z148" s="139" t="n">
        <f aca="false">Y147</f>
        <v>2.6340976973453</v>
      </c>
      <c r="AA148" s="139" t="n">
        <f aca="false">Z147</f>
        <v>1.4494802029274</v>
      </c>
      <c r="AB148" s="139" t="n">
        <f aca="false">AA147</f>
        <v>0.875755666887716</v>
      </c>
      <c r="AC148" s="139" t="n">
        <f aca="false">AB147</f>
        <v>0.513266499570424</v>
      </c>
      <c r="AD148" s="12"/>
    </row>
    <row r="149" customFormat="false" ht="12.8" hidden="false" customHeight="false" outlineLevel="0" collapsed="false">
      <c r="A149" s="139" t="n">
        <v>4</v>
      </c>
      <c r="B149" s="139" t="n">
        <f aca="false">1/7*B$144</f>
        <v>163.428571428571</v>
      </c>
      <c r="C149" s="139" t="n">
        <f aca="false">1/7*C$144</f>
        <v>163.428571428571</v>
      </c>
      <c r="D149" s="139" t="n">
        <f aca="false">C148</f>
        <v>163.428571428571</v>
      </c>
      <c r="E149" s="139" t="n">
        <f aca="false">D148</f>
        <v>163.428571428571</v>
      </c>
      <c r="F149" s="139" t="n">
        <f aca="false">E148</f>
        <v>163.428571428571</v>
      </c>
      <c r="G149" s="139" t="n">
        <f aca="false">F148</f>
        <v>140.8264</v>
      </c>
      <c r="H149" s="139" t="n">
        <f aca="false">G148</f>
        <v>136.73456489602</v>
      </c>
      <c r="I149" s="139" t="n">
        <f aca="false">H148</f>
        <v>132.04237092315</v>
      </c>
      <c r="J149" s="139" t="n">
        <f aca="false">I148</f>
        <v>126.714717801756</v>
      </c>
      <c r="K149" s="139" t="n">
        <f aca="false">J148</f>
        <v>120.734170705651</v>
      </c>
      <c r="L149" s="139" t="n">
        <f aca="false">K148</f>
        <v>114.107658423104</v>
      </c>
      <c r="M149" s="139" t="n">
        <f aca="false">L148</f>
        <v>106.872804234475</v>
      </c>
      <c r="N149" s="139" t="n">
        <f aca="false">M148</f>
        <v>85.3967790121483</v>
      </c>
      <c r="O149" s="139" t="n">
        <f aca="false">N148</f>
        <v>76.0589539008479</v>
      </c>
      <c r="P149" s="139" t="n">
        <f aca="false">O148</f>
        <v>66.6013928440754</v>
      </c>
      <c r="Q149" s="139" t="n">
        <f aca="false">P148</f>
        <v>57.2591969107096</v>
      </c>
      <c r="R149" s="139" t="n">
        <f aca="false">Q148</f>
        <v>48.2741298036702</v>
      </c>
      <c r="S149" s="139" t="n">
        <f aca="false">R148</f>
        <v>39.871797184147</v>
      </c>
      <c r="T149" s="139" t="n">
        <f aca="false">S148</f>
        <v>32.2395594315056</v>
      </c>
      <c r="U149" s="139" t="n">
        <f aca="false">T148</f>
        <v>21.9814871261813</v>
      </c>
      <c r="V149" s="139" t="n">
        <f aca="false">U148</f>
        <v>16.5234611244439</v>
      </c>
      <c r="W149" s="139" t="n">
        <f aca="false">V148</f>
        <v>12.0894271655814</v>
      </c>
      <c r="X149" s="139" t="n">
        <f aca="false">W148</f>
        <v>8.60637850804554</v>
      </c>
      <c r="Y149" s="139" t="n">
        <f aca="false">X148</f>
        <v>5.96059072403567</v>
      </c>
      <c r="Z149" s="139" t="n">
        <f aca="false">Y148</f>
        <v>4.01651913627781</v>
      </c>
      <c r="AA149" s="139" t="n">
        <f aca="false">Z148</f>
        <v>2.6340976973453</v>
      </c>
      <c r="AB149" s="139" t="n">
        <f aca="false">AA148</f>
        <v>1.4494802029274</v>
      </c>
      <c r="AC149" s="139" t="n">
        <f aca="false">AB148</f>
        <v>0.875755666887716</v>
      </c>
      <c r="AD149" s="12"/>
    </row>
    <row r="150" customFormat="false" ht="12.8" hidden="false" customHeight="false" outlineLevel="0" collapsed="false">
      <c r="A150" s="139" t="n">
        <v>5</v>
      </c>
      <c r="B150" s="139" t="n">
        <f aca="false">1/7*B$144</f>
        <v>163.428571428571</v>
      </c>
      <c r="C150" s="139" t="n">
        <f aca="false">1/7*C$144</f>
        <v>163.428571428571</v>
      </c>
      <c r="D150" s="139" t="n">
        <f aca="false">C149</f>
        <v>163.428571428571</v>
      </c>
      <c r="E150" s="139" t="n">
        <f aca="false">D149</f>
        <v>163.428571428571</v>
      </c>
      <c r="F150" s="139" t="n">
        <f aca="false">E149</f>
        <v>163.428571428571</v>
      </c>
      <c r="G150" s="139" t="n">
        <f aca="false">F149</f>
        <v>163.428571428571</v>
      </c>
      <c r="H150" s="139" t="n">
        <f aca="false">G149</f>
        <v>140.8264</v>
      </c>
      <c r="I150" s="139" t="n">
        <f aca="false">H149</f>
        <v>136.73456489602</v>
      </c>
      <c r="J150" s="139" t="n">
        <f aca="false">I149</f>
        <v>132.04237092315</v>
      </c>
      <c r="K150" s="139" t="n">
        <f aca="false">J149</f>
        <v>126.714717801756</v>
      </c>
      <c r="L150" s="139" t="n">
        <f aca="false">K149</f>
        <v>120.734170705651</v>
      </c>
      <c r="M150" s="139" t="n">
        <f aca="false">L149</f>
        <v>114.107658423104</v>
      </c>
      <c r="N150" s="139" t="n">
        <f aca="false">M149</f>
        <v>106.872804234475</v>
      </c>
      <c r="O150" s="139" t="n">
        <f aca="false">N149</f>
        <v>85.3967790121483</v>
      </c>
      <c r="P150" s="139" t="n">
        <f aca="false">O149</f>
        <v>76.0589539008479</v>
      </c>
      <c r="Q150" s="139" t="n">
        <f aca="false">P149</f>
        <v>66.6013928440754</v>
      </c>
      <c r="R150" s="139" t="n">
        <f aca="false">Q149</f>
        <v>57.2591969107096</v>
      </c>
      <c r="S150" s="139" t="n">
        <f aca="false">R149</f>
        <v>48.2741298036702</v>
      </c>
      <c r="T150" s="139" t="n">
        <f aca="false">S149</f>
        <v>39.871797184147</v>
      </c>
      <c r="U150" s="139" t="n">
        <f aca="false">T149</f>
        <v>32.2395594315056</v>
      </c>
      <c r="V150" s="139" t="n">
        <f aca="false">U149</f>
        <v>21.9814871261813</v>
      </c>
      <c r="W150" s="139" t="n">
        <f aca="false">V149</f>
        <v>16.5234611244439</v>
      </c>
      <c r="X150" s="139" t="n">
        <f aca="false">W149</f>
        <v>12.0894271655814</v>
      </c>
      <c r="Y150" s="139" t="n">
        <f aca="false">X149</f>
        <v>8.60637850804554</v>
      </c>
      <c r="Z150" s="139" t="n">
        <f aca="false">Y149</f>
        <v>5.96059072403567</v>
      </c>
      <c r="AA150" s="139" t="n">
        <f aca="false">Z149</f>
        <v>4.01651913627781</v>
      </c>
      <c r="AB150" s="139" t="n">
        <f aca="false">AA149</f>
        <v>2.6340976973453</v>
      </c>
      <c r="AC150" s="139" t="n">
        <f aca="false">AB149</f>
        <v>1.4494802029274</v>
      </c>
      <c r="AD150" s="12"/>
    </row>
    <row r="151" customFormat="false" ht="12.8" hidden="false" customHeight="false" outlineLevel="0" collapsed="false">
      <c r="A151" s="139" t="n">
        <v>6</v>
      </c>
      <c r="B151" s="139" t="n">
        <f aca="false">1/7*B$144</f>
        <v>163.428571428571</v>
      </c>
      <c r="C151" s="139" t="n">
        <f aca="false">1/7*C$144</f>
        <v>163.428571428571</v>
      </c>
      <c r="D151" s="139" t="n">
        <f aca="false">C150</f>
        <v>163.428571428571</v>
      </c>
      <c r="E151" s="139" t="n">
        <f aca="false">D150</f>
        <v>163.428571428571</v>
      </c>
      <c r="F151" s="139" t="n">
        <f aca="false">E150</f>
        <v>163.428571428571</v>
      </c>
      <c r="G151" s="139" t="n">
        <f aca="false">F150</f>
        <v>163.428571428571</v>
      </c>
      <c r="H151" s="139" t="n">
        <f aca="false">G150</f>
        <v>163.428571428571</v>
      </c>
      <c r="I151" s="139" t="n">
        <f aca="false">H150</f>
        <v>140.8264</v>
      </c>
      <c r="J151" s="139" t="n">
        <f aca="false">I150</f>
        <v>136.73456489602</v>
      </c>
      <c r="K151" s="139" t="n">
        <f aca="false">J150</f>
        <v>132.04237092315</v>
      </c>
      <c r="L151" s="139" t="n">
        <f aca="false">K150</f>
        <v>126.714717801756</v>
      </c>
      <c r="M151" s="139" t="n">
        <f aca="false">L150</f>
        <v>120.734170705651</v>
      </c>
      <c r="N151" s="139" t="n">
        <f aca="false">M150</f>
        <v>114.107658423104</v>
      </c>
      <c r="O151" s="139" t="n">
        <f aca="false">N150</f>
        <v>106.872804234475</v>
      </c>
      <c r="P151" s="139" t="n">
        <f aca="false">O150</f>
        <v>85.3967790121483</v>
      </c>
      <c r="Q151" s="139" t="n">
        <f aca="false">P150</f>
        <v>76.0589539008479</v>
      </c>
      <c r="R151" s="139" t="n">
        <f aca="false">Q150</f>
        <v>66.6013928440754</v>
      </c>
      <c r="S151" s="139" t="n">
        <f aca="false">R150</f>
        <v>57.2591969107096</v>
      </c>
      <c r="T151" s="139" t="n">
        <f aca="false">S150</f>
        <v>48.2741298036702</v>
      </c>
      <c r="U151" s="139" t="n">
        <f aca="false">T150</f>
        <v>39.871797184147</v>
      </c>
      <c r="V151" s="139" t="n">
        <f aca="false">U150</f>
        <v>32.2395594315056</v>
      </c>
      <c r="W151" s="139" t="n">
        <f aca="false">V150</f>
        <v>21.9814871261813</v>
      </c>
      <c r="X151" s="139" t="n">
        <f aca="false">W150</f>
        <v>16.5234611244439</v>
      </c>
      <c r="Y151" s="139" t="n">
        <f aca="false">X150</f>
        <v>12.0894271655814</v>
      </c>
      <c r="Z151" s="139" t="n">
        <f aca="false">Y150</f>
        <v>8.60637850804554</v>
      </c>
      <c r="AA151" s="139" t="n">
        <f aca="false">Z150</f>
        <v>5.96059072403567</v>
      </c>
      <c r="AB151" s="139" t="n">
        <f aca="false">AA150</f>
        <v>4.01651913627781</v>
      </c>
      <c r="AC151" s="139" t="n">
        <f aca="false">AB150</f>
        <v>2.6340976973453</v>
      </c>
      <c r="AD151" s="12"/>
    </row>
    <row r="152" customFormat="false" ht="12.8" hidden="false" customHeight="false" outlineLevel="0" collapsed="false">
      <c r="A152" s="139" t="n">
        <v>7</v>
      </c>
      <c r="B152" s="139" t="n">
        <f aca="false">1/7*B$144</f>
        <v>163.428571428571</v>
      </c>
      <c r="C152" s="139" t="n">
        <f aca="false">1/7*C$144</f>
        <v>163.428571428571</v>
      </c>
      <c r="D152" s="139" t="n">
        <f aca="false">C151</f>
        <v>163.428571428571</v>
      </c>
      <c r="E152" s="139" t="n">
        <f aca="false">D151</f>
        <v>163.428571428571</v>
      </c>
      <c r="F152" s="139" t="n">
        <f aca="false">E151</f>
        <v>163.428571428571</v>
      </c>
      <c r="G152" s="139" t="n">
        <f aca="false">F151</f>
        <v>163.428571428571</v>
      </c>
      <c r="H152" s="139" t="n">
        <f aca="false">G151</f>
        <v>163.428571428571</v>
      </c>
      <c r="I152" s="139" t="n">
        <f aca="false">H151</f>
        <v>163.428571428571</v>
      </c>
      <c r="J152" s="139" t="n">
        <f aca="false">I151</f>
        <v>140.8264</v>
      </c>
      <c r="K152" s="139" t="n">
        <f aca="false">J151</f>
        <v>136.73456489602</v>
      </c>
      <c r="L152" s="139" t="n">
        <f aca="false">K151</f>
        <v>132.04237092315</v>
      </c>
      <c r="M152" s="139" t="n">
        <f aca="false">L151</f>
        <v>126.714717801756</v>
      </c>
      <c r="N152" s="139" t="n">
        <f aca="false">M151</f>
        <v>120.734170705651</v>
      </c>
      <c r="O152" s="139" t="n">
        <f aca="false">N151</f>
        <v>114.107658423104</v>
      </c>
      <c r="P152" s="139" t="n">
        <f aca="false">O151</f>
        <v>106.872804234475</v>
      </c>
      <c r="Q152" s="139" t="n">
        <f aca="false">P151</f>
        <v>85.3967790121483</v>
      </c>
      <c r="R152" s="139" t="n">
        <f aca="false">Q151</f>
        <v>76.0589539008479</v>
      </c>
      <c r="S152" s="139" t="n">
        <f aca="false">R151</f>
        <v>66.6013928440754</v>
      </c>
      <c r="T152" s="139" t="n">
        <f aca="false">S151</f>
        <v>57.2591969107096</v>
      </c>
      <c r="U152" s="139" t="n">
        <f aca="false">T151</f>
        <v>48.2741298036702</v>
      </c>
      <c r="V152" s="139" t="n">
        <f aca="false">U151</f>
        <v>39.871797184147</v>
      </c>
      <c r="W152" s="139" t="n">
        <f aca="false">V151</f>
        <v>32.2395594315056</v>
      </c>
      <c r="X152" s="139" t="n">
        <f aca="false">W151</f>
        <v>21.9814871261813</v>
      </c>
      <c r="Y152" s="139" t="n">
        <f aca="false">X151</f>
        <v>16.5234611244439</v>
      </c>
      <c r="Z152" s="139" t="n">
        <f aca="false">Y151</f>
        <v>12.0894271655814</v>
      </c>
      <c r="AA152" s="139" t="n">
        <f aca="false">Z151</f>
        <v>8.60637850804554</v>
      </c>
      <c r="AB152" s="139" t="n">
        <f aca="false">AA151</f>
        <v>5.96059072403567</v>
      </c>
      <c r="AC152" s="139" t="n">
        <f aca="false">AB151</f>
        <v>4.01651913627781</v>
      </c>
      <c r="AD152" s="12"/>
    </row>
    <row r="153" customFormat="false" ht="12.8" hidden="false" customHeight="false" outlineLevel="0" collapsed="false">
      <c r="A153" s="130" t="s">
        <v>317</v>
      </c>
      <c r="B153" s="124" t="n">
        <v>2023</v>
      </c>
      <c r="C153" s="124" t="n">
        <v>2024</v>
      </c>
      <c r="D153" s="124" t="n">
        <v>2025</v>
      </c>
      <c r="E153" s="124" t="n">
        <v>2026</v>
      </c>
      <c r="F153" s="124" t="n">
        <v>2027</v>
      </c>
      <c r="G153" s="124" t="n">
        <v>2028</v>
      </c>
      <c r="H153" s="124" t="n">
        <v>2029</v>
      </c>
      <c r="I153" s="124" t="n">
        <v>2030</v>
      </c>
      <c r="J153" s="124" t="n">
        <v>2031</v>
      </c>
      <c r="K153" s="124" t="n">
        <v>2032</v>
      </c>
      <c r="L153" s="124" t="n">
        <v>2033</v>
      </c>
      <c r="M153" s="124" t="n">
        <v>2034</v>
      </c>
      <c r="N153" s="124" t="n">
        <v>2035</v>
      </c>
      <c r="O153" s="124" t="n">
        <v>2036</v>
      </c>
      <c r="P153" s="124" t="n">
        <v>2037</v>
      </c>
      <c r="Q153" s="124" t="n">
        <v>2038</v>
      </c>
      <c r="R153" s="124" t="n">
        <v>2039</v>
      </c>
      <c r="S153" s="124" t="n">
        <v>2040</v>
      </c>
      <c r="T153" s="124" t="n">
        <v>2041</v>
      </c>
      <c r="U153" s="124" t="n">
        <v>2042</v>
      </c>
      <c r="V153" s="124" t="n">
        <v>2043</v>
      </c>
      <c r="W153" s="124" t="n">
        <v>2044</v>
      </c>
      <c r="X153" s="124" t="n">
        <v>2045</v>
      </c>
      <c r="Y153" s="124" t="n">
        <v>2046</v>
      </c>
      <c r="Z153" s="124" t="n">
        <v>2047</v>
      </c>
      <c r="AA153" s="124" t="n">
        <v>2048</v>
      </c>
      <c r="AB153" s="124" t="n">
        <v>2049</v>
      </c>
      <c r="AC153" s="124" t="n">
        <v>2050</v>
      </c>
    </row>
    <row r="154" customFormat="false" ht="12.8" hidden="false" customHeight="false" outlineLevel="0" collapsed="false">
      <c r="A154" s="130" t="s">
        <v>312</v>
      </c>
      <c r="B154" s="136" t="n">
        <v>0</v>
      </c>
      <c r="C154" s="136" t="n">
        <v>0</v>
      </c>
      <c r="D154" s="136" t="n">
        <f aca="false">C154+D156</f>
        <v>42.4587428571429</v>
      </c>
      <c r="E154" s="136" t="n">
        <f aca="false">D154+E156</f>
        <v>91.5202847363326</v>
      </c>
      <c r="F154" s="136" t="n">
        <f aca="false">E154+F156</f>
        <v>147.794992435694</v>
      </c>
      <c r="G154" s="136" t="n">
        <f aca="false">F154+G156</f>
        <v>211.821543079327</v>
      </c>
      <c r="H154" s="136" t="n">
        <f aca="false">G154+H156</f>
        <v>284.029711765856</v>
      </c>
      <c r="I154" s="136" t="n">
        <f aca="false">H154+I156</f>
        <v>364.705516790519</v>
      </c>
      <c r="J154" s="136" t="n">
        <f aca="false">I154+J156</f>
        <v>453.96374076329</v>
      </c>
      <c r="K154" s="136" t="n">
        <f aca="false">J154+K156</f>
        <v>526.332257013632</v>
      </c>
      <c r="L154" s="136" t="n">
        <f aca="false">K154+L156</f>
        <v>600.52579720784</v>
      </c>
      <c r="M154" s="136" t="n">
        <f aca="false">L154+M156</f>
        <v>675.170001100321</v>
      </c>
      <c r="N154" s="136" t="n">
        <f aca="false">M154+N156</f>
        <v>748.827882372721</v>
      </c>
      <c r="O154" s="136" t="n">
        <f aca="false">N154+O156</f>
        <v>820.101097788814</v>
      </c>
      <c r="P154" s="136" t="n">
        <f aca="false">O154+P156</f>
        <v>887.728720863453</v>
      </c>
      <c r="Q154" s="136" t="n">
        <f aca="false">P154+Q156</f>
        <v>950.670136611895</v>
      </c>
      <c r="R154" s="136" t="n">
        <f aca="false">Q154+R156</f>
        <v>993.225330752607</v>
      </c>
      <c r="S154" s="136" t="n">
        <f aca="false">R154+S156</f>
        <v>1029.32050098603</v>
      </c>
      <c r="T154" s="136" t="n">
        <f aca="false">S154+T156</f>
        <v>1059.15283780927</v>
      </c>
      <c r="U154" s="136" t="n">
        <f aca="false">T154+U156</f>
        <v>1083.18557257852</v>
      </c>
      <c r="V154" s="136" t="n">
        <f aca="false">U154+V156</f>
        <v>1102.06679322008</v>
      </c>
      <c r="W154" s="136" t="n">
        <f aca="false">V154+W156</f>
        <v>1116.54439640923</v>
      </c>
      <c r="X154" s="136" t="n">
        <f aca="false">W154+X156</f>
        <v>1127.38926834305</v>
      </c>
      <c r="Y154" s="136" t="n">
        <f aca="false">X154+Y156</f>
        <v>1133.27055290274</v>
      </c>
      <c r="Z154" s="136" t="n">
        <f aca="false">Y154+Z156</f>
        <v>1137.26040854476</v>
      </c>
      <c r="AA154" s="136" t="n">
        <f aca="false">Z154+AA156</f>
        <v>1139.89159365849</v>
      </c>
      <c r="AB154" s="136" t="n">
        <f aca="false">AA154+AB156</f>
        <v>1141.5795953933</v>
      </c>
      <c r="AC154" s="136" t="n">
        <f aca="false">AB154+AC156</f>
        <v>1142.63400587414</v>
      </c>
    </row>
    <row r="155" customFormat="false" ht="12.8" hidden="false" customHeight="false" outlineLevel="0" collapsed="false">
      <c r="A155" s="130" t="s">
        <v>313</v>
      </c>
      <c r="B155" s="136" t="n">
        <v>1144</v>
      </c>
      <c r="C155" s="136" t="n">
        <f aca="false">$B155-C154</f>
        <v>1144</v>
      </c>
      <c r="D155" s="136" t="n">
        <f aca="false">$B155-D154</f>
        <v>1101.54125714286</v>
      </c>
      <c r="E155" s="136" t="n">
        <f aca="false">$B155-E154</f>
        <v>1052.47971526367</v>
      </c>
      <c r="F155" s="136" t="n">
        <f aca="false">$B155-F154</f>
        <v>996.205007564306</v>
      </c>
      <c r="G155" s="136" t="n">
        <f aca="false">$B155-G154</f>
        <v>932.178456920673</v>
      </c>
      <c r="H155" s="136" t="n">
        <f aca="false">$B155-H154</f>
        <v>859.970288234144</v>
      </c>
      <c r="I155" s="136" t="n">
        <f aca="false">$B155-I154</f>
        <v>779.294483209481</v>
      </c>
      <c r="J155" s="136" t="n">
        <f aca="false">$B155-J154</f>
        <v>690.03625923671</v>
      </c>
      <c r="K155" s="136" t="n">
        <f aca="false">$B155-K154</f>
        <v>617.667742986368</v>
      </c>
      <c r="L155" s="136" t="n">
        <f aca="false">$B155-L154</f>
        <v>543.47420279216</v>
      </c>
      <c r="M155" s="136" t="n">
        <f aca="false">$B155-M154</f>
        <v>468.829998899679</v>
      </c>
      <c r="N155" s="136" t="n">
        <f aca="false">$B155-N154</f>
        <v>395.17211762728</v>
      </c>
      <c r="O155" s="136" t="n">
        <f aca="false">$B155-O154</f>
        <v>323.898902211186</v>
      </c>
      <c r="P155" s="136" t="n">
        <f aca="false">$B155-P154</f>
        <v>256.271279136547</v>
      </c>
      <c r="Q155" s="136" t="n">
        <f aca="false">$B155-Q154</f>
        <v>193.329863388105</v>
      </c>
      <c r="R155" s="136" t="n">
        <f aca="false">$B155-R154</f>
        <v>150.774669247393</v>
      </c>
      <c r="S155" s="136" t="n">
        <f aca="false">$B155-S154</f>
        <v>114.679499013971</v>
      </c>
      <c r="T155" s="136" t="n">
        <f aca="false">$B155-T154</f>
        <v>84.8471621907349</v>
      </c>
      <c r="U155" s="136" t="n">
        <f aca="false">$B155-U154</f>
        <v>60.8144274214776</v>
      </c>
      <c r="V155" s="136" t="n">
        <f aca="false">$B155-V154</f>
        <v>41.9332067799232</v>
      </c>
      <c r="W155" s="136" t="n">
        <f aca="false">$B155-W154</f>
        <v>27.4556035907704</v>
      </c>
      <c r="X155" s="136" t="n">
        <f aca="false">$B155-X154</f>
        <v>16.6107316569496</v>
      </c>
      <c r="Y155" s="136" t="n">
        <f aca="false">$B155-Y154</f>
        <v>10.7294470972624</v>
      </c>
      <c r="Z155" s="136" t="n">
        <f aca="false">$B155-Z154</f>
        <v>6.73959145523622</v>
      </c>
      <c r="AA155" s="136" t="n">
        <f aca="false">$B155-AA154</f>
        <v>4.10840634150623</v>
      </c>
      <c r="AB155" s="136" t="n">
        <f aca="false">$B155-AB154</f>
        <v>2.42040460670296</v>
      </c>
      <c r="AC155" s="136" t="n">
        <f aca="false">$B155-AC154</f>
        <v>1.36599412585906</v>
      </c>
    </row>
    <row r="156" customFormat="false" ht="11.9" hidden="false" customHeight="true" outlineLevel="0" collapsed="false">
      <c r="A156" s="0" t="s">
        <v>314</v>
      </c>
      <c r="B156" s="136"/>
      <c r="C156" s="136"/>
      <c r="D156" s="136" t="n">
        <f aca="false">B99*C163</f>
        <v>42.4587428571429</v>
      </c>
      <c r="E156" s="136" t="n">
        <f aca="false">C99*D163</f>
        <v>49.0615418791897</v>
      </c>
      <c r="F156" s="136" t="n">
        <f aca="false">D99*E163</f>
        <v>56.2747076993613</v>
      </c>
      <c r="G156" s="136" t="n">
        <f aca="false">E99*F163</f>
        <v>64.0265506436333</v>
      </c>
      <c r="H156" s="136" t="n">
        <f aca="false">F99*G163</f>
        <v>72.2081686865289</v>
      </c>
      <c r="I156" s="136" t="n">
        <f aca="false">G99*H163</f>
        <v>80.6758050246626</v>
      </c>
      <c r="J156" s="136" t="n">
        <f aca="false">H99*I163</f>
        <v>89.2582239727718</v>
      </c>
      <c r="K156" s="136" t="n">
        <f aca="false">I99*J163</f>
        <v>72.3685162503415</v>
      </c>
      <c r="L156" s="136" t="n">
        <f aca="false">J99*K163</f>
        <v>74.193540194208</v>
      </c>
      <c r="M156" s="136" t="n">
        <f aca="false">K99*L163</f>
        <v>74.6442038924813</v>
      </c>
      <c r="N156" s="136" t="n">
        <f aca="false">L99*M163</f>
        <v>73.6578812723993</v>
      </c>
      <c r="O156" s="136" t="n">
        <f aca="false">M99*N163</f>
        <v>71.2732154160932</v>
      </c>
      <c r="P156" s="136" t="n">
        <f aca="false">N99*O163</f>
        <v>67.6276230746391</v>
      </c>
      <c r="Q156" s="136" t="n">
        <f aca="false">O99*P163</f>
        <v>62.9414157484426</v>
      </c>
      <c r="R156" s="136" t="n">
        <f aca="false">P99*Q163</f>
        <v>42.5551941407121</v>
      </c>
      <c r="S156" s="136" t="n">
        <f aca="false">Q99*R163</f>
        <v>36.0951702334221</v>
      </c>
      <c r="T156" s="136" t="n">
        <f aca="false">R99*S163</f>
        <v>29.8323368232356</v>
      </c>
      <c r="U156" s="136" t="n">
        <f aca="false">S99*T163</f>
        <v>24.0327347692573</v>
      </c>
      <c r="V156" s="136" t="n">
        <f aca="false">T99*U163</f>
        <v>18.8812206415545</v>
      </c>
      <c r="W156" s="136" t="n">
        <f aca="false">U99*V163</f>
        <v>14.4776031891528</v>
      </c>
      <c r="X156" s="136" t="n">
        <f aca="false">V99*W163</f>
        <v>10.8448719338209</v>
      </c>
      <c r="Y156" s="136" t="n">
        <f aca="false">W99*X163</f>
        <v>5.88128455968724</v>
      </c>
      <c r="Z156" s="136" t="n">
        <f aca="false">X99*Y163</f>
        <v>3.98985564202624</v>
      </c>
      <c r="AA156" s="136" t="n">
        <f aca="false">Y99*Z163</f>
        <v>2.63118511372991</v>
      </c>
      <c r="AB156" s="136" t="n">
        <f aca="false">Z99*AA163</f>
        <v>1.68800173480317</v>
      </c>
      <c r="AC156" s="136" t="n">
        <f aca="false">AA99*AB163</f>
        <v>1.05441048084385</v>
      </c>
    </row>
    <row r="157" s="12" customFormat="true" ht="14.65" hidden="false" customHeight="false" outlineLevel="0" collapsed="false">
      <c r="A157" s="139" t="n">
        <v>1</v>
      </c>
      <c r="B157" s="139" t="n">
        <f aca="false">1/7*B$155</f>
        <v>163.428571428571</v>
      </c>
      <c r="C157" s="139" t="n">
        <f aca="false">B163-C156</f>
        <v>163.428571428571</v>
      </c>
      <c r="D157" s="139" t="n">
        <f aca="false">C163-D156</f>
        <v>120.969828571429</v>
      </c>
      <c r="E157" s="139" t="n">
        <f aca="false">D163-E156</f>
        <v>114.367029549382</v>
      </c>
      <c r="F157" s="139" t="n">
        <f aca="false">E163-F156</f>
        <v>107.15386372921</v>
      </c>
      <c r="G157" s="139" t="n">
        <f aca="false">F163-G156</f>
        <v>99.4020207849381</v>
      </c>
      <c r="H157" s="139" t="n">
        <f aca="false">G163-H156</f>
        <v>91.2204027420425</v>
      </c>
      <c r="I157" s="139" t="n">
        <f aca="false">H163-I156</f>
        <v>82.7527664039089</v>
      </c>
      <c r="J157" s="139" t="n">
        <f aca="false">I163-J156</f>
        <v>74.1703474557996</v>
      </c>
      <c r="K157" s="139" t="n">
        <f aca="false">J163-K156</f>
        <v>48.6013123210871</v>
      </c>
      <c r="L157" s="139" t="n">
        <f aca="false">K163-L156</f>
        <v>40.1734893551737</v>
      </c>
      <c r="M157" s="139" t="n">
        <f aca="false">L163-M156</f>
        <v>32.5096598367288</v>
      </c>
      <c r="N157" s="139" t="n">
        <f aca="false">M163-N156</f>
        <v>25.7441395125388</v>
      </c>
      <c r="O157" s="139" t="n">
        <f aca="false">N163-O156</f>
        <v>19.9471873259493</v>
      </c>
      <c r="P157" s="139" t="n">
        <f aca="false">O163-P156</f>
        <v>15.1251433292698</v>
      </c>
      <c r="Q157" s="139" t="n">
        <f aca="false">P163-Q156</f>
        <v>11.228931707357</v>
      </c>
      <c r="R157" s="139" t="n">
        <f aca="false">Q163-R156</f>
        <v>6.04611818037498</v>
      </c>
      <c r="S157" s="139" t="n">
        <f aca="false">R163-S156</f>
        <v>4.07831912175158</v>
      </c>
      <c r="T157" s="139" t="n">
        <f aca="false">S163-T156</f>
        <v>2.67732301349324</v>
      </c>
      <c r="U157" s="139" t="n">
        <f aca="false">T163-U156</f>
        <v>1.71140474328154</v>
      </c>
      <c r="V157" s="139" t="n">
        <f aca="false">U163-V156</f>
        <v>1.06596668439488</v>
      </c>
      <c r="W157" s="139" t="n">
        <f aca="false">V163-W156</f>
        <v>0.647540140116952</v>
      </c>
      <c r="X157" s="139" t="n">
        <f aca="false">W163-X156</f>
        <v>0.384059773536185</v>
      </c>
      <c r="Y157" s="139" t="n">
        <f aca="false">X163-Y156</f>
        <v>0.164833620687739</v>
      </c>
      <c r="Z157" s="139" t="n">
        <f aca="false">Y163-Z156</f>
        <v>0.088463479725339</v>
      </c>
      <c r="AA157" s="139" t="n">
        <f aca="false">Z163-AA156</f>
        <v>0.046137899763337</v>
      </c>
      <c r="AB157" s="139" t="n">
        <f aca="false">AA163-AB156</f>
        <v>0.0234030084783781</v>
      </c>
      <c r="AC157" s="139" t="n">
        <f aca="false">AB163-AC156</f>
        <v>0.0115562035510237</v>
      </c>
    </row>
    <row r="158" s="12" customFormat="true" ht="14.65" hidden="false" customHeight="false" outlineLevel="0" collapsed="false">
      <c r="A158" s="139" t="n">
        <v>2</v>
      </c>
      <c r="B158" s="139" t="n">
        <f aca="false">1/7*B$155</f>
        <v>163.428571428571</v>
      </c>
      <c r="C158" s="139" t="n">
        <f aca="false">B157</f>
        <v>163.428571428571</v>
      </c>
      <c r="D158" s="139" t="n">
        <f aca="false">C157</f>
        <v>163.428571428571</v>
      </c>
      <c r="E158" s="139" t="n">
        <f aca="false">D157</f>
        <v>120.969828571429</v>
      </c>
      <c r="F158" s="139" t="n">
        <f aca="false">E157</f>
        <v>114.367029549382</v>
      </c>
      <c r="G158" s="139" t="n">
        <f aca="false">F157</f>
        <v>107.15386372921</v>
      </c>
      <c r="H158" s="139" t="n">
        <f aca="false">G157</f>
        <v>99.4020207849381</v>
      </c>
      <c r="I158" s="139" t="n">
        <f aca="false">H157</f>
        <v>91.2204027420425</v>
      </c>
      <c r="J158" s="139" t="n">
        <f aca="false">I157</f>
        <v>82.7527664039089</v>
      </c>
      <c r="K158" s="139" t="n">
        <f aca="false">J157</f>
        <v>74.1703474557996</v>
      </c>
      <c r="L158" s="139" t="n">
        <f aca="false">K157</f>
        <v>48.6013123210871</v>
      </c>
      <c r="M158" s="139" t="n">
        <f aca="false">L157</f>
        <v>40.1734893551737</v>
      </c>
      <c r="N158" s="139" t="n">
        <f aca="false">M157</f>
        <v>32.5096598367288</v>
      </c>
      <c r="O158" s="139" t="n">
        <f aca="false">N157</f>
        <v>25.7441395125388</v>
      </c>
      <c r="P158" s="139" t="n">
        <f aca="false">O157</f>
        <v>19.9471873259493</v>
      </c>
      <c r="Q158" s="139" t="n">
        <f aca="false">P157</f>
        <v>15.1251433292698</v>
      </c>
      <c r="R158" s="139" t="n">
        <f aca="false">Q157</f>
        <v>11.228931707357</v>
      </c>
      <c r="S158" s="139" t="n">
        <f aca="false">R157</f>
        <v>6.04611818037498</v>
      </c>
      <c r="T158" s="139" t="n">
        <f aca="false">S157</f>
        <v>4.07831912175158</v>
      </c>
      <c r="U158" s="139" t="n">
        <f aca="false">T157</f>
        <v>2.67732301349324</v>
      </c>
      <c r="V158" s="139" t="n">
        <f aca="false">U157</f>
        <v>1.71140474328154</v>
      </c>
      <c r="W158" s="139" t="n">
        <f aca="false">V157</f>
        <v>1.06596668439488</v>
      </c>
      <c r="X158" s="139" t="n">
        <f aca="false">W157</f>
        <v>0.647540140116952</v>
      </c>
      <c r="Y158" s="139" t="n">
        <f aca="false">X157</f>
        <v>0.384059773536185</v>
      </c>
      <c r="Z158" s="139" t="n">
        <f aca="false">Y157</f>
        <v>0.164833620687739</v>
      </c>
      <c r="AA158" s="139" t="n">
        <f aca="false">Z157</f>
        <v>0.088463479725339</v>
      </c>
      <c r="AB158" s="139" t="n">
        <f aca="false">AA157</f>
        <v>0.046137899763337</v>
      </c>
      <c r="AC158" s="139" t="n">
        <f aca="false">AB157</f>
        <v>0.0234030084783781</v>
      </c>
    </row>
    <row r="159" s="12" customFormat="true" ht="14.65" hidden="false" customHeight="false" outlineLevel="0" collapsed="false">
      <c r="A159" s="139" t="n">
        <v>3</v>
      </c>
      <c r="B159" s="139" t="n">
        <f aca="false">1/7*B$155</f>
        <v>163.428571428571</v>
      </c>
      <c r="C159" s="139" t="n">
        <f aca="false">B158</f>
        <v>163.428571428571</v>
      </c>
      <c r="D159" s="139" t="n">
        <f aca="false">C158</f>
        <v>163.428571428571</v>
      </c>
      <c r="E159" s="139" t="n">
        <f aca="false">D158</f>
        <v>163.428571428571</v>
      </c>
      <c r="F159" s="139" t="n">
        <f aca="false">E158</f>
        <v>120.969828571429</v>
      </c>
      <c r="G159" s="139" t="n">
        <f aca="false">F158</f>
        <v>114.367029549382</v>
      </c>
      <c r="H159" s="139" t="n">
        <f aca="false">G158</f>
        <v>107.15386372921</v>
      </c>
      <c r="I159" s="139" t="n">
        <f aca="false">H158</f>
        <v>99.4020207849381</v>
      </c>
      <c r="J159" s="139" t="n">
        <f aca="false">I158</f>
        <v>91.2204027420425</v>
      </c>
      <c r="K159" s="139" t="n">
        <f aca="false">J158</f>
        <v>82.7527664039089</v>
      </c>
      <c r="L159" s="139" t="n">
        <f aca="false">K158</f>
        <v>74.1703474557996</v>
      </c>
      <c r="M159" s="139" t="n">
        <f aca="false">L158</f>
        <v>48.6013123210871</v>
      </c>
      <c r="N159" s="139" t="n">
        <f aca="false">M158</f>
        <v>40.1734893551737</v>
      </c>
      <c r="O159" s="139" t="n">
        <f aca="false">N158</f>
        <v>32.5096598367288</v>
      </c>
      <c r="P159" s="139" t="n">
        <f aca="false">O158</f>
        <v>25.7441395125388</v>
      </c>
      <c r="Q159" s="139" t="n">
        <f aca="false">P158</f>
        <v>19.9471873259493</v>
      </c>
      <c r="R159" s="139" t="n">
        <f aca="false">Q158</f>
        <v>15.1251433292698</v>
      </c>
      <c r="S159" s="139" t="n">
        <f aca="false">R158</f>
        <v>11.228931707357</v>
      </c>
      <c r="T159" s="139" t="n">
        <f aca="false">S158</f>
        <v>6.04611818037498</v>
      </c>
      <c r="U159" s="139" t="n">
        <f aca="false">T158</f>
        <v>4.07831912175158</v>
      </c>
      <c r="V159" s="139" t="n">
        <f aca="false">U158</f>
        <v>2.67732301349324</v>
      </c>
      <c r="W159" s="139" t="n">
        <f aca="false">V158</f>
        <v>1.71140474328154</v>
      </c>
      <c r="X159" s="139" t="n">
        <f aca="false">W158</f>
        <v>1.06596668439488</v>
      </c>
      <c r="Y159" s="139" t="n">
        <f aca="false">X158</f>
        <v>0.647540140116952</v>
      </c>
      <c r="Z159" s="139" t="n">
        <f aca="false">Y158</f>
        <v>0.384059773536185</v>
      </c>
      <c r="AA159" s="139" t="n">
        <f aca="false">Z158</f>
        <v>0.164833620687739</v>
      </c>
      <c r="AB159" s="139" t="n">
        <f aca="false">AA158</f>
        <v>0.088463479725339</v>
      </c>
      <c r="AC159" s="139" t="n">
        <f aca="false">AB158</f>
        <v>0.046137899763337</v>
      </c>
    </row>
    <row r="160" s="12" customFormat="true" ht="14.65" hidden="false" customHeight="false" outlineLevel="0" collapsed="false">
      <c r="A160" s="139" t="n">
        <v>4</v>
      </c>
      <c r="B160" s="139" t="n">
        <f aca="false">1/7*B$155</f>
        <v>163.428571428571</v>
      </c>
      <c r="C160" s="139" t="n">
        <f aca="false">B159</f>
        <v>163.428571428571</v>
      </c>
      <c r="D160" s="139" t="n">
        <f aca="false">C159</f>
        <v>163.428571428571</v>
      </c>
      <c r="E160" s="139" t="n">
        <f aca="false">D159</f>
        <v>163.428571428571</v>
      </c>
      <c r="F160" s="139" t="n">
        <f aca="false">E159</f>
        <v>163.428571428571</v>
      </c>
      <c r="G160" s="139" t="n">
        <f aca="false">F159</f>
        <v>120.969828571429</v>
      </c>
      <c r="H160" s="139" t="n">
        <f aca="false">G159</f>
        <v>114.367029549382</v>
      </c>
      <c r="I160" s="139" t="n">
        <f aca="false">H159</f>
        <v>107.15386372921</v>
      </c>
      <c r="J160" s="139" t="n">
        <f aca="false">I159</f>
        <v>99.4020207849381</v>
      </c>
      <c r="K160" s="139" t="n">
        <f aca="false">J159</f>
        <v>91.2204027420425</v>
      </c>
      <c r="L160" s="139" t="n">
        <f aca="false">K159</f>
        <v>82.7527664039089</v>
      </c>
      <c r="M160" s="139" t="n">
        <f aca="false">L159</f>
        <v>74.1703474557996</v>
      </c>
      <c r="N160" s="139" t="n">
        <f aca="false">M159</f>
        <v>48.6013123210871</v>
      </c>
      <c r="O160" s="139" t="n">
        <f aca="false">N159</f>
        <v>40.1734893551737</v>
      </c>
      <c r="P160" s="139" t="n">
        <f aca="false">O159</f>
        <v>32.5096598367288</v>
      </c>
      <c r="Q160" s="139" t="n">
        <f aca="false">P159</f>
        <v>25.7441395125388</v>
      </c>
      <c r="R160" s="139" t="n">
        <f aca="false">Q159</f>
        <v>19.9471873259493</v>
      </c>
      <c r="S160" s="139" t="n">
        <f aca="false">R159</f>
        <v>15.1251433292698</v>
      </c>
      <c r="T160" s="139" t="n">
        <f aca="false">S159</f>
        <v>11.228931707357</v>
      </c>
      <c r="U160" s="139" t="n">
        <f aca="false">T159</f>
        <v>6.04611818037498</v>
      </c>
      <c r="V160" s="139" t="n">
        <f aca="false">U159</f>
        <v>4.07831912175158</v>
      </c>
      <c r="W160" s="139" t="n">
        <f aca="false">V159</f>
        <v>2.67732301349324</v>
      </c>
      <c r="X160" s="139" t="n">
        <f aca="false">W159</f>
        <v>1.71140474328154</v>
      </c>
      <c r="Y160" s="139" t="n">
        <f aca="false">X159</f>
        <v>1.06596668439488</v>
      </c>
      <c r="Z160" s="139" t="n">
        <f aca="false">Y159</f>
        <v>0.647540140116952</v>
      </c>
      <c r="AA160" s="139" t="n">
        <f aca="false">Z159</f>
        <v>0.384059773536185</v>
      </c>
      <c r="AB160" s="139" t="n">
        <f aca="false">AA159</f>
        <v>0.164833620687739</v>
      </c>
      <c r="AC160" s="139" t="n">
        <f aca="false">AB159</f>
        <v>0.088463479725339</v>
      </c>
    </row>
    <row r="161" s="12" customFormat="true" ht="14.65" hidden="false" customHeight="false" outlineLevel="0" collapsed="false">
      <c r="A161" s="139" t="n">
        <v>5</v>
      </c>
      <c r="B161" s="139" t="n">
        <f aca="false">1/7*B$155</f>
        <v>163.428571428571</v>
      </c>
      <c r="C161" s="139" t="n">
        <f aca="false">B160</f>
        <v>163.428571428571</v>
      </c>
      <c r="D161" s="139" t="n">
        <f aca="false">C160</f>
        <v>163.428571428571</v>
      </c>
      <c r="E161" s="139" t="n">
        <f aca="false">D160</f>
        <v>163.428571428571</v>
      </c>
      <c r="F161" s="139" t="n">
        <f aca="false">E160</f>
        <v>163.428571428571</v>
      </c>
      <c r="G161" s="139" t="n">
        <f aca="false">F160</f>
        <v>163.428571428571</v>
      </c>
      <c r="H161" s="139" t="n">
        <f aca="false">G160</f>
        <v>120.969828571429</v>
      </c>
      <c r="I161" s="139" t="n">
        <f aca="false">H160</f>
        <v>114.367029549382</v>
      </c>
      <c r="J161" s="139" t="n">
        <f aca="false">I160</f>
        <v>107.15386372921</v>
      </c>
      <c r="K161" s="139" t="n">
        <f aca="false">J160</f>
        <v>99.4020207849381</v>
      </c>
      <c r="L161" s="139" t="n">
        <f aca="false">K160</f>
        <v>91.2204027420425</v>
      </c>
      <c r="M161" s="139" t="n">
        <f aca="false">L160</f>
        <v>82.7527664039089</v>
      </c>
      <c r="N161" s="139" t="n">
        <f aca="false">M160</f>
        <v>74.1703474557996</v>
      </c>
      <c r="O161" s="139" t="n">
        <f aca="false">N160</f>
        <v>48.6013123210871</v>
      </c>
      <c r="P161" s="139" t="n">
        <f aca="false">O160</f>
        <v>40.1734893551737</v>
      </c>
      <c r="Q161" s="139" t="n">
        <f aca="false">P160</f>
        <v>32.5096598367288</v>
      </c>
      <c r="R161" s="139" t="n">
        <f aca="false">Q160</f>
        <v>25.7441395125388</v>
      </c>
      <c r="S161" s="139" t="n">
        <f aca="false">R160</f>
        <v>19.9471873259493</v>
      </c>
      <c r="T161" s="139" t="n">
        <f aca="false">S160</f>
        <v>15.1251433292698</v>
      </c>
      <c r="U161" s="139" t="n">
        <f aca="false">T160</f>
        <v>11.228931707357</v>
      </c>
      <c r="V161" s="139" t="n">
        <f aca="false">U160</f>
        <v>6.04611818037498</v>
      </c>
      <c r="W161" s="139" t="n">
        <f aca="false">V160</f>
        <v>4.07831912175158</v>
      </c>
      <c r="X161" s="139" t="n">
        <f aca="false">W160</f>
        <v>2.67732301349324</v>
      </c>
      <c r="Y161" s="139" t="n">
        <f aca="false">X160</f>
        <v>1.71140474328154</v>
      </c>
      <c r="Z161" s="139" t="n">
        <f aca="false">Y160</f>
        <v>1.06596668439488</v>
      </c>
      <c r="AA161" s="139" t="n">
        <f aca="false">Z160</f>
        <v>0.647540140116952</v>
      </c>
      <c r="AB161" s="139" t="n">
        <f aca="false">AA160</f>
        <v>0.384059773536185</v>
      </c>
      <c r="AC161" s="139" t="n">
        <f aca="false">AB160</f>
        <v>0.164833620687739</v>
      </c>
    </row>
    <row r="162" s="12" customFormat="true" ht="14.65" hidden="false" customHeight="false" outlineLevel="0" collapsed="false">
      <c r="A162" s="139" t="n">
        <v>6</v>
      </c>
      <c r="B162" s="139" t="n">
        <f aca="false">1/7*B$155</f>
        <v>163.428571428571</v>
      </c>
      <c r="C162" s="139" t="n">
        <f aca="false">B161</f>
        <v>163.428571428571</v>
      </c>
      <c r="D162" s="139" t="n">
        <f aca="false">C161</f>
        <v>163.428571428571</v>
      </c>
      <c r="E162" s="139" t="n">
        <f aca="false">D161</f>
        <v>163.428571428571</v>
      </c>
      <c r="F162" s="139" t="n">
        <f aca="false">E161</f>
        <v>163.428571428571</v>
      </c>
      <c r="G162" s="139" t="n">
        <f aca="false">F161</f>
        <v>163.428571428571</v>
      </c>
      <c r="H162" s="139" t="n">
        <f aca="false">G161</f>
        <v>163.428571428571</v>
      </c>
      <c r="I162" s="139" t="n">
        <f aca="false">H161</f>
        <v>120.969828571429</v>
      </c>
      <c r="J162" s="139" t="n">
        <f aca="false">I161</f>
        <v>114.367029549382</v>
      </c>
      <c r="K162" s="139" t="n">
        <f aca="false">J161</f>
        <v>107.15386372921</v>
      </c>
      <c r="L162" s="139" t="n">
        <f aca="false">K161</f>
        <v>99.4020207849381</v>
      </c>
      <c r="M162" s="139" t="n">
        <f aca="false">L161</f>
        <v>91.2204027420425</v>
      </c>
      <c r="N162" s="139" t="n">
        <f aca="false">M161</f>
        <v>82.7527664039089</v>
      </c>
      <c r="O162" s="139" t="n">
        <f aca="false">N161</f>
        <v>74.1703474557996</v>
      </c>
      <c r="P162" s="139" t="n">
        <f aca="false">O161</f>
        <v>48.6013123210871</v>
      </c>
      <c r="Q162" s="139" t="n">
        <f aca="false">P161</f>
        <v>40.1734893551737</v>
      </c>
      <c r="R162" s="139" t="n">
        <f aca="false">Q161</f>
        <v>32.5096598367288</v>
      </c>
      <c r="S162" s="139" t="n">
        <f aca="false">R161</f>
        <v>25.7441395125388</v>
      </c>
      <c r="T162" s="139" t="n">
        <f aca="false">S161</f>
        <v>19.9471873259493</v>
      </c>
      <c r="U162" s="139" t="n">
        <f aca="false">T161</f>
        <v>15.1251433292698</v>
      </c>
      <c r="V162" s="139" t="n">
        <f aca="false">U161</f>
        <v>11.228931707357</v>
      </c>
      <c r="W162" s="139" t="n">
        <f aca="false">V161</f>
        <v>6.04611818037498</v>
      </c>
      <c r="X162" s="139" t="n">
        <f aca="false">W161</f>
        <v>4.07831912175158</v>
      </c>
      <c r="Y162" s="139" t="n">
        <f aca="false">X161</f>
        <v>2.67732301349324</v>
      </c>
      <c r="Z162" s="139" t="n">
        <f aca="false">Y161</f>
        <v>1.71140474328154</v>
      </c>
      <c r="AA162" s="139" t="n">
        <f aca="false">Z161</f>
        <v>1.06596668439488</v>
      </c>
      <c r="AB162" s="139" t="n">
        <f aca="false">AA161</f>
        <v>0.647540140116952</v>
      </c>
      <c r="AC162" s="139" t="n">
        <f aca="false">AB161</f>
        <v>0.384059773536185</v>
      </c>
    </row>
    <row r="163" s="12" customFormat="true" ht="14.65" hidden="false" customHeight="false" outlineLevel="0" collapsed="false">
      <c r="A163" s="139" t="n">
        <v>7</v>
      </c>
      <c r="B163" s="139" t="n">
        <f aca="false">1/7*B$155</f>
        <v>163.428571428571</v>
      </c>
      <c r="C163" s="139" t="n">
        <f aca="false">B162</f>
        <v>163.428571428571</v>
      </c>
      <c r="D163" s="139" t="n">
        <f aca="false">C162</f>
        <v>163.428571428571</v>
      </c>
      <c r="E163" s="139" t="n">
        <f aca="false">D162</f>
        <v>163.428571428571</v>
      </c>
      <c r="F163" s="139" t="n">
        <f aca="false">E162</f>
        <v>163.428571428571</v>
      </c>
      <c r="G163" s="139" t="n">
        <f aca="false">F162</f>
        <v>163.428571428571</v>
      </c>
      <c r="H163" s="139" t="n">
        <f aca="false">G162</f>
        <v>163.428571428571</v>
      </c>
      <c r="I163" s="139" t="n">
        <f aca="false">H162</f>
        <v>163.428571428571</v>
      </c>
      <c r="J163" s="139" t="n">
        <f aca="false">I162</f>
        <v>120.969828571429</v>
      </c>
      <c r="K163" s="139" t="n">
        <f aca="false">J162</f>
        <v>114.367029549382</v>
      </c>
      <c r="L163" s="139" t="n">
        <f aca="false">K162</f>
        <v>107.15386372921</v>
      </c>
      <c r="M163" s="139" t="n">
        <f aca="false">L162</f>
        <v>99.4020207849381</v>
      </c>
      <c r="N163" s="139" t="n">
        <f aca="false">M162</f>
        <v>91.2204027420425</v>
      </c>
      <c r="O163" s="139" t="n">
        <f aca="false">N162</f>
        <v>82.7527664039089</v>
      </c>
      <c r="P163" s="139" t="n">
        <f aca="false">O162</f>
        <v>74.1703474557996</v>
      </c>
      <c r="Q163" s="139" t="n">
        <f aca="false">P162</f>
        <v>48.6013123210871</v>
      </c>
      <c r="R163" s="139" t="n">
        <f aca="false">Q162</f>
        <v>40.1734893551737</v>
      </c>
      <c r="S163" s="139" t="n">
        <f aca="false">R162</f>
        <v>32.5096598367288</v>
      </c>
      <c r="T163" s="139" t="n">
        <f aca="false">S162</f>
        <v>25.7441395125388</v>
      </c>
      <c r="U163" s="139" t="n">
        <f aca="false">T162</f>
        <v>19.9471873259493</v>
      </c>
      <c r="V163" s="139" t="n">
        <f aca="false">U162</f>
        <v>15.1251433292698</v>
      </c>
      <c r="W163" s="139" t="n">
        <f aca="false">V162</f>
        <v>11.228931707357</v>
      </c>
      <c r="X163" s="139" t="n">
        <f aca="false">W162</f>
        <v>6.04611818037498</v>
      </c>
      <c r="Y163" s="139" t="n">
        <f aca="false">X162</f>
        <v>4.07831912175158</v>
      </c>
      <c r="Z163" s="139" t="n">
        <f aca="false">Y162</f>
        <v>2.67732301349324</v>
      </c>
      <c r="AA163" s="139" t="n">
        <f aca="false">Z162</f>
        <v>1.71140474328154</v>
      </c>
      <c r="AB163" s="139" t="n">
        <f aca="false">AA162</f>
        <v>1.06596668439488</v>
      </c>
      <c r="AC163" s="139" t="n">
        <f aca="false">AB162</f>
        <v>0.647540140116952</v>
      </c>
    </row>
    <row r="164" s="12" customFormat="true" ht="14.65" hidden="false" customHeight="false" outlineLevel="0" collapsed="false">
      <c r="A164" s="139" t="n">
        <v>8</v>
      </c>
      <c r="B164" s="139"/>
      <c r="C164" s="139"/>
      <c r="D164" s="139"/>
      <c r="E164" s="139"/>
      <c r="F164" s="139"/>
      <c r="G164" s="139"/>
      <c r="H164" s="139"/>
      <c r="I164" s="139"/>
      <c r="J164" s="139"/>
      <c r="K164" s="139"/>
      <c r="L164" s="139"/>
      <c r="M164" s="139"/>
      <c r="N164" s="139"/>
      <c r="O164" s="139"/>
      <c r="P164" s="139"/>
      <c r="Q164" s="139"/>
      <c r="R164" s="139"/>
      <c r="S164" s="139"/>
      <c r="T164" s="139"/>
      <c r="U164" s="139"/>
      <c r="V164" s="139"/>
      <c r="W164" s="139"/>
      <c r="X164" s="139"/>
      <c r="Y164" s="139"/>
      <c r="Z164" s="139"/>
      <c r="AA164" s="139"/>
      <c r="AB164" s="139"/>
      <c r="AC164" s="139"/>
    </row>
    <row r="165" s="12" customFormat="true" ht="14.65" hidden="false" customHeight="false" outlineLevel="0" collapsed="false">
      <c r="A165" s="139" t="n">
        <v>9</v>
      </c>
      <c r="B165" s="139"/>
      <c r="C165" s="139"/>
      <c r="D165" s="139"/>
      <c r="E165" s="139"/>
      <c r="F165" s="139"/>
      <c r="G165" s="139"/>
      <c r="H165" s="139"/>
      <c r="I165" s="139"/>
      <c r="J165" s="139"/>
      <c r="K165" s="139"/>
      <c r="L165" s="139"/>
      <c r="M165" s="139"/>
      <c r="N165" s="139"/>
      <c r="O165" s="139"/>
      <c r="P165" s="139"/>
      <c r="Q165" s="139"/>
      <c r="R165" s="139"/>
      <c r="S165" s="139"/>
      <c r="T165" s="139"/>
      <c r="U165" s="139"/>
      <c r="V165" s="139"/>
      <c r="W165" s="139"/>
      <c r="X165" s="139"/>
      <c r="Y165" s="139"/>
      <c r="Z165" s="139"/>
      <c r="AA165" s="139"/>
      <c r="AB165" s="139"/>
      <c r="AC165" s="139"/>
    </row>
    <row r="166" s="12" customFormat="true" ht="14.65" hidden="false" customHeight="false" outlineLevel="0" collapsed="false">
      <c r="A166" s="139" t="n">
        <v>10</v>
      </c>
      <c r="B166" s="139"/>
      <c r="C166" s="139"/>
      <c r="D166" s="139"/>
      <c r="E166" s="139"/>
      <c r="F166" s="139"/>
      <c r="G166" s="139"/>
      <c r="H166" s="139"/>
      <c r="I166" s="139"/>
      <c r="J166" s="139"/>
      <c r="K166" s="139"/>
      <c r="L166" s="139"/>
      <c r="M166" s="139"/>
      <c r="N166" s="139"/>
      <c r="O166" s="139"/>
      <c r="P166" s="139"/>
      <c r="Q166" s="139"/>
      <c r="R166" s="139"/>
      <c r="S166" s="139"/>
      <c r="T166" s="139"/>
      <c r="U166" s="139"/>
      <c r="V166" s="139"/>
      <c r="W166" s="139"/>
      <c r="X166" s="139"/>
      <c r="Y166" s="139"/>
      <c r="Z166" s="139"/>
      <c r="AA166" s="139"/>
      <c r="AB166" s="139"/>
      <c r="AC166" s="139"/>
    </row>
    <row r="167" s="12" customFormat="true" ht="14.65" hidden="false" customHeight="false" outlineLevel="0" collapsed="false">
      <c r="A167" s="139" t="n">
        <v>11</v>
      </c>
      <c r="B167" s="139"/>
      <c r="C167" s="139"/>
      <c r="D167" s="139"/>
      <c r="E167" s="139"/>
      <c r="F167" s="139"/>
      <c r="G167" s="139"/>
      <c r="H167" s="139"/>
      <c r="I167" s="139"/>
      <c r="J167" s="139"/>
      <c r="K167" s="139"/>
      <c r="L167" s="139"/>
      <c r="M167" s="139"/>
      <c r="N167" s="139"/>
      <c r="O167" s="139"/>
      <c r="P167" s="139"/>
      <c r="Q167" s="139"/>
      <c r="R167" s="139"/>
      <c r="S167" s="139"/>
      <c r="T167" s="139"/>
      <c r="U167" s="139"/>
      <c r="V167" s="139"/>
      <c r="W167" s="139"/>
      <c r="X167" s="139"/>
      <c r="Y167" s="139"/>
      <c r="Z167" s="139"/>
      <c r="AA167" s="139"/>
      <c r="AB167" s="139"/>
      <c r="AC167" s="139"/>
    </row>
    <row r="168" s="12" customFormat="true" ht="14.65" hidden="false" customHeight="false" outlineLevel="0" collapsed="false">
      <c r="A168" s="139" t="n">
        <v>12</v>
      </c>
      <c r="B168" s="139"/>
      <c r="C168" s="139"/>
      <c r="D168" s="139"/>
      <c r="E168" s="139"/>
      <c r="F168" s="139"/>
      <c r="G168" s="139"/>
      <c r="H168" s="139"/>
      <c r="I168" s="139"/>
      <c r="J168" s="139"/>
      <c r="K168" s="139"/>
      <c r="L168" s="139"/>
      <c r="M168" s="139"/>
      <c r="N168" s="139"/>
      <c r="O168" s="139"/>
      <c r="P168" s="139"/>
      <c r="Q168" s="139"/>
      <c r="R168" s="139"/>
      <c r="S168" s="139"/>
      <c r="T168" s="139"/>
      <c r="U168" s="139"/>
      <c r="V168" s="139"/>
      <c r="W168" s="139"/>
      <c r="X168" s="139"/>
      <c r="Y168" s="139"/>
      <c r="Z168" s="139"/>
      <c r="AA168" s="139"/>
      <c r="AB168" s="139"/>
      <c r="AC168" s="139"/>
    </row>
    <row r="169" s="12" customFormat="true" ht="14.65" hidden="false" customHeight="false" outlineLevel="0" collapsed="false">
      <c r="A169" s="139"/>
      <c r="B169" s="139"/>
      <c r="C169" s="139"/>
      <c r="D169" s="139"/>
      <c r="E169" s="139"/>
      <c r="F169" s="139"/>
      <c r="G169" s="139"/>
      <c r="H169" s="139"/>
      <c r="I169" s="139"/>
      <c r="J169" s="139"/>
      <c r="K169" s="139"/>
      <c r="L169" s="139"/>
      <c r="M169" s="139"/>
      <c r="N169" s="139"/>
      <c r="O169" s="139"/>
      <c r="P169" s="139"/>
      <c r="Q169" s="139"/>
      <c r="R169" s="139"/>
      <c r="S169" s="139"/>
      <c r="T169" s="139"/>
      <c r="U169" s="139"/>
      <c r="V169" s="139"/>
      <c r="W169" s="139"/>
      <c r="X169" s="139"/>
      <c r="Y169" s="139"/>
      <c r="Z169" s="139"/>
      <c r="AA169" s="139"/>
      <c r="AB169" s="139"/>
      <c r="AC169" s="139"/>
    </row>
    <row r="170" s="12" customFormat="true" ht="14.65" hidden="false" customHeight="false" outlineLevel="0" collapsed="false">
      <c r="A170" s="139"/>
      <c r="B170" s="139"/>
      <c r="C170" s="139"/>
      <c r="D170" s="139"/>
      <c r="E170" s="139"/>
      <c r="F170" s="139"/>
      <c r="G170" s="139"/>
      <c r="H170" s="139"/>
      <c r="I170" s="139"/>
      <c r="J170" s="139"/>
      <c r="K170" s="139"/>
      <c r="L170" s="139"/>
      <c r="M170" s="139"/>
      <c r="N170" s="139"/>
      <c r="O170" s="139"/>
      <c r="P170" s="139"/>
      <c r="Q170" s="139"/>
      <c r="R170" s="139"/>
      <c r="S170" s="139"/>
      <c r="T170" s="139"/>
      <c r="U170" s="139"/>
      <c r="V170" s="139"/>
      <c r="W170" s="139"/>
      <c r="X170" s="139"/>
      <c r="Y170" s="139"/>
      <c r="Z170" s="139"/>
      <c r="AA170" s="139"/>
      <c r="AB170" s="139"/>
      <c r="AC170" s="139"/>
    </row>
    <row r="171" s="12" customFormat="true" ht="14.65" hidden="false" customHeight="false" outlineLevel="0" collapsed="false">
      <c r="A171" s="139"/>
      <c r="B171" s="139"/>
      <c r="C171" s="139"/>
      <c r="D171" s="139"/>
      <c r="E171" s="139"/>
      <c r="F171" s="139"/>
      <c r="G171" s="139"/>
      <c r="H171" s="139"/>
      <c r="I171" s="139"/>
      <c r="J171" s="139"/>
      <c r="K171" s="139"/>
      <c r="L171" s="139"/>
      <c r="M171" s="139"/>
      <c r="N171" s="139"/>
      <c r="O171" s="139"/>
      <c r="P171" s="139"/>
      <c r="Q171" s="139"/>
      <c r="R171" s="139"/>
      <c r="S171" s="139"/>
      <c r="T171" s="139"/>
      <c r="U171" s="139"/>
      <c r="V171" s="139"/>
      <c r="W171" s="139"/>
      <c r="X171" s="139"/>
      <c r="Y171" s="139"/>
      <c r="Z171" s="139"/>
      <c r="AA171" s="139"/>
      <c r="AB171" s="139"/>
      <c r="AC171" s="139"/>
    </row>
    <row r="172" s="12" customFormat="true" ht="14.65" hidden="false" customHeight="false" outlineLevel="0" collapsed="false">
      <c r="A172" s="139"/>
      <c r="B172" s="139"/>
      <c r="C172" s="139"/>
      <c r="D172" s="139"/>
      <c r="E172" s="139"/>
      <c r="F172" s="139"/>
      <c r="G172" s="139"/>
      <c r="H172" s="139"/>
      <c r="I172" s="139"/>
      <c r="J172" s="139"/>
      <c r="K172" s="139"/>
      <c r="L172" s="139"/>
      <c r="M172" s="139"/>
      <c r="N172" s="139"/>
      <c r="O172" s="139"/>
      <c r="P172" s="139"/>
      <c r="Q172" s="139"/>
      <c r="R172" s="139"/>
      <c r="S172" s="139"/>
      <c r="T172" s="139"/>
      <c r="U172" s="139"/>
      <c r="V172" s="139"/>
      <c r="W172" s="139"/>
      <c r="X172" s="139"/>
      <c r="Y172" s="139"/>
      <c r="Z172" s="139"/>
      <c r="AA172" s="139"/>
      <c r="AB172" s="139"/>
      <c r="AC172" s="139"/>
    </row>
    <row r="173" s="12" customFormat="true" ht="14.65" hidden="false" customHeight="false" outlineLevel="0" collapsed="false">
      <c r="A173" s="139"/>
      <c r="B173" s="139"/>
      <c r="C173" s="139"/>
      <c r="D173" s="139"/>
      <c r="E173" s="139"/>
      <c r="F173" s="139"/>
      <c r="G173" s="139"/>
      <c r="H173" s="139"/>
      <c r="I173" s="139"/>
      <c r="J173" s="139"/>
      <c r="K173" s="139"/>
      <c r="L173" s="139"/>
      <c r="M173" s="139"/>
      <c r="N173" s="139"/>
      <c r="O173" s="139"/>
      <c r="P173" s="139"/>
      <c r="Q173" s="139"/>
      <c r="R173" s="139"/>
      <c r="S173" s="139"/>
      <c r="T173" s="139"/>
      <c r="U173" s="139"/>
      <c r="V173" s="139"/>
      <c r="W173" s="139"/>
      <c r="X173" s="139"/>
      <c r="Y173" s="139"/>
      <c r="Z173" s="139"/>
      <c r="AA173" s="139"/>
      <c r="AB173" s="139"/>
      <c r="AC173" s="139"/>
    </row>
    <row r="174" customFormat="false" ht="12.8" hidden="false" customHeight="false" outlineLevel="0" collapsed="false">
      <c r="A174" s="130" t="s">
        <v>318</v>
      </c>
      <c r="B174" s="1" t="s">
        <v>43</v>
      </c>
      <c r="C174" s="1" t="n">
        <v>2024</v>
      </c>
      <c r="D174" s="1" t="n">
        <v>2025</v>
      </c>
      <c r="E174" s="1" t="n">
        <v>2026</v>
      </c>
      <c r="F174" s="1" t="n">
        <v>2027</v>
      </c>
      <c r="G174" s="1" t="n">
        <v>2028</v>
      </c>
      <c r="H174" s="1" t="n">
        <v>2029</v>
      </c>
      <c r="I174" s="1" t="n">
        <v>2030</v>
      </c>
      <c r="J174" s="1" t="n">
        <v>2031</v>
      </c>
      <c r="K174" s="1" t="n">
        <v>2032</v>
      </c>
      <c r="L174" s="1" t="n">
        <v>2033</v>
      </c>
      <c r="M174" s="1" t="n">
        <v>2034</v>
      </c>
      <c r="N174" s="1" t="n">
        <v>2035</v>
      </c>
      <c r="O174" s="1" t="n">
        <v>2036</v>
      </c>
      <c r="P174" s="1" t="n">
        <v>2037</v>
      </c>
      <c r="Q174" s="1" t="n">
        <v>2038</v>
      </c>
      <c r="R174" s="1" t="n">
        <v>2039</v>
      </c>
      <c r="S174" s="1" t="n">
        <v>2040</v>
      </c>
      <c r="T174" s="1" t="n">
        <v>2041</v>
      </c>
      <c r="U174" s="1" t="n">
        <v>2042</v>
      </c>
      <c r="V174" s="1" t="n">
        <v>2043</v>
      </c>
      <c r="W174" s="1" t="n">
        <v>2044</v>
      </c>
      <c r="X174" s="1" t="n">
        <v>2045</v>
      </c>
      <c r="Y174" s="1" t="n">
        <v>2046</v>
      </c>
      <c r="Z174" s="1" t="n">
        <v>2047</v>
      </c>
      <c r="AA174" s="1" t="n">
        <v>2048</v>
      </c>
      <c r="AB174" s="1" t="n">
        <v>2049</v>
      </c>
      <c r="AC174" s="1" t="n">
        <v>2050</v>
      </c>
    </row>
    <row r="175" customFormat="false" ht="11.15" hidden="false" customHeight="true" outlineLevel="0" collapsed="false">
      <c r="A175" s="1" t="s">
        <v>37</v>
      </c>
      <c r="B175" s="1" t="n">
        <f aca="false">($B$30*$B$28)+($B$40*$B$44)</f>
        <v>66.585808657411</v>
      </c>
      <c r="C175" s="1" t="n">
        <f aca="false">($B$30*$B$28)+($B$40*$B$44)</f>
        <v>66.585808657411</v>
      </c>
      <c r="D175" s="1" t="n">
        <f aca="false">($B$30*$B$28)+($B$40*$B$44)</f>
        <v>66.585808657411</v>
      </c>
      <c r="E175" s="1" t="n">
        <f aca="false">($B$30*$B$28)+($B$40*$B$44)</f>
        <v>66.585808657411</v>
      </c>
      <c r="F175" s="1" t="n">
        <f aca="false">($B$30*$B$28)+($B$40*$B$44)</f>
        <v>66.585808657411</v>
      </c>
      <c r="G175" s="1" t="n">
        <f aca="false">($B$30*$B$28)+($B$40*$B$44)</f>
        <v>66.585808657411</v>
      </c>
      <c r="H175" s="1" t="n">
        <f aca="false">($B$30*$B$28)+($B$40*$B$44)</f>
        <v>66.585808657411</v>
      </c>
      <c r="I175" s="1" t="n">
        <f aca="false">($B$175/$B$179)*I179</f>
        <v>65.9473354906521</v>
      </c>
      <c r="J175" s="1" t="n">
        <f aca="false">($B$175/$B$179)*J179</f>
        <v>65.7738367590108</v>
      </c>
      <c r="K175" s="1" t="n">
        <f aca="false">($B$175/$B$179)*K179</f>
        <v>65.5714857664617</v>
      </c>
      <c r="L175" s="1" t="n">
        <f aca="false">($B$175/$B$179)*L179</f>
        <v>65.335778688249</v>
      </c>
      <c r="M175" s="1" t="n">
        <f aca="false">($B$175/$B$179)*M179</f>
        <v>65.0619290845521</v>
      </c>
      <c r="N175" s="1" t="n">
        <f aca="false">($B$175/$B$179)*N179</f>
        <v>64.7450035656628</v>
      </c>
      <c r="O175" s="1" t="n">
        <f aca="false">($B$175/$B$179)*O179</f>
        <v>64.3801193816619</v>
      </c>
      <c r="P175" s="1" t="n">
        <f aca="false">($B$175/$B$179)*P179</f>
        <v>63.9627076090344</v>
      </c>
      <c r="Q175" s="1" t="n">
        <f aca="false">($B$175/$B$179)*Q179</f>
        <v>63.4888365203296</v>
      </c>
      <c r="R175" s="1" t="n">
        <f aca="false">($B$175/$B$179)*R179</f>
        <v>62.9555768229004</v>
      </c>
      <c r="S175" s="1" t="n">
        <f aca="false">($B$175/$B$179)*S179</f>
        <v>62.3613752616785</v>
      </c>
      <c r="T175" s="1" t="n">
        <f aca="false">($B$175/$B$179)*T179</f>
        <v>61.7063890002298</v>
      </c>
      <c r="U175" s="1" t="n">
        <f aca="false">($B$175/$B$179)*U179</f>
        <v>60.9927252063614</v>
      </c>
      <c r="V175" s="1" t="n">
        <f aca="false">($B$175/$B$179)*V179</f>
        <v>60.2245335108363</v>
      </c>
      <c r="W175" s="1" t="n">
        <f aca="false">($B$175/$B$179)*W179</f>
        <v>59.4079163524702</v>
      </c>
      <c r="X175" s="1" t="n">
        <f aca="false">($B$175/$B$179)*X179</f>
        <v>58.5506518900034</v>
      </c>
      <c r="Y175" s="1" t="n">
        <f aca="false">($B$175/$B$179)*Y179</f>
        <v>57.6617590121888</v>
      </c>
      <c r="Z175" s="1" t="n">
        <f aca="false">($B$175/$B$179)*Z179</f>
        <v>56.7509636442001</v>
      </c>
      <c r="AA175" s="1" t="n">
        <f aca="false">($B$175/$B$179)*AA179</f>
        <v>55.8281408070412</v>
      </c>
      <c r="AB175" s="1" t="n">
        <f aca="false">($B$175/$B$179)*AB179</f>
        <v>54.9028038707264</v>
      </c>
      <c r="AC175" s="1" t="n">
        <f aca="false">($B$175/$B$179)*AC179</f>
        <v>53.9836940907859</v>
      </c>
    </row>
    <row r="176" customFormat="false" ht="12.8" hidden="false" customHeight="false" outlineLevel="0" collapsed="false">
      <c r="A176" s="1" t="s">
        <v>18</v>
      </c>
      <c r="B176" s="1" t="n">
        <f aca="false">$B$10</f>
        <v>114.47391312</v>
      </c>
      <c r="C176" s="1" t="n">
        <f aca="false">$B$10</f>
        <v>114.47391312</v>
      </c>
      <c r="D176" s="1" t="n">
        <f aca="false">$B$10</f>
        <v>114.47391312</v>
      </c>
      <c r="E176" s="1" t="n">
        <f aca="false">$B$10</f>
        <v>114.47391312</v>
      </c>
      <c r="F176" s="1" t="n">
        <f aca="false">$B$10</f>
        <v>114.47391312</v>
      </c>
      <c r="G176" s="1" t="n">
        <f aca="false">$B$10</f>
        <v>114.47391312</v>
      </c>
      <c r="H176" s="1" t="n">
        <f aca="false">$B$10</f>
        <v>114.47391312</v>
      </c>
      <c r="I176" s="1" t="n">
        <f aca="false">$B$10</f>
        <v>114.47391312</v>
      </c>
      <c r="J176" s="1" t="n">
        <f aca="false">$B$10</f>
        <v>114.47391312</v>
      </c>
      <c r="K176" s="1" t="n">
        <f aca="false">$B$10</f>
        <v>114.47391312</v>
      </c>
      <c r="L176" s="1" t="n">
        <f aca="false">$B$10</f>
        <v>114.47391312</v>
      </c>
      <c r="M176" s="1" t="n">
        <f aca="false">$B$10</f>
        <v>114.47391312</v>
      </c>
      <c r="N176" s="1" t="n">
        <f aca="false">$B$10</f>
        <v>114.47391312</v>
      </c>
      <c r="O176" s="1" t="n">
        <f aca="false">$B$10</f>
        <v>114.47391312</v>
      </c>
      <c r="P176" s="1" t="n">
        <f aca="false">$B$10</f>
        <v>114.47391312</v>
      </c>
      <c r="Q176" s="1" t="n">
        <f aca="false">$B$10</f>
        <v>114.47391312</v>
      </c>
      <c r="R176" s="1" t="n">
        <f aca="false">$B$10</f>
        <v>114.47391312</v>
      </c>
      <c r="S176" s="1" t="n">
        <f aca="false">$B$10</f>
        <v>114.47391312</v>
      </c>
      <c r="T176" s="1" t="n">
        <f aca="false">$B$10</f>
        <v>114.47391312</v>
      </c>
      <c r="U176" s="1" t="n">
        <f aca="false">$B$10</f>
        <v>114.47391312</v>
      </c>
      <c r="V176" s="1" t="n">
        <f aca="false">$B$10</f>
        <v>114.47391312</v>
      </c>
      <c r="W176" s="1" t="n">
        <f aca="false">$B$10</f>
        <v>114.47391312</v>
      </c>
      <c r="X176" s="1" t="n">
        <f aca="false">$B$10</f>
        <v>114.47391312</v>
      </c>
      <c r="Y176" s="1" t="n">
        <f aca="false">$B$10</f>
        <v>114.47391312</v>
      </c>
      <c r="Z176" s="1" t="n">
        <f aca="false">$B$10</f>
        <v>114.47391312</v>
      </c>
      <c r="AA176" s="1" t="n">
        <f aca="false">$B$10</f>
        <v>114.47391312</v>
      </c>
      <c r="AB176" s="1" t="n">
        <f aca="false">$B$10</f>
        <v>114.47391312</v>
      </c>
      <c r="AC176" s="1" t="n">
        <f aca="false">$B$10</f>
        <v>114.47391312</v>
      </c>
      <c r="AD176" s="1"/>
    </row>
    <row r="177" customFormat="false" ht="12.8" hidden="false" customHeight="false" outlineLevel="0" collapsed="false">
      <c r="A177" s="3" t="s">
        <v>39</v>
      </c>
      <c r="B177" s="1" t="n">
        <f aca="false">SUM(B175:B176)</f>
        <v>181.059721777411</v>
      </c>
      <c r="C177" s="1" t="n">
        <f aca="false">SUM(C175:C176)</f>
        <v>181.059721777411</v>
      </c>
      <c r="D177" s="1" t="n">
        <f aca="false">SUM(D175:D176)</f>
        <v>181.059721777411</v>
      </c>
      <c r="E177" s="1" t="n">
        <f aca="false">SUM(E175:E176)</f>
        <v>181.059721777411</v>
      </c>
      <c r="F177" s="1" t="n">
        <f aca="false">SUM(F175:F176)</f>
        <v>181.059721777411</v>
      </c>
      <c r="G177" s="1" t="n">
        <f aca="false">SUM(G175:G176)</f>
        <v>181.059721777411</v>
      </c>
      <c r="H177" s="1" t="n">
        <f aca="false">SUM(H175:H176)</f>
        <v>181.059721777411</v>
      </c>
      <c r="I177" s="1" t="n">
        <f aca="false">SUM(I175:I176)</f>
        <v>180.421248610652</v>
      </c>
      <c r="J177" s="1" t="n">
        <f aca="false">SUM(J175:J176)</f>
        <v>180.247749879011</v>
      </c>
      <c r="K177" s="1" t="n">
        <f aca="false">SUM(K175:K176)</f>
        <v>180.045398886462</v>
      </c>
      <c r="L177" s="1" t="n">
        <f aca="false">SUM(L175:L176)</f>
        <v>179.809691808249</v>
      </c>
      <c r="M177" s="1" t="n">
        <f aca="false">SUM(M175:M176)</f>
        <v>179.535842204552</v>
      </c>
      <c r="N177" s="1" t="n">
        <f aca="false">SUM(N175:N176)</f>
        <v>179.218916685663</v>
      </c>
      <c r="O177" s="1" t="n">
        <f aca="false">SUM(O175:O176)</f>
        <v>178.854032501662</v>
      </c>
      <c r="P177" s="1" t="n">
        <f aca="false">SUM(P175:P176)</f>
        <v>178.436620729034</v>
      </c>
      <c r="Q177" s="1" t="n">
        <f aca="false">SUM(Q175:Q176)</f>
        <v>177.96274964033</v>
      </c>
      <c r="R177" s="1" t="n">
        <f aca="false">SUM(R175:R176)</f>
        <v>177.4294899429</v>
      </c>
      <c r="S177" s="1" t="n">
        <f aca="false">SUM(S175:S176)</f>
        <v>176.835288381678</v>
      </c>
      <c r="T177" s="1" t="n">
        <f aca="false">SUM(T175:T176)</f>
        <v>176.18030212023</v>
      </c>
      <c r="U177" s="1" t="n">
        <f aca="false">SUM(U175:U176)</f>
        <v>175.466638326361</v>
      </c>
      <c r="V177" s="1" t="n">
        <f aca="false">SUM(V175:V176)</f>
        <v>174.698446630836</v>
      </c>
      <c r="W177" s="1" t="n">
        <f aca="false">SUM(W175:W176)</f>
        <v>173.88182947247</v>
      </c>
      <c r="X177" s="1" t="n">
        <f aca="false">SUM(X175:X176)</f>
        <v>173.024565010003</v>
      </c>
      <c r="Y177" s="1" t="n">
        <f aca="false">SUM(Y175:Y176)</f>
        <v>172.135672132189</v>
      </c>
      <c r="Z177" s="1" t="n">
        <f aca="false">SUM(Z175:Z176)</f>
        <v>171.2248767642</v>
      </c>
      <c r="AA177" s="1" t="n">
        <f aca="false">SUM(AA175:AA176)</f>
        <v>170.302053927041</v>
      </c>
      <c r="AB177" s="1" t="n">
        <f aca="false">SUM(AB175:AB176)</f>
        <v>169.376716990726</v>
      </c>
      <c r="AC177" s="1" t="n">
        <f aca="false">SUM(AC175:AC176)</f>
        <v>168.457607210786</v>
      </c>
      <c r="AD177" s="1"/>
    </row>
    <row r="178" customFormat="false" ht="12.8" hidden="false" customHeight="false" outlineLevel="0" collapsed="false">
      <c r="A178" s="1" t="s">
        <v>40</v>
      </c>
      <c r="B178" s="1" t="n">
        <f aca="false">($B$76*(1-B$102))+($B$82*B$102)</f>
        <v>1907.7</v>
      </c>
      <c r="C178" s="1" t="n">
        <f aca="false">($B$76*(1-C$102))+($B$82*C$102)</f>
        <v>1907.7</v>
      </c>
      <c r="D178" s="1" t="n">
        <f aca="false">($B$76*(1-D$102))+($B$82*D$102)</f>
        <v>1907.7</v>
      </c>
      <c r="E178" s="1" t="n">
        <f aca="false">($B$76*(1-E$102))+($B$82*E$102)</f>
        <v>1907.7</v>
      </c>
      <c r="F178" s="1" t="n">
        <f aca="false">($B$76*(1-F$102))+($B$82*F$102)</f>
        <v>1907.7</v>
      </c>
      <c r="G178" s="1" t="n">
        <f aca="false">($B$76*(1-G$102))+($B$82*G$102)</f>
        <v>1907.7</v>
      </c>
      <c r="H178" s="1" t="n">
        <f aca="false">($B$76*(1-H$102))+($B$82*H$102)</f>
        <v>1907.7</v>
      </c>
      <c r="I178" s="1" t="n">
        <f aca="false">($B$76*(1-I$102))+($B$82*I$102)</f>
        <v>1903.41158654723</v>
      </c>
      <c r="J178" s="1" t="n">
        <f aca="false">($B$76*(1-J$102))+($B$82*J$102)</f>
        <v>1902.55390385668</v>
      </c>
      <c r="K178" s="1" t="n">
        <f aca="false">($B$76*(1-K$102))+($B$82*K$102)</f>
        <v>1901.52468462801</v>
      </c>
      <c r="L178" s="1" t="n">
        <f aca="false">($B$76*(1-L$102))+($B$82*L$102)</f>
        <v>1900.28962155362</v>
      </c>
      <c r="M178" s="1" t="n">
        <f aca="false">($B$76*(1-M$102))+($B$82*M$102)</f>
        <v>1898.80754586434</v>
      </c>
      <c r="N178" s="1" t="n">
        <f aca="false">($B$76*(1-N$102))+($B$82*N$102)</f>
        <v>1897.02905503721</v>
      </c>
      <c r="O178" s="1" t="n">
        <f aca="false">($B$76*(1-O$102))+($B$82*O$102)</f>
        <v>1896.06866999056</v>
      </c>
      <c r="P178" s="1" t="n">
        <f aca="false">($B$76*(1-P$102))+($B$82*P$102)</f>
        <v>1895.02185028971</v>
      </c>
      <c r="Q178" s="1" t="n">
        <f aca="false">($B$76*(1-Q$102))+($B$82*Q$102)</f>
        <v>1893.88081681578</v>
      </c>
      <c r="R178" s="1" t="n">
        <f aca="false">($B$76*(1-R$102))+($B$82*R$102)</f>
        <v>1892.6370903292</v>
      </c>
      <c r="S178" s="1" t="n">
        <f aca="false">($B$76*(1-S$102))+($B$82*S$102)</f>
        <v>1891.28142845883</v>
      </c>
      <c r="T178" s="1" t="n">
        <f aca="false">($B$76*(1-T$102))+($B$82*T$102)</f>
        <v>1889.80375702012</v>
      </c>
      <c r="U178" s="1" t="n">
        <f aca="false">($B$76*(1-U$102))+($B$82*U$102)</f>
        <v>1888.19309515194</v>
      </c>
      <c r="V178" s="1" t="n">
        <f aca="false">($B$76*(1-V$102))+($B$82*V$102)</f>
        <v>1886.43747371561</v>
      </c>
      <c r="W178" s="1" t="n">
        <f aca="false">($B$76*(1-W$102))+($B$82*W$102)</f>
        <v>1884.52384635002</v>
      </c>
      <c r="X178" s="1" t="n">
        <f aca="false">($B$76*(1-X$102))+($B$82*X$102)</f>
        <v>1882.43799252152</v>
      </c>
      <c r="Y178" s="1" t="n">
        <f aca="false">($B$76*(1-Y$102))+($B$82*Y$102)</f>
        <v>1880.16441184845</v>
      </c>
      <c r="Z178" s="1" t="n">
        <f aca="false">($B$76*(1-Z$102))+($B$82*Z$102)</f>
        <v>1877.68620891481</v>
      </c>
      <c r="AA178" s="1" t="n">
        <f aca="false">($B$76*(1-AA$102))+($B$82*AA$102)</f>
        <v>1874.98496771715</v>
      </c>
      <c r="AB178" s="1" t="n">
        <f aca="false">($B$76*(1-AB$102))+($B$82*AB$102)</f>
        <v>1872.04061481169</v>
      </c>
      <c r="AC178" s="1" t="n">
        <f aca="false">($B$76*(1-AC$102))+($B$82*AC$102)</f>
        <v>1868.83127014474</v>
      </c>
    </row>
    <row r="179" customFormat="false" ht="12.8" hidden="false" customHeight="false" outlineLevel="0" collapsed="false">
      <c r="A179" s="1" t="s">
        <v>41</v>
      </c>
      <c r="B179" s="1" t="n">
        <f aca="false">($C$60*(1-B$109))+($C$61*B$109)</f>
        <v>8018.82390447805</v>
      </c>
      <c r="C179" s="1" t="n">
        <f aca="false">($C$60*(1-C$109))+($C$61*C$109)</f>
        <v>8018.82390447805</v>
      </c>
      <c r="D179" s="1" t="n">
        <f aca="false">($C$60*(1-D$109))+($C$61*D$109)</f>
        <v>8010.01248770973</v>
      </c>
      <c r="E179" s="1" t="n">
        <f aca="false">($C$60*(1-E$109))+($C$61*E$109)</f>
        <v>7999.99493153052</v>
      </c>
      <c r="F179" s="1" t="n">
        <f aca="false">($C$60*(1-F$109))+($C$61*F$109)</f>
        <v>7988.50691766898</v>
      </c>
      <c r="G179" s="1" t="n">
        <f aca="false">($C$60*(1-G$109))+($C$61*G$109)</f>
        <v>7975.2427982402</v>
      </c>
      <c r="H179" s="1" t="n">
        <f aca="false">($C$60*(1-H$109))+($C$61*H$109)</f>
        <v>7959.85153822886</v>
      </c>
      <c r="I179" s="1" t="n">
        <f aca="false">($C$60*(1-I$109))+($C$61*I$109)</f>
        <v>7941.93358812977</v>
      </c>
      <c r="J179" s="1" t="n">
        <f aca="false">($C$60*(1-J$109))+($C$61*J$109)</f>
        <v>7921.03940955427</v>
      </c>
      <c r="K179" s="1" t="n">
        <f aca="false">($C$60*(1-K$109))+($C$61*K$109)</f>
        <v>7896.67059870907</v>
      </c>
      <c r="L179" s="1" t="n">
        <f aca="false">($C$60*(1-L$109))+($C$61*L$109)</f>
        <v>7868.28476708312</v>
      </c>
      <c r="M179" s="1" t="n">
        <f aca="false">($C$60*(1-M$109))+($C$61*M$109)</f>
        <v>7835.30549127895</v>
      </c>
      <c r="N179" s="1" t="n">
        <f aca="false">($C$60*(1-N$109))+($C$61*N$109)</f>
        <v>7797.1386509559</v>
      </c>
      <c r="O179" s="1" t="n">
        <f aca="false">($C$60*(1-O$109))+($C$61*O$109)</f>
        <v>7753.19622424323</v>
      </c>
      <c r="P179" s="1" t="n">
        <f aca="false">($C$60*(1-P$109))+($C$61*P$109)</f>
        <v>7702.92798288902</v>
      </c>
      <c r="Q179" s="1" t="n">
        <f aca="false">($C$60*(1-Q$109))+($C$61*Q$109)</f>
        <v>7645.86043515827</v>
      </c>
      <c r="R179" s="1" t="n">
        <f aca="false">($C$60*(1-R$109))+($C$61*R$109)</f>
        <v>7581.64081095815</v>
      </c>
      <c r="S179" s="1" t="n">
        <f aca="false">($C$60*(1-S$109))+($C$61*S$109)</f>
        <v>7510.08205423088</v>
      </c>
      <c r="T179" s="1" t="n">
        <f aca="false">($C$60*(1-T$109))+($C$61*T$109)</f>
        <v>7431.20309193678</v>
      </c>
      <c r="U179" s="1" t="n">
        <f aca="false">($C$60*(1-U$109))+($C$61*U$109)</f>
        <v>7345.25768697105</v>
      </c>
      <c r="V179" s="1" t="n">
        <f aca="false">($C$60*(1-V$109))+($C$61*V$109)</f>
        <v>7252.74557282085</v>
      </c>
      <c r="W179" s="1" t="n">
        <f aca="false">($C$60*(1-W$109))+($C$61*W$109)</f>
        <v>7154.40165656679</v>
      </c>
      <c r="X179" s="1" t="n">
        <f aca="false">($C$60*(1-X$109))+($C$61*X$109)</f>
        <v>7051.16264959675</v>
      </c>
      <c r="Y179" s="1" t="n">
        <f aca="false">($C$60*(1-Y$109))+($C$61*Y$109)</f>
        <v>6944.11468245688</v>
      </c>
      <c r="Z179" s="1" t="n">
        <f aca="false">($C$60*(1-Z$109))+($C$61*Z$109)</f>
        <v>6834.42903297423</v>
      </c>
      <c r="AA179" s="1" t="n">
        <f aca="false">($C$60*(1-AA$109))+($C$61*AA$109)</f>
        <v>6723.29493435148</v>
      </c>
      <c r="AB179" s="1" t="n">
        <f aca="false">($C$60*(1-AB$109))+($C$61*AB$109)</f>
        <v>6611.85806673312</v>
      </c>
      <c r="AC179" s="1" t="n">
        <f aca="false">($C$60*(1-AC$109))+($C$61*AC$109)</f>
        <v>6501.17112573423</v>
      </c>
    </row>
    <row r="180" customFormat="false" ht="12.8" hidden="false" customHeight="false" outlineLevel="0" collapsed="false">
      <c r="A180" s="1" t="s">
        <v>20</v>
      </c>
      <c r="B180" s="1" t="n">
        <f aca="false">SUM(B175:B179)</f>
        <v>10288.6433480329</v>
      </c>
      <c r="C180" s="1" t="n">
        <f aca="false">SUM(C175:C179)</f>
        <v>10288.6433480329</v>
      </c>
      <c r="D180" s="1" t="n">
        <f aca="false">SUM(D175:D179)</f>
        <v>10279.8319312646</v>
      </c>
      <c r="E180" s="1" t="n">
        <f aca="false">SUM(E175:E179)</f>
        <v>10269.8143750853</v>
      </c>
      <c r="F180" s="1" t="n">
        <f aca="false">SUM(F175:F179)</f>
        <v>10258.3263612238</v>
      </c>
      <c r="G180" s="1" t="n">
        <f aca="false">SUM(G175:G179)</f>
        <v>10245.062241795</v>
      </c>
      <c r="H180" s="1" t="n">
        <f aca="false">SUM(H175:H179)</f>
        <v>10229.6709817837</v>
      </c>
      <c r="I180" s="1" t="n">
        <f aca="false">SUM(I175:I179)</f>
        <v>10206.1876718983</v>
      </c>
      <c r="J180" s="1" t="n">
        <f aca="false">SUM(J175:J179)</f>
        <v>10184.088813169</v>
      </c>
      <c r="K180" s="1" t="n">
        <f aca="false">SUM(K175:K179)</f>
        <v>10158.28608111</v>
      </c>
      <c r="L180" s="1" t="n">
        <f aca="false">SUM(L175:L179)</f>
        <v>10128.1937722532</v>
      </c>
      <c r="M180" s="1" t="n">
        <f aca="false">SUM(M175:M179)</f>
        <v>10093.1847215524</v>
      </c>
      <c r="N180" s="1" t="n">
        <f aca="false">SUM(N175:N179)</f>
        <v>10052.6055393644</v>
      </c>
      <c r="O180" s="1" t="n">
        <f aca="false">SUM(O175:O179)</f>
        <v>10006.9729592371</v>
      </c>
      <c r="P180" s="1" t="n">
        <f aca="false">SUM(P175:P179)</f>
        <v>9954.8230746368</v>
      </c>
      <c r="Q180" s="1" t="n">
        <f aca="false">SUM(Q175:Q179)</f>
        <v>9895.66675125471</v>
      </c>
      <c r="R180" s="1" t="n">
        <f aca="false">SUM(R175:R179)</f>
        <v>9829.13688117315</v>
      </c>
      <c r="S180" s="1" t="n">
        <f aca="false">SUM(S175:S179)</f>
        <v>9755.03405945306</v>
      </c>
      <c r="T180" s="1" t="n">
        <f aca="false">SUM(T175:T179)</f>
        <v>9673.36745319737</v>
      </c>
      <c r="U180" s="1" t="n">
        <f aca="false">SUM(U175:U179)</f>
        <v>9584.3840587757</v>
      </c>
      <c r="V180" s="1" t="n">
        <f aca="false">SUM(V175:V179)</f>
        <v>9488.57993979813</v>
      </c>
      <c r="W180" s="1" t="n">
        <f aca="false">SUM(W175:W179)</f>
        <v>9386.68916186174</v>
      </c>
      <c r="X180" s="1" t="n">
        <f aca="false">SUM(X175:X179)</f>
        <v>9279.64977213827</v>
      </c>
      <c r="Y180" s="1" t="n">
        <f aca="false">SUM(Y175:Y179)</f>
        <v>9168.55043856971</v>
      </c>
      <c r="Z180" s="1" t="n">
        <f aca="false">SUM(Z175:Z179)</f>
        <v>9054.56499541744</v>
      </c>
      <c r="AA180" s="1" t="n">
        <f aca="false">SUM(AA175:AA179)</f>
        <v>8938.88400992271</v>
      </c>
      <c r="AB180" s="1" t="n">
        <f aca="false">SUM(AB175:AB179)</f>
        <v>8822.65211552626</v>
      </c>
      <c r="AC180" s="1" t="n">
        <f aca="false">SUM(AC175:AC179)</f>
        <v>8706.91761030054</v>
      </c>
    </row>
    <row r="182" customFormat="false" ht="12.8" hidden="false" customHeight="false" outlineLevel="0" collapsed="false">
      <c r="A182" s="1" t="s">
        <v>319</v>
      </c>
      <c r="B182" s="1" t="s">
        <v>43</v>
      </c>
      <c r="C182" s="1" t="n">
        <v>2024</v>
      </c>
      <c r="D182" s="1" t="n">
        <v>2025</v>
      </c>
      <c r="E182" s="1" t="n">
        <v>2026</v>
      </c>
      <c r="F182" s="1" t="n">
        <v>2027</v>
      </c>
      <c r="G182" s="1" t="n">
        <v>2028</v>
      </c>
      <c r="H182" s="1" t="n">
        <v>2029</v>
      </c>
      <c r="I182" s="1" t="n">
        <v>2030</v>
      </c>
      <c r="J182" s="1" t="n">
        <v>2031</v>
      </c>
      <c r="K182" s="1" t="n">
        <v>2032</v>
      </c>
      <c r="L182" s="1" t="n">
        <v>2033</v>
      </c>
      <c r="M182" s="1" t="n">
        <v>2034</v>
      </c>
      <c r="N182" s="1" t="n">
        <v>2035</v>
      </c>
      <c r="O182" s="1" t="n">
        <v>2036</v>
      </c>
      <c r="P182" s="1" t="n">
        <v>2037</v>
      </c>
      <c r="Q182" s="1" t="n">
        <v>2038</v>
      </c>
      <c r="R182" s="1" t="n">
        <v>2039</v>
      </c>
      <c r="S182" s="1" t="n">
        <v>2040</v>
      </c>
      <c r="T182" s="1" t="n">
        <v>2041</v>
      </c>
      <c r="U182" s="1" t="n">
        <v>2042</v>
      </c>
      <c r="V182" s="1" t="n">
        <v>2043</v>
      </c>
      <c r="W182" s="1" t="n">
        <v>2044</v>
      </c>
      <c r="X182" s="1" t="n">
        <v>2045</v>
      </c>
      <c r="Y182" s="1" t="n">
        <v>2046</v>
      </c>
      <c r="Z182" s="1" t="n">
        <v>2047</v>
      </c>
      <c r="AA182" s="1" t="n">
        <v>2048</v>
      </c>
      <c r="AB182" s="1" t="n">
        <v>2049</v>
      </c>
      <c r="AC182" s="1" t="n">
        <v>2050</v>
      </c>
    </row>
    <row r="183" customFormat="false" ht="12.8" hidden="false" customHeight="false" outlineLevel="0" collapsed="false">
      <c r="A183" s="1" t="s">
        <v>37</v>
      </c>
      <c r="B183" s="1" t="n">
        <f aca="false">($B$30*$B$28)+($B$40*$B$44)</f>
        <v>66.585808657411</v>
      </c>
      <c r="C183" s="1" t="n">
        <f aca="false">($B$30*$B$28)+($B$40*$B$44)</f>
        <v>66.585808657411</v>
      </c>
      <c r="D183" s="1" t="n">
        <f aca="false">($B$30*$B$33)+($B$46*$B$49)</f>
        <v>4.81240927215614</v>
      </c>
      <c r="E183" s="1" t="n">
        <f aca="false">($B$30*$B$33)+($B$46*$B$49)</f>
        <v>4.81240927215614</v>
      </c>
      <c r="F183" s="1" t="n">
        <f aca="false">($B$30*$B$33)+($B$46*$B$49)</f>
        <v>4.81240927215614</v>
      </c>
      <c r="G183" s="1" t="n">
        <f aca="false">($B$30*$B$33)+($B$46*$B$49)</f>
        <v>4.81240927215614</v>
      </c>
      <c r="H183" s="1" t="n">
        <f aca="false">($B$30*$B$33)+($B$46*$B$49)</f>
        <v>4.81240927215614</v>
      </c>
      <c r="I183" s="1" t="n">
        <f aca="false">($B$30*$B$33)+($B$46*$B$49)</f>
        <v>4.81240927215614</v>
      </c>
      <c r="J183" s="1" t="n">
        <f aca="false">($B$30*$B$33)+($B$46*$B$49)</f>
        <v>4.81240927215614</v>
      </c>
      <c r="K183" s="1" t="n">
        <f aca="false">($B$30*$B$33)+($B$46*$B$49)</f>
        <v>4.81240927215614</v>
      </c>
      <c r="L183" s="1" t="n">
        <f aca="false">$K183*0.9</f>
        <v>4.33116834494052</v>
      </c>
      <c r="M183" s="1" t="n">
        <f aca="false">L183</f>
        <v>4.33116834494052</v>
      </c>
      <c r="N183" s="1" t="n">
        <f aca="false">M183</f>
        <v>4.33116834494052</v>
      </c>
      <c r="O183" s="1" t="n">
        <f aca="false">N183</f>
        <v>4.33116834494052</v>
      </c>
      <c r="P183" s="1" t="n">
        <f aca="false">O183</f>
        <v>4.33116834494052</v>
      </c>
      <c r="Q183" s="1" t="n">
        <f aca="false">P183</f>
        <v>4.33116834494052</v>
      </c>
      <c r="R183" s="1" t="n">
        <f aca="false">Q183</f>
        <v>4.33116834494052</v>
      </c>
      <c r="S183" s="1" t="n">
        <f aca="false">$L183*0.9</f>
        <v>3.89805151044647</v>
      </c>
      <c r="T183" s="1" t="n">
        <f aca="false">S183</f>
        <v>3.89805151044647</v>
      </c>
      <c r="U183" s="1" t="n">
        <f aca="false">T183</f>
        <v>3.89805151044647</v>
      </c>
      <c r="V183" s="1" t="n">
        <f aca="false">U183</f>
        <v>3.89805151044647</v>
      </c>
      <c r="W183" s="1" t="n">
        <f aca="false">V183</f>
        <v>3.89805151044647</v>
      </c>
      <c r="X183" s="1" t="n">
        <f aca="false">W183</f>
        <v>3.89805151044647</v>
      </c>
      <c r="Y183" s="1" t="n">
        <f aca="false">X183</f>
        <v>3.89805151044647</v>
      </c>
      <c r="Z183" s="1" t="n">
        <f aca="false">$S183*0.9</f>
        <v>3.50824635940183</v>
      </c>
      <c r="AA183" s="1" t="n">
        <f aca="false">Z183</f>
        <v>3.50824635940183</v>
      </c>
      <c r="AB183" s="1" t="n">
        <f aca="false">$S183*0.9</f>
        <v>3.50824635940183</v>
      </c>
      <c r="AC183" s="1" t="n">
        <f aca="false">$S183*0.9</f>
        <v>3.50824635940183</v>
      </c>
    </row>
    <row r="184" customFormat="false" ht="12.8" hidden="false" customHeight="false" outlineLevel="0" collapsed="false">
      <c r="A184" s="1" t="s">
        <v>18</v>
      </c>
      <c r="B184" s="1" t="n">
        <f aca="false">$B$10</f>
        <v>114.47391312</v>
      </c>
      <c r="C184" s="1" t="n">
        <f aca="false">$B$10</f>
        <v>114.47391312</v>
      </c>
      <c r="D184" s="1" t="n">
        <f aca="false">$B$10</f>
        <v>114.47391312</v>
      </c>
      <c r="E184" s="1" t="n">
        <f aca="false">($B$18*0.25)+($B$10*0.75)</f>
        <v>87.1931351033335</v>
      </c>
      <c r="F184" s="141" t="n">
        <f aca="false">$B$18</f>
        <v>5.35080105333394</v>
      </c>
      <c r="G184" s="141" t="n">
        <f aca="false">$B$18</f>
        <v>5.35080105333394</v>
      </c>
      <c r="H184" s="141" t="n">
        <f aca="false">$B$18</f>
        <v>5.35080105333394</v>
      </c>
      <c r="I184" s="141" t="n">
        <f aca="false">$B$18</f>
        <v>5.35080105333394</v>
      </c>
      <c r="J184" s="141" t="n">
        <f aca="false">$B$18</f>
        <v>5.35080105333394</v>
      </c>
      <c r="K184" s="141" t="n">
        <f aca="false">$B$18</f>
        <v>5.35080105333394</v>
      </c>
      <c r="L184" s="141" t="n">
        <f aca="false">$B$18</f>
        <v>5.35080105333394</v>
      </c>
      <c r="M184" s="141" t="n">
        <f aca="false">$B$18</f>
        <v>5.35080105333394</v>
      </c>
      <c r="N184" s="141" t="n">
        <f aca="false">$B$18</f>
        <v>5.35080105333394</v>
      </c>
      <c r="O184" s="141" t="n">
        <f aca="false">$B$18</f>
        <v>5.35080105333394</v>
      </c>
      <c r="P184" s="141" t="n">
        <f aca="false">$B$18</f>
        <v>5.35080105333394</v>
      </c>
      <c r="Q184" s="141" t="n">
        <f aca="false">$B$18</f>
        <v>5.35080105333394</v>
      </c>
      <c r="R184" s="141" t="n">
        <f aca="false">$B$18</f>
        <v>5.35080105333394</v>
      </c>
      <c r="S184" s="141" t="n">
        <f aca="false">$B$18</f>
        <v>5.35080105333394</v>
      </c>
      <c r="T184" s="141" t="n">
        <f aca="false">$B$18</f>
        <v>5.35080105333394</v>
      </c>
      <c r="U184" s="141" t="n">
        <f aca="false">$B$18</f>
        <v>5.35080105333394</v>
      </c>
      <c r="V184" s="141" t="n">
        <f aca="false">$B$18</f>
        <v>5.35080105333394</v>
      </c>
      <c r="W184" s="141" t="n">
        <f aca="false">$B$18</f>
        <v>5.35080105333394</v>
      </c>
      <c r="X184" s="141" t="n">
        <f aca="false">$B$18</f>
        <v>5.35080105333394</v>
      </c>
      <c r="Y184" s="141" t="n">
        <f aca="false">$B$18</f>
        <v>5.35080105333394</v>
      </c>
      <c r="Z184" s="141" t="n">
        <f aca="false">$B$18</f>
        <v>5.35080105333394</v>
      </c>
      <c r="AA184" s="141" t="n">
        <f aca="false">$B$18</f>
        <v>5.35080105333394</v>
      </c>
      <c r="AB184" s="141" t="n">
        <f aca="false">$B$18</f>
        <v>5.35080105333394</v>
      </c>
      <c r="AC184" s="141" t="n">
        <f aca="false">$B$18</f>
        <v>5.35080105333394</v>
      </c>
      <c r="AD184" s="1"/>
    </row>
    <row r="185" customFormat="false" ht="12.8" hidden="false" customHeight="false" outlineLevel="0" collapsed="false">
      <c r="A185" s="3" t="s">
        <v>39</v>
      </c>
      <c r="B185" s="1" t="n">
        <f aca="false">SUM(B183:B184)</f>
        <v>181.059721777411</v>
      </c>
      <c r="C185" s="1" t="n">
        <f aca="false">SUM(C183:C184)</f>
        <v>181.059721777411</v>
      </c>
      <c r="D185" s="1" t="n">
        <f aca="false">SUM(D183:D184)</f>
        <v>119.286322392156</v>
      </c>
      <c r="E185" s="1" t="n">
        <f aca="false">SUM(E183:E184)</f>
        <v>92.0055443754896</v>
      </c>
      <c r="F185" s="1" t="n">
        <f aca="false">SUM(F183:F184)</f>
        <v>10.1632103254901</v>
      </c>
      <c r="G185" s="1" t="n">
        <f aca="false">SUM(G183:G184)</f>
        <v>10.1632103254901</v>
      </c>
      <c r="H185" s="1" t="n">
        <f aca="false">SUM(H183:H184)</f>
        <v>10.1632103254901</v>
      </c>
      <c r="I185" s="1" t="n">
        <f aca="false">SUM(I183:I184)</f>
        <v>10.1632103254901</v>
      </c>
      <c r="J185" s="1" t="n">
        <f aca="false">SUM(J183:J184)</f>
        <v>10.1632103254901</v>
      </c>
      <c r="K185" s="1" t="n">
        <f aca="false">SUM(K183:K184)</f>
        <v>10.1632103254901</v>
      </c>
      <c r="L185" s="1" t="n">
        <f aca="false">SUM(L183:L184)</f>
        <v>9.68196939827446</v>
      </c>
      <c r="M185" s="1" t="n">
        <f aca="false">SUM(M183:M184)</f>
        <v>9.68196939827446</v>
      </c>
      <c r="N185" s="1" t="n">
        <f aca="false">SUM(N183:N184)</f>
        <v>9.68196939827446</v>
      </c>
      <c r="O185" s="1" t="n">
        <f aca="false">SUM(O183:O184)</f>
        <v>9.68196939827446</v>
      </c>
      <c r="P185" s="1" t="n">
        <f aca="false">SUM(P183:P184)</f>
        <v>9.68196939827446</v>
      </c>
      <c r="Q185" s="1" t="n">
        <f aca="false">SUM(Q183:Q184)</f>
        <v>9.68196939827446</v>
      </c>
      <c r="R185" s="1" t="n">
        <f aca="false">SUM(R183:R184)</f>
        <v>9.68196939827446</v>
      </c>
      <c r="S185" s="1" t="n">
        <f aca="false">SUM(S183:S184)</f>
        <v>9.24885256378041</v>
      </c>
      <c r="T185" s="1" t="n">
        <f aca="false">SUM(T183:T184)</f>
        <v>9.24885256378041</v>
      </c>
      <c r="U185" s="1" t="n">
        <f aca="false">SUM(U183:U184)</f>
        <v>9.24885256378041</v>
      </c>
      <c r="V185" s="1" t="n">
        <f aca="false">SUM(V183:V184)</f>
        <v>9.24885256378041</v>
      </c>
      <c r="W185" s="1" t="n">
        <f aca="false">SUM(W183:W184)</f>
        <v>9.24885256378041</v>
      </c>
      <c r="X185" s="1" t="n">
        <f aca="false">SUM(X183:X184)</f>
        <v>9.24885256378041</v>
      </c>
      <c r="Y185" s="1" t="n">
        <f aca="false">SUM(Y183:Y184)</f>
        <v>9.24885256378041</v>
      </c>
      <c r="Z185" s="1" t="n">
        <f aca="false">SUM(Z183:Z184)</f>
        <v>8.85904741273576</v>
      </c>
      <c r="AA185" s="1" t="n">
        <f aca="false">SUM(AA183:AA184)</f>
        <v>8.85904741273576</v>
      </c>
      <c r="AB185" s="1" t="n">
        <f aca="false">SUM(AB183:AB184)</f>
        <v>8.85904741273576</v>
      </c>
      <c r="AC185" s="1" t="n">
        <f aca="false">SUM(AC183:AC184)</f>
        <v>8.85904741273576</v>
      </c>
      <c r="AD185" s="1"/>
    </row>
    <row r="186" customFormat="false" ht="12.8" hidden="false" customHeight="false" outlineLevel="0" collapsed="false">
      <c r="A186" s="1" t="s">
        <v>40</v>
      </c>
      <c r="B186" s="1" t="n">
        <f aca="false">($B$76*(1-B$102))+($B$82*B$102)</f>
        <v>1907.7</v>
      </c>
      <c r="C186" s="1" t="n">
        <f aca="false">($B$76*(1-C$102))+($B$82*C$102)</f>
        <v>1907.7</v>
      </c>
      <c r="D186" s="1" t="n">
        <f aca="false">($B$76*(1-D$102))+($B$82*D$102)</f>
        <v>1907.7</v>
      </c>
      <c r="E186" s="1" t="n">
        <f aca="false">($B$76*(1-E$102))+($B$82*E$102)</f>
        <v>1907.7</v>
      </c>
      <c r="F186" s="1" t="n">
        <f aca="false">($B$76*(1-F$102))+($B$82*F$102)</f>
        <v>1907.7</v>
      </c>
      <c r="G186" s="1" t="n">
        <f aca="false">($B$76*(1-G$102))+($B$82*G$102)</f>
        <v>1907.7</v>
      </c>
      <c r="H186" s="1" t="n">
        <f aca="false">($B$76*(1-H$102))+($B$82*H$102)</f>
        <v>1907.7</v>
      </c>
      <c r="I186" s="1" t="n">
        <f aca="false">($B$76*(1-I$102))+($B$82*I$102)</f>
        <v>1903.41158654723</v>
      </c>
      <c r="J186" s="1" t="n">
        <f aca="false">($B$76*(1-J$102))+($B$82*J$102)</f>
        <v>1902.55390385668</v>
      </c>
      <c r="K186" s="1" t="n">
        <f aca="false">($B$76*(1-K$102))+($B$82*K$102)</f>
        <v>1901.52468462801</v>
      </c>
      <c r="L186" s="1" t="n">
        <f aca="false">($B$76*(1-L$102))+($B$82*L$102)</f>
        <v>1900.28962155362</v>
      </c>
      <c r="M186" s="1" t="n">
        <f aca="false">($B$76*(1-M$102))+($B$82*M$102)</f>
        <v>1898.80754586434</v>
      </c>
      <c r="N186" s="1" t="n">
        <f aca="false">($B$76*(1-N$102))+($B$82*N$102)</f>
        <v>1897.02905503721</v>
      </c>
      <c r="O186" s="1" t="n">
        <f aca="false">($B$76*(1-O$102))+($B$82*O$102)</f>
        <v>1896.06866999056</v>
      </c>
      <c r="P186" s="1" t="n">
        <f aca="false">($B$76*(1-P$102))+($B$82*P$102)</f>
        <v>1895.02185028971</v>
      </c>
      <c r="Q186" s="1" t="n">
        <f aca="false">($B$76*(1-Q$102))+($B$82*Q$102)</f>
        <v>1893.88081681578</v>
      </c>
      <c r="R186" s="1" t="n">
        <f aca="false">($B$76*(1-R$102))+($B$82*R$102)</f>
        <v>1892.6370903292</v>
      </c>
      <c r="S186" s="1" t="n">
        <f aca="false">($B$76*(1-S$102))+($B$82*S$102)</f>
        <v>1891.28142845883</v>
      </c>
      <c r="T186" s="1" t="n">
        <f aca="false">($B$76*(1-T$102))+($B$82*T$102)</f>
        <v>1889.80375702012</v>
      </c>
      <c r="U186" s="1" t="n">
        <f aca="false">($B$76*(1-U$102))+($B$82*U$102)</f>
        <v>1888.19309515194</v>
      </c>
      <c r="V186" s="1" t="n">
        <f aca="false">($B$76*(1-V$102))+($B$82*V$102)</f>
        <v>1886.43747371561</v>
      </c>
      <c r="W186" s="1" t="n">
        <f aca="false">($B$76*(1-W$102))+($B$82*W$102)</f>
        <v>1884.52384635002</v>
      </c>
      <c r="X186" s="1" t="n">
        <f aca="false">($B$76*(1-X$102))+($B$82*X$102)</f>
        <v>1882.43799252152</v>
      </c>
      <c r="Y186" s="1" t="n">
        <f aca="false">($B$76*(1-Y$102))+($B$82*Y$102)</f>
        <v>1880.16441184845</v>
      </c>
      <c r="Z186" s="1" t="n">
        <f aca="false">($B$76*(1-Z$102))+($B$82*Z$102)</f>
        <v>1877.68620891481</v>
      </c>
      <c r="AA186" s="1" t="n">
        <f aca="false">($B$76*(1-AA$102))+($B$82*AA$102)</f>
        <v>1874.98496771715</v>
      </c>
      <c r="AB186" s="1" t="n">
        <f aca="false">($B$76*(1-AB$102))+($B$82*AB$102)</f>
        <v>1872.04061481169</v>
      </c>
      <c r="AC186" s="1" t="n">
        <f aca="false">($B$76*(1-AC$102))+($B$82*AC$102)</f>
        <v>1868.83127014474</v>
      </c>
      <c r="AD186" s="1"/>
    </row>
    <row r="187" customFormat="false" ht="12.8" hidden="false" customHeight="false" outlineLevel="0" collapsed="false">
      <c r="A187" s="1" t="s">
        <v>41</v>
      </c>
      <c r="B187" s="1" t="n">
        <f aca="false">($C$60*(1-B$109))+($C$61*B$109)</f>
        <v>8018.82390447805</v>
      </c>
      <c r="C187" s="1" t="n">
        <f aca="false">($C$60*(1-C$109))+($C$61*C$109)</f>
        <v>8018.82390447805</v>
      </c>
      <c r="D187" s="1" t="n">
        <f aca="false">($C$60*(1-D$109))+($C$61*D$109)</f>
        <v>8010.01248770973</v>
      </c>
      <c r="E187" s="1" t="n">
        <f aca="false">($C$60*(1-E$109))+($C$61*E$109)</f>
        <v>7999.99493153052</v>
      </c>
      <c r="F187" s="1" t="n">
        <f aca="false">($C$60*(1-F$109))+($C$61*F$109)</f>
        <v>7988.50691766898</v>
      </c>
      <c r="G187" s="1" t="n">
        <f aca="false">($C$60*(1-G$109))+($C$61*G$109)</f>
        <v>7975.2427982402</v>
      </c>
      <c r="H187" s="1" t="n">
        <f aca="false">($C$60*(1-H$109))+($C$61*H$109)</f>
        <v>7959.85153822886</v>
      </c>
      <c r="I187" s="1" t="n">
        <f aca="false">($C$60*(1-I$109))+($C$61*I$109)</f>
        <v>7941.93358812977</v>
      </c>
      <c r="J187" s="1" t="n">
        <f aca="false">($C$60*(1-J$109))+($C$61*J$109)</f>
        <v>7921.03940955427</v>
      </c>
      <c r="K187" s="1" t="n">
        <f aca="false">($C$60*(1-K$109))+($C$61*K$109)</f>
        <v>7896.67059870907</v>
      </c>
      <c r="L187" s="1" t="n">
        <f aca="false">($C$60*(1-L$109))+($C$61*L$109)</f>
        <v>7868.28476708312</v>
      </c>
      <c r="M187" s="1" t="n">
        <f aca="false">($C$60*(1-M$109))+($C$61*M$109)</f>
        <v>7835.30549127895</v>
      </c>
      <c r="N187" s="1" t="n">
        <f aca="false">($C$60*(1-N$109))+($C$61*N$109)</f>
        <v>7797.1386509559</v>
      </c>
      <c r="O187" s="1" t="n">
        <f aca="false">($C$60*(1-O$109))+($C$61*O$109)</f>
        <v>7753.19622424323</v>
      </c>
      <c r="P187" s="1" t="n">
        <f aca="false">($C$60*(1-P$109))+($C$61*P$109)</f>
        <v>7702.92798288902</v>
      </c>
      <c r="Q187" s="1" t="n">
        <f aca="false">($C$60*(1-Q$109))+($C$61*Q$109)</f>
        <v>7645.86043515827</v>
      </c>
      <c r="R187" s="1" t="n">
        <f aca="false">($C$60*(1-R$109))+($C$61*R$109)</f>
        <v>7581.64081095815</v>
      </c>
      <c r="S187" s="1" t="n">
        <f aca="false">($C$60*(1-S$109))+($C$61*S$109)</f>
        <v>7510.08205423088</v>
      </c>
      <c r="T187" s="1" t="n">
        <f aca="false">($C$60*(1-T$109))+($C$61*T$109)</f>
        <v>7431.20309193678</v>
      </c>
      <c r="U187" s="1" t="n">
        <f aca="false">($C$60*(1-U$109))+($C$61*U$109)</f>
        <v>7345.25768697105</v>
      </c>
      <c r="V187" s="1" t="n">
        <f aca="false">($C$60*(1-V$109))+($C$61*V$109)</f>
        <v>7252.74557282085</v>
      </c>
      <c r="W187" s="1" t="n">
        <f aca="false">($C$60*(1-W$109))+($C$61*W$109)</f>
        <v>7154.40165656679</v>
      </c>
      <c r="X187" s="1" t="n">
        <f aca="false">($C$60*(1-X$109))+($C$61*X$109)</f>
        <v>7051.16264959675</v>
      </c>
      <c r="Y187" s="1" t="n">
        <f aca="false">($C$60*(1-Y$109))+($C$61*Y$109)</f>
        <v>6944.11468245688</v>
      </c>
      <c r="Z187" s="1" t="n">
        <f aca="false">($C$60*(1-Z$109))+($C$61*Z$109)</f>
        <v>6834.42903297423</v>
      </c>
      <c r="AA187" s="1" t="n">
        <f aca="false">($C$60*(1-AA$109))+($C$61*AA$109)</f>
        <v>6723.29493435148</v>
      </c>
      <c r="AB187" s="1" t="n">
        <f aca="false">($C$60*(1-AB$109))+($C$61*AB$109)</f>
        <v>6611.85806673312</v>
      </c>
      <c r="AC187" s="1" t="n">
        <f aca="false">($C$60*(1-AC$109))+($C$61*AC$109)</f>
        <v>6501.17112573423</v>
      </c>
    </row>
    <row r="188" customFormat="false" ht="12.8" hidden="false" customHeight="false" outlineLevel="0" collapsed="false">
      <c r="A188" s="1" t="s">
        <v>20</v>
      </c>
      <c r="B188" s="1" t="n">
        <f aca="false">SUM(B183:B187)</f>
        <v>10288.6433480329</v>
      </c>
      <c r="C188" s="1" t="n">
        <f aca="false">SUM(C183:C187)</f>
        <v>10288.6433480329</v>
      </c>
      <c r="D188" s="1" t="n">
        <f aca="false">SUM(D183:D187)</f>
        <v>10156.285132494</v>
      </c>
      <c r="E188" s="1" t="n">
        <f aca="false">SUM(E183:E187)</f>
        <v>10091.7060202815</v>
      </c>
      <c r="F188" s="1" t="n">
        <f aca="false">SUM(F183:F187)</f>
        <v>9916.53333831996</v>
      </c>
      <c r="G188" s="1" t="n">
        <f aca="false">SUM(G183:G187)</f>
        <v>9903.26921889118</v>
      </c>
      <c r="H188" s="1" t="n">
        <f aca="false">SUM(H183:H187)</f>
        <v>9887.87795887984</v>
      </c>
      <c r="I188" s="1" t="n">
        <f aca="false">SUM(I183:I187)</f>
        <v>9865.67159532799</v>
      </c>
      <c r="J188" s="1" t="n">
        <f aca="false">SUM(J183:J187)</f>
        <v>9843.91973406193</v>
      </c>
      <c r="K188" s="1" t="n">
        <f aca="false">SUM(K183:K187)</f>
        <v>9818.52170398807</v>
      </c>
      <c r="L188" s="1" t="n">
        <f aca="false">SUM(L183:L187)</f>
        <v>9787.93832743329</v>
      </c>
      <c r="M188" s="1" t="n">
        <f aca="false">SUM(M183:M187)</f>
        <v>9753.47697593984</v>
      </c>
      <c r="N188" s="1" t="n">
        <f aca="false">SUM(N183:N187)</f>
        <v>9713.53164478966</v>
      </c>
      <c r="O188" s="1" t="n">
        <f aca="false">SUM(O183:O187)</f>
        <v>9668.62883303034</v>
      </c>
      <c r="P188" s="1" t="n">
        <f aca="false">SUM(P183:P187)</f>
        <v>9617.31377197528</v>
      </c>
      <c r="Q188" s="1" t="n">
        <f aca="false">SUM(Q183:Q187)</f>
        <v>9559.1051907706</v>
      </c>
      <c r="R188" s="1" t="n">
        <f aca="false">SUM(R183:R187)</f>
        <v>9493.6418400839</v>
      </c>
      <c r="S188" s="1" t="n">
        <f aca="false">SUM(S183:S187)</f>
        <v>9419.86118781727</v>
      </c>
      <c r="T188" s="1" t="n">
        <f aca="false">SUM(T183:T187)</f>
        <v>9339.50455408447</v>
      </c>
      <c r="U188" s="1" t="n">
        <f aca="false">SUM(U183:U187)</f>
        <v>9251.94848725054</v>
      </c>
      <c r="V188" s="1" t="n">
        <f aca="false">SUM(V183:V187)</f>
        <v>9157.68075166402</v>
      </c>
      <c r="W188" s="1" t="n">
        <f aca="false">SUM(W183:W187)</f>
        <v>9057.42320804436</v>
      </c>
      <c r="X188" s="1" t="n">
        <f aca="false">SUM(X183:X187)</f>
        <v>8952.09834724583</v>
      </c>
      <c r="Y188" s="1" t="n">
        <f aca="false">SUM(Y183:Y187)</f>
        <v>8842.77679943289</v>
      </c>
      <c r="Z188" s="1" t="n">
        <f aca="false">SUM(Z183:Z187)</f>
        <v>8729.83333671451</v>
      </c>
      <c r="AA188" s="1" t="n">
        <f aca="false">SUM(AA183:AA187)</f>
        <v>8615.99799689409</v>
      </c>
      <c r="AB188" s="1" t="n">
        <f aca="false">SUM(AB183:AB187)</f>
        <v>8501.61677637028</v>
      </c>
      <c r="AC188" s="1" t="n">
        <f aca="false">SUM(AC183:AC187)</f>
        <v>8387.72049070444</v>
      </c>
    </row>
    <row r="189" customFormat="false" ht="12.8" hidden="false" customHeight="false" outlineLevel="0" collapsed="false">
      <c r="A189" s="1" t="s">
        <v>320</v>
      </c>
      <c r="B189" s="1" t="s">
        <v>43</v>
      </c>
      <c r="C189" s="1" t="n">
        <v>2024</v>
      </c>
      <c r="D189" s="1" t="n">
        <v>2025</v>
      </c>
      <c r="E189" s="1" t="n">
        <v>2026</v>
      </c>
      <c r="F189" s="1" t="n">
        <v>2027</v>
      </c>
      <c r="G189" s="1" t="n">
        <v>2028</v>
      </c>
      <c r="H189" s="1" t="n">
        <v>2029</v>
      </c>
      <c r="I189" s="1" t="n">
        <v>2030</v>
      </c>
      <c r="J189" s="1" t="n">
        <v>2031</v>
      </c>
      <c r="K189" s="1" t="n">
        <v>2032</v>
      </c>
      <c r="L189" s="1" t="n">
        <v>2033</v>
      </c>
      <c r="M189" s="1" t="n">
        <v>2034</v>
      </c>
      <c r="N189" s="1" t="n">
        <v>2035</v>
      </c>
      <c r="O189" s="1" t="n">
        <v>2036</v>
      </c>
      <c r="P189" s="1" t="n">
        <v>2037</v>
      </c>
      <c r="Q189" s="1" t="n">
        <v>2038</v>
      </c>
      <c r="R189" s="1" t="n">
        <v>2039</v>
      </c>
      <c r="S189" s="1" t="n">
        <v>2040</v>
      </c>
      <c r="T189" s="1" t="n">
        <v>2041</v>
      </c>
      <c r="U189" s="1" t="n">
        <v>2042</v>
      </c>
      <c r="V189" s="1" t="n">
        <v>2043</v>
      </c>
      <c r="W189" s="1" t="n">
        <v>2044</v>
      </c>
      <c r="X189" s="1" t="n">
        <v>2045</v>
      </c>
      <c r="Y189" s="1" t="n">
        <v>2046</v>
      </c>
      <c r="Z189" s="1" t="n">
        <v>2047</v>
      </c>
      <c r="AA189" s="1" t="n">
        <v>2048</v>
      </c>
      <c r="AB189" s="1" t="n">
        <v>2049</v>
      </c>
      <c r="AC189" s="1" t="n">
        <v>2050</v>
      </c>
    </row>
    <row r="190" customFormat="false" ht="12.8" hidden="false" customHeight="false" outlineLevel="0" collapsed="false">
      <c r="A190" s="1" t="s">
        <v>37</v>
      </c>
      <c r="B190" s="1" t="n">
        <f aca="false">($B$30*$B$28)+($B$40*$B$44)</f>
        <v>66.585808657411</v>
      </c>
      <c r="C190" s="1" t="n">
        <f aca="false">($B$30*$B$28)+($B$40*$B$44)</f>
        <v>66.585808657411</v>
      </c>
      <c r="D190" s="1" t="n">
        <f aca="false">($B$30*$B$33)+($B$46*$B$49)</f>
        <v>4.81240927215614</v>
      </c>
      <c r="E190" s="1" t="n">
        <f aca="false">($B$30*$B$33)+($B$46*$B$49)</f>
        <v>4.81240927215614</v>
      </c>
      <c r="F190" s="1" t="n">
        <f aca="false">($B$30*$B$33)+($B$46*$B$49)</f>
        <v>4.81240927215614</v>
      </c>
      <c r="G190" s="1" t="n">
        <f aca="false">($B$30*$B$33)+($B$46*$B$49)</f>
        <v>4.81240927215614</v>
      </c>
      <c r="H190" s="1" t="n">
        <f aca="false">($B$30*$B$33)+($B$46*$B$49)</f>
        <v>4.81240927215614</v>
      </c>
      <c r="I190" s="1" t="n">
        <f aca="false">($B$30*$B$33)+($B$46*$B$49)</f>
        <v>4.81240927215614</v>
      </c>
      <c r="J190" s="1" t="n">
        <f aca="false">($B$30*$B$33)+($B$46*$B$49)</f>
        <v>4.81240927215614</v>
      </c>
      <c r="K190" s="1" t="n">
        <f aca="false">($B$30*$B$33)+($B$46*$B$49)</f>
        <v>4.81240927215614</v>
      </c>
      <c r="L190" s="1" t="n">
        <f aca="false">$K190*0.9</f>
        <v>4.33116834494052</v>
      </c>
      <c r="M190" s="1" t="n">
        <v>22.0256904333107</v>
      </c>
      <c r="N190" s="1" t="n">
        <v>22.0256904333107</v>
      </c>
      <c r="O190" s="1" t="n">
        <v>22.0256904333107</v>
      </c>
      <c r="P190" s="1" t="n">
        <v>22.0256904333107</v>
      </c>
      <c r="Q190" s="1" t="n">
        <v>22.0256904333107</v>
      </c>
      <c r="R190" s="1" t="n">
        <v>22.0256904333107</v>
      </c>
      <c r="S190" s="1" t="n">
        <f aca="false">$L190*0.9</f>
        <v>3.89805151044647</v>
      </c>
      <c r="T190" s="1" t="n">
        <v>19.8231213899797</v>
      </c>
      <c r="U190" s="1" t="n">
        <v>19.8231213899797</v>
      </c>
      <c r="V190" s="1" t="n">
        <v>19.8231213899797</v>
      </c>
      <c r="W190" s="1" t="n">
        <v>19.8231213899797</v>
      </c>
      <c r="X190" s="1" t="n">
        <v>19.8231213899797</v>
      </c>
      <c r="Y190" s="1" t="n">
        <v>19.8231213899797</v>
      </c>
      <c r="Z190" s="1" t="n">
        <f aca="false">$S190*0.9</f>
        <v>3.50824635940183</v>
      </c>
      <c r="AA190" s="1" t="n">
        <v>17.8408092509817</v>
      </c>
      <c r="AB190" s="1" t="n">
        <f aca="false">$S190*0.9</f>
        <v>3.50824635940183</v>
      </c>
      <c r="AC190" s="1" t="n">
        <f aca="false">$S190*0.9</f>
        <v>3.50824635940183</v>
      </c>
    </row>
    <row r="191" customFormat="false" ht="12.8" hidden="false" customHeight="false" outlineLevel="0" collapsed="false">
      <c r="A191" s="1" t="s">
        <v>18</v>
      </c>
      <c r="B191" s="1" t="n">
        <f aca="false">$B$10</f>
        <v>114.47391312</v>
      </c>
      <c r="C191" s="1" t="n">
        <f aca="false">$B$10</f>
        <v>114.47391312</v>
      </c>
      <c r="D191" s="1" t="n">
        <f aca="false">$B$10</f>
        <v>114.47391312</v>
      </c>
      <c r="E191" s="1" t="n">
        <f aca="false">($B$18*0.25)+($B$10*0.75)</f>
        <v>87.1931351033335</v>
      </c>
      <c r="F191" s="141" t="n">
        <f aca="false">$B$18</f>
        <v>5.35080105333394</v>
      </c>
      <c r="G191" s="141" t="n">
        <f aca="false">$B$18</f>
        <v>5.35080105333394</v>
      </c>
      <c r="H191" s="141" t="n">
        <f aca="false">$B$18</f>
        <v>5.35080105333394</v>
      </c>
      <c r="I191" s="141" t="n">
        <f aca="false">$B$18</f>
        <v>5.35080105333394</v>
      </c>
      <c r="J191" s="141" t="n">
        <f aca="false">$B$18</f>
        <v>5.35080105333394</v>
      </c>
      <c r="K191" s="141" t="n">
        <f aca="false">$B$18</f>
        <v>5.35080105333394</v>
      </c>
      <c r="L191" s="141" t="n">
        <f aca="false">$B$18</f>
        <v>5.35080105333394</v>
      </c>
      <c r="M191" s="141" t="n">
        <f aca="false">$B$18</f>
        <v>5.35080105333394</v>
      </c>
      <c r="N191" s="141" t="n">
        <f aca="false">$B$18</f>
        <v>5.35080105333394</v>
      </c>
      <c r="O191" s="141" t="n">
        <f aca="false">$B$18</f>
        <v>5.35080105333394</v>
      </c>
      <c r="P191" s="141" t="n">
        <f aca="false">$B$18</f>
        <v>5.35080105333394</v>
      </c>
      <c r="Q191" s="141" t="n">
        <f aca="false">$B$18</f>
        <v>5.35080105333394</v>
      </c>
      <c r="R191" s="141" t="n">
        <f aca="false">$B$18</f>
        <v>5.35080105333394</v>
      </c>
      <c r="S191" s="141" t="n">
        <f aca="false">$B$18</f>
        <v>5.35080105333394</v>
      </c>
      <c r="T191" s="141" t="n">
        <f aca="false">$B$18</f>
        <v>5.35080105333394</v>
      </c>
      <c r="U191" s="141" t="n">
        <f aca="false">$B$18</f>
        <v>5.35080105333394</v>
      </c>
      <c r="V191" s="141" t="n">
        <f aca="false">$B$18</f>
        <v>5.35080105333394</v>
      </c>
      <c r="W191" s="141" t="n">
        <f aca="false">$B$18</f>
        <v>5.35080105333394</v>
      </c>
      <c r="X191" s="141" t="n">
        <f aca="false">$B$18</f>
        <v>5.35080105333394</v>
      </c>
      <c r="Y191" s="141" t="n">
        <f aca="false">$B$18</f>
        <v>5.35080105333394</v>
      </c>
      <c r="Z191" s="141" t="n">
        <f aca="false">$B$18</f>
        <v>5.35080105333394</v>
      </c>
      <c r="AA191" s="141" t="n">
        <f aca="false">$B$18</f>
        <v>5.35080105333394</v>
      </c>
      <c r="AB191" s="141" t="n">
        <f aca="false">$B$18</f>
        <v>5.35080105333394</v>
      </c>
      <c r="AC191" s="141" t="n">
        <f aca="false">$B$18</f>
        <v>5.35080105333394</v>
      </c>
    </row>
    <row r="192" customFormat="false" ht="12.8" hidden="false" customHeight="false" outlineLevel="0" collapsed="false">
      <c r="A192" s="3" t="s">
        <v>39</v>
      </c>
      <c r="B192" s="1" t="n">
        <f aca="false">SUM(B190:B191)</f>
        <v>181.059721777411</v>
      </c>
      <c r="C192" s="1" t="n">
        <f aca="false">SUM(C190:C191)</f>
        <v>181.059721777411</v>
      </c>
      <c r="D192" s="1" t="n">
        <f aca="false">SUM(D190:D191)</f>
        <v>119.286322392156</v>
      </c>
      <c r="E192" s="1" t="n">
        <f aca="false">SUM(E190:E191)</f>
        <v>92.0055443754896</v>
      </c>
      <c r="F192" s="1" t="n">
        <f aca="false">SUM(F190:F191)</f>
        <v>10.1632103254901</v>
      </c>
      <c r="G192" s="1" t="n">
        <f aca="false">SUM(G190:G191)</f>
        <v>10.1632103254901</v>
      </c>
      <c r="H192" s="1" t="n">
        <f aca="false">SUM(H190:H191)</f>
        <v>10.1632103254901</v>
      </c>
      <c r="I192" s="1" t="n">
        <f aca="false">SUM(I190:I191)</f>
        <v>10.1632103254901</v>
      </c>
      <c r="J192" s="1" t="n">
        <f aca="false">SUM(J190:J191)</f>
        <v>10.1632103254901</v>
      </c>
      <c r="K192" s="1" t="n">
        <f aca="false">SUM(K190:K191)</f>
        <v>10.1632103254901</v>
      </c>
      <c r="L192" s="1" t="n">
        <f aca="false">SUM(L190:L191)</f>
        <v>9.68196939827446</v>
      </c>
      <c r="M192" s="1" t="n">
        <f aca="false">SUM(M190:M191)</f>
        <v>27.3764914866446</v>
      </c>
      <c r="N192" s="1" t="n">
        <f aca="false">SUM(N190:N191)</f>
        <v>27.3764914866446</v>
      </c>
      <c r="O192" s="1" t="n">
        <f aca="false">SUM(O190:O191)</f>
        <v>27.3764914866446</v>
      </c>
      <c r="P192" s="1" t="n">
        <f aca="false">SUM(P190:P191)</f>
        <v>27.3764914866446</v>
      </c>
      <c r="Q192" s="1" t="n">
        <f aca="false">SUM(Q190:Q191)</f>
        <v>27.3764914866446</v>
      </c>
      <c r="R192" s="1" t="n">
        <f aca="false">SUM(R190:R191)</f>
        <v>27.3764914866446</v>
      </c>
      <c r="S192" s="1" t="n">
        <f aca="false">SUM(S190:S191)</f>
        <v>9.24885256378041</v>
      </c>
      <c r="T192" s="1" t="n">
        <f aca="false">SUM(T190:T191)</f>
        <v>25.1739224433136</v>
      </c>
      <c r="U192" s="1" t="n">
        <f aca="false">SUM(U190:U191)</f>
        <v>25.1739224433136</v>
      </c>
      <c r="V192" s="1" t="n">
        <f aca="false">SUM(V190:V191)</f>
        <v>25.1739224433136</v>
      </c>
      <c r="W192" s="1" t="n">
        <f aca="false">SUM(W190:W191)</f>
        <v>25.1739224433136</v>
      </c>
      <c r="X192" s="1" t="n">
        <f aca="false">SUM(X190:X191)</f>
        <v>25.1739224433136</v>
      </c>
      <c r="Y192" s="1" t="n">
        <f aca="false">SUM(Y190:Y191)</f>
        <v>25.1739224433136</v>
      </c>
      <c r="Z192" s="1" t="n">
        <f aca="false">SUM(Z190:Z191)</f>
        <v>8.85904741273576</v>
      </c>
      <c r="AA192" s="1" t="n">
        <f aca="false">SUM(AA190:AA191)</f>
        <v>23.1916103043156</v>
      </c>
      <c r="AB192" s="1" t="n">
        <f aca="false">SUM(AB190:AB191)</f>
        <v>8.85904741273576</v>
      </c>
      <c r="AC192" s="1" t="n">
        <f aca="false">SUM(AC190:AC191)</f>
        <v>8.85904741273576</v>
      </c>
    </row>
    <row r="193" customFormat="false" ht="12.8" hidden="false" customHeight="false" outlineLevel="0" collapsed="false">
      <c r="A193" s="1" t="s">
        <v>40</v>
      </c>
      <c r="B193" s="1" t="n">
        <f aca="false">($B$76*(1-B$102))+($B$82*B$102)</f>
        <v>1907.7</v>
      </c>
      <c r="C193" s="1" t="n">
        <f aca="false">($B$76*(1-C$102))+($B$82*C$102)</f>
        <v>1907.7</v>
      </c>
      <c r="D193" s="1" t="n">
        <f aca="false">($B$76*(1-D$102))+($B$82*D$102)</f>
        <v>1907.7</v>
      </c>
      <c r="E193" s="1" t="n">
        <f aca="false">($B$76*(1-E$102))+($B$82*E$102)</f>
        <v>1907.7</v>
      </c>
      <c r="F193" s="1" t="n">
        <f aca="false">($B$76*(1-F$102))+($B$82*F$102)</f>
        <v>1907.7</v>
      </c>
      <c r="G193" s="1" t="n">
        <f aca="false">($B$76*(1-G$102))+($B$82*G$102)</f>
        <v>1907.7</v>
      </c>
      <c r="H193" s="1" t="n">
        <f aca="false">($B$76*(1-H$102))+($B$82*H$102)</f>
        <v>1907.7</v>
      </c>
      <c r="I193" s="1" t="n">
        <f aca="false">($B$76*(1-I$102))+($B$82*I$102)</f>
        <v>1903.41158654723</v>
      </c>
      <c r="J193" s="1" t="n">
        <f aca="false">($B$76*(1-J$102))+($B$82*J$102)</f>
        <v>1902.55390385668</v>
      </c>
      <c r="K193" s="1" t="n">
        <f aca="false">($B$76*(1-K$102))+($B$82*K$102)</f>
        <v>1901.52468462801</v>
      </c>
      <c r="L193" s="1" t="n">
        <f aca="false">($B$76*(1-L$102))+($B$82*L$102)</f>
        <v>1900.28962155362</v>
      </c>
      <c r="M193" s="1" t="n">
        <f aca="false">($B$76*(1-M$102))+($B$82*M$102)</f>
        <v>1898.80754586434</v>
      </c>
      <c r="N193" s="1" t="n">
        <f aca="false">($B$76*(1-N$102))+($B$82*N$102)</f>
        <v>1897.02905503721</v>
      </c>
      <c r="O193" s="1" t="n">
        <f aca="false">($B$76*(1-O$102))+($B$82*O$102)</f>
        <v>1896.06866999056</v>
      </c>
      <c r="P193" s="1" t="n">
        <f aca="false">($B$76*(1-P$102))+($B$82*P$102)</f>
        <v>1895.02185028971</v>
      </c>
      <c r="Q193" s="1" t="n">
        <f aca="false">($B$76*(1-Q$102))+($B$82*Q$102)</f>
        <v>1893.88081681578</v>
      </c>
      <c r="R193" s="1" t="n">
        <f aca="false">($B$76*(1-R$102))+($B$82*R$102)</f>
        <v>1892.6370903292</v>
      </c>
      <c r="S193" s="1" t="n">
        <f aca="false">($B$76*(1-S$102))+($B$82*S$102)</f>
        <v>1891.28142845883</v>
      </c>
      <c r="T193" s="1" t="n">
        <f aca="false">($B$76*(1-T$102))+($B$82*T$102)</f>
        <v>1889.80375702012</v>
      </c>
      <c r="U193" s="1" t="n">
        <f aca="false">($B$76*(1-U$102))+($B$82*U$102)</f>
        <v>1888.19309515194</v>
      </c>
      <c r="V193" s="1" t="n">
        <f aca="false">($B$76*(1-V$102))+($B$82*V$102)</f>
        <v>1886.43747371561</v>
      </c>
      <c r="W193" s="1" t="n">
        <f aca="false">($B$76*(1-W$102))+($B$82*W$102)</f>
        <v>1884.52384635002</v>
      </c>
      <c r="X193" s="1" t="n">
        <f aca="false">($B$76*(1-X$102))+($B$82*X$102)</f>
        <v>1882.43799252152</v>
      </c>
      <c r="Y193" s="1" t="n">
        <f aca="false">($B$76*(1-Y$102))+($B$82*Y$102)</f>
        <v>1880.16441184845</v>
      </c>
      <c r="Z193" s="1" t="n">
        <f aca="false">($B$76*(1-Z$102))+($B$82*Z$102)</f>
        <v>1877.68620891481</v>
      </c>
      <c r="AA193" s="1" t="n">
        <f aca="false">($B$76*(1-AA$102))+($B$82*AA$102)</f>
        <v>1874.98496771715</v>
      </c>
      <c r="AB193" s="1" t="n">
        <f aca="false">($B$76*(1-AB$102))+($B$82*AB$102)</f>
        <v>1872.04061481169</v>
      </c>
      <c r="AC193" s="1" t="n">
        <f aca="false">($B$76*(1-AC$102))+($B$82*AC$102)</f>
        <v>1868.83127014474</v>
      </c>
    </row>
    <row r="194" customFormat="false" ht="12.8" hidden="false" customHeight="false" outlineLevel="0" collapsed="false">
      <c r="A194" s="1" t="s">
        <v>41</v>
      </c>
      <c r="B194" s="1" t="n">
        <f aca="false">($C$60*(1-B$109))+($C$61*B$109)</f>
        <v>8018.82390447805</v>
      </c>
      <c r="C194" s="1" t="n">
        <f aca="false">($C$60*(1-C$109))+($C$61*C$109)</f>
        <v>8018.82390447805</v>
      </c>
      <c r="D194" s="1" t="n">
        <f aca="false">($C$60*(1-D$109))+($C$61*D$109)</f>
        <v>8010.01248770973</v>
      </c>
      <c r="E194" s="1" t="n">
        <f aca="false">($C$60*(1-E$109))+($C$61*E$109)</f>
        <v>7999.99493153052</v>
      </c>
      <c r="F194" s="1" t="n">
        <f aca="false">($C$60*(1-F$109))+($C$61*F$109)</f>
        <v>7988.50691766898</v>
      </c>
      <c r="G194" s="1" t="n">
        <f aca="false">($C$60*(1-G$109))+($C$61*G$109)</f>
        <v>7975.2427982402</v>
      </c>
      <c r="H194" s="1" t="n">
        <f aca="false">($C$60*(1-H$109))+($C$61*H$109)</f>
        <v>7959.85153822886</v>
      </c>
      <c r="I194" s="1" t="n">
        <f aca="false">($C$60*(1-I$109))+($C$61*I$109)</f>
        <v>7941.93358812977</v>
      </c>
      <c r="J194" s="1" t="n">
        <f aca="false">($C$60*(1-J$109))+($C$61*J$109)</f>
        <v>7921.03940955427</v>
      </c>
      <c r="K194" s="1" t="n">
        <f aca="false">($C$60*(1-K$109))+($C$61*K$109)</f>
        <v>7896.67059870907</v>
      </c>
      <c r="L194" s="1" t="n">
        <f aca="false">($C$60*(1-L$109))+($C$61*L$109)</f>
        <v>7868.28476708312</v>
      </c>
      <c r="M194" s="1" t="n">
        <f aca="false">($C$60*(1-M$109))+($C$61*M$109)</f>
        <v>7835.30549127895</v>
      </c>
      <c r="N194" s="1" t="n">
        <f aca="false">($C$60*(1-N$109))+($C$61*N$109)</f>
        <v>7797.1386509559</v>
      </c>
      <c r="O194" s="1" t="n">
        <f aca="false">($C$60*(1-O$109))+($C$61*O$109)</f>
        <v>7753.19622424323</v>
      </c>
      <c r="P194" s="1" t="n">
        <f aca="false">($C$60*(1-P$109))+($C$61*P$109)</f>
        <v>7702.92798288902</v>
      </c>
      <c r="Q194" s="1" t="n">
        <f aca="false">($C$60*(1-Q$109))+($C$61*Q$109)</f>
        <v>7645.86043515827</v>
      </c>
      <c r="R194" s="1" t="n">
        <f aca="false">($C$60*(1-R$109))+($C$61*R$109)</f>
        <v>7581.64081095815</v>
      </c>
      <c r="S194" s="1" t="n">
        <f aca="false">($C$60*(1-S$109))+($C$61*S$109)</f>
        <v>7510.08205423088</v>
      </c>
      <c r="T194" s="1" t="n">
        <f aca="false">($C$60*(1-T$109))+($C$61*T$109)</f>
        <v>7431.20309193678</v>
      </c>
      <c r="U194" s="1" t="n">
        <f aca="false">($C$60*(1-U$109))+($C$61*U$109)</f>
        <v>7345.25768697105</v>
      </c>
      <c r="V194" s="1" t="n">
        <f aca="false">($C$60*(1-V$109))+($C$61*V$109)</f>
        <v>7252.74557282085</v>
      </c>
      <c r="W194" s="1" t="n">
        <f aca="false">($C$60*(1-W$109))+($C$61*W$109)</f>
        <v>7154.40165656679</v>
      </c>
      <c r="X194" s="1" t="n">
        <f aca="false">($C$60*(1-X$109))+($C$61*X$109)</f>
        <v>7051.16264959675</v>
      </c>
      <c r="Y194" s="1" t="n">
        <f aca="false">($C$60*(1-Y$109))+($C$61*Y$109)</f>
        <v>6944.11468245688</v>
      </c>
      <c r="Z194" s="1" t="n">
        <f aca="false">($C$60*(1-Z$109))+($C$61*Z$109)</f>
        <v>6834.42903297423</v>
      </c>
      <c r="AA194" s="1" t="n">
        <f aca="false">($C$60*(1-AA$109))+($C$61*AA$109)</f>
        <v>6723.29493435148</v>
      </c>
      <c r="AB194" s="1" t="n">
        <f aca="false">($C$60*(1-AB$109))+($C$61*AB$109)</f>
        <v>6611.85806673312</v>
      </c>
      <c r="AC194" s="1" t="n">
        <f aca="false">($C$60*(1-AC$109))+($C$61*AC$109)</f>
        <v>6501.17112573423</v>
      </c>
    </row>
    <row r="195" customFormat="false" ht="12.8" hidden="false" customHeight="false" outlineLevel="0" collapsed="false">
      <c r="A195" s="1" t="s">
        <v>20</v>
      </c>
      <c r="B195" s="1" t="n">
        <f aca="false">SUM(B190:B194)</f>
        <v>10288.6433480329</v>
      </c>
      <c r="C195" s="1" t="n">
        <f aca="false">SUM(C190:C194)</f>
        <v>10288.6433480329</v>
      </c>
      <c r="D195" s="1" t="n">
        <f aca="false">SUM(D190:D194)</f>
        <v>10156.285132494</v>
      </c>
      <c r="E195" s="1" t="n">
        <f aca="false">SUM(E190:E194)</f>
        <v>10091.7060202815</v>
      </c>
      <c r="F195" s="1" t="n">
        <f aca="false">SUM(F190:F194)</f>
        <v>9916.53333831996</v>
      </c>
      <c r="G195" s="1" t="n">
        <f aca="false">SUM(G190:G194)</f>
        <v>9903.26921889118</v>
      </c>
      <c r="H195" s="1" t="n">
        <f aca="false">SUM(H190:H194)</f>
        <v>9887.87795887984</v>
      </c>
      <c r="I195" s="1" t="n">
        <f aca="false">SUM(I190:I194)</f>
        <v>9865.67159532799</v>
      </c>
      <c r="J195" s="1" t="n">
        <f aca="false">SUM(J190:J194)</f>
        <v>9843.91973406193</v>
      </c>
      <c r="K195" s="1" t="n">
        <f aca="false">SUM(K190:K194)</f>
        <v>9818.52170398807</v>
      </c>
      <c r="L195" s="1" t="n">
        <f aca="false">SUM(L190:L194)</f>
        <v>9787.93832743329</v>
      </c>
      <c r="M195" s="1" t="n">
        <f aca="false">SUM(M190:M194)</f>
        <v>9788.86602011658</v>
      </c>
      <c r="N195" s="1" t="n">
        <f aca="false">SUM(N190:N194)</f>
        <v>9748.9206889664</v>
      </c>
      <c r="O195" s="1" t="n">
        <f aca="false">SUM(O190:O194)</f>
        <v>9704.01787720708</v>
      </c>
      <c r="P195" s="1" t="n">
        <f aca="false">SUM(P190:P194)</f>
        <v>9652.70281615202</v>
      </c>
      <c r="Q195" s="1" t="n">
        <f aca="false">SUM(Q190:Q194)</f>
        <v>9594.49423494734</v>
      </c>
      <c r="R195" s="1" t="n">
        <f aca="false">SUM(R190:R194)</f>
        <v>9529.03088426064</v>
      </c>
      <c r="S195" s="1" t="n">
        <f aca="false">SUM(S190:S194)</f>
        <v>9419.86118781727</v>
      </c>
      <c r="T195" s="1" t="n">
        <f aca="false">SUM(T190:T194)</f>
        <v>9371.35469384354</v>
      </c>
      <c r="U195" s="1" t="n">
        <f aca="false">SUM(U190:U194)</f>
        <v>9283.79862700961</v>
      </c>
      <c r="V195" s="1" t="n">
        <f aca="false">SUM(V190:V194)</f>
        <v>9189.53089142308</v>
      </c>
      <c r="W195" s="1" t="n">
        <f aca="false">SUM(W190:W194)</f>
        <v>9089.27334780343</v>
      </c>
      <c r="X195" s="1" t="n">
        <f aca="false">SUM(X190:X194)</f>
        <v>8983.94848700489</v>
      </c>
      <c r="Y195" s="1" t="n">
        <f aca="false">SUM(Y190:Y194)</f>
        <v>8874.62693919195</v>
      </c>
      <c r="Z195" s="1" t="n">
        <f aca="false">SUM(Z190:Z194)</f>
        <v>8729.83333671451</v>
      </c>
      <c r="AA195" s="1" t="n">
        <f aca="false">SUM(AA190:AA194)</f>
        <v>8644.66312267725</v>
      </c>
      <c r="AB195" s="1" t="n">
        <f aca="false">SUM(AB190:AB194)</f>
        <v>8501.61677637028</v>
      </c>
      <c r="AC195" s="1" t="n">
        <f aca="false">SUM(AC190:AC194)</f>
        <v>8387.72049070444</v>
      </c>
    </row>
    <row r="197" customFormat="false" ht="12.8" hidden="false" customHeight="false" outlineLevel="0" collapsed="false">
      <c r="A197" s="1" t="s">
        <v>321</v>
      </c>
      <c r="B197" s="1" t="s">
        <v>43</v>
      </c>
      <c r="C197" s="1" t="n">
        <v>2024</v>
      </c>
      <c r="D197" s="1" t="n">
        <v>2025</v>
      </c>
      <c r="E197" s="1" t="n">
        <v>2026</v>
      </c>
      <c r="F197" s="1" t="n">
        <v>2027</v>
      </c>
      <c r="G197" s="1" t="n">
        <v>2028</v>
      </c>
      <c r="H197" s="1" t="n">
        <v>2029</v>
      </c>
      <c r="I197" s="1" t="n">
        <v>2030</v>
      </c>
      <c r="J197" s="1" t="n">
        <v>2031</v>
      </c>
      <c r="K197" s="1" t="n">
        <v>2032</v>
      </c>
      <c r="L197" s="1" t="n">
        <v>2033</v>
      </c>
      <c r="M197" s="1" t="n">
        <v>2034</v>
      </c>
      <c r="N197" s="1" t="n">
        <v>2035</v>
      </c>
      <c r="O197" s="1" t="n">
        <v>2036</v>
      </c>
      <c r="P197" s="1" t="n">
        <v>2037</v>
      </c>
      <c r="Q197" s="1" t="n">
        <v>2038</v>
      </c>
      <c r="R197" s="1" t="n">
        <v>2039</v>
      </c>
      <c r="S197" s="1" t="n">
        <v>2040</v>
      </c>
      <c r="T197" s="1" t="n">
        <v>2041</v>
      </c>
      <c r="U197" s="1" t="n">
        <v>2042</v>
      </c>
      <c r="V197" s="1" t="n">
        <v>2043</v>
      </c>
      <c r="W197" s="1" t="n">
        <v>2044</v>
      </c>
      <c r="X197" s="1" t="n">
        <v>2045</v>
      </c>
      <c r="Y197" s="1" t="n">
        <v>2046</v>
      </c>
      <c r="Z197" s="1" t="n">
        <v>2047</v>
      </c>
      <c r="AA197" s="1" t="n">
        <v>2048</v>
      </c>
      <c r="AB197" s="1" t="n">
        <v>2049</v>
      </c>
      <c r="AC197" s="1" t="n">
        <v>2050</v>
      </c>
    </row>
    <row r="198" customFormat="false" ht="12.8" hidden="false" customHeight="false" outlineLevel="0" collapsed="false">
      <c r="A198" s="1" t="s">
        <v>37</v>
      </c>
      <c r="B198" s="1" t="n">
        <f aca="false">($B$30*$B$28)+($B$40*$B$44)</f>
        <v>66.585808657411</v>
      </c>
      <c r="C198" s="1" t="n">
        <f aca="false">($B$30*$B$28)+($B$40*$B$44)</f>
        <v>66.585808657411</v>
      </c>
      <c r="D198" s="1" t="n">
        <f aca="false">($B$30*$B$33)+($B$46*$B$49)</f>
        <v>4.81240927215614</v>
      </c>
      <c r="E198" s="1" t="n">
        <f aca="false">($B$30*$B$33)+($B$46*$B$49)</f>
        <v>4.81240927215614</v>
      </c>
      <c r="F198" s="1" t="n">
        <f aca="false">($B$30*$B$33)+($B$46*$B$49)</f>
        <v>4.81240927215614</v>
      </c>
      <c r="G198" s="1" t="n">
        <f aca="false">($B$30*$B$33)+($B$46*$B$49)</f>
        <v>4.81240927215614</v>
      </c>
      <c r="H198" s="1" t="n">
        <f aca="false">($B$30*$B$33)+($B$46*$B$49)</f>
        <v>4.81240927215614</v>
      </c>
      <c r="I198" s="1" t="n">
        <f aca="false">($B$30*$B$33)+($B$46*$B$49)</f>
        <v>4.81240927215614</v>
      </c>
      <c r="J198" s="1" t="n">
        <f aca="false">($B$30*$B$33)+($B$46*$B$49)</f>
        <v>4.81240927215614</v>
      </c>
      <c r="K198" s="1" t="n">
        <f aca="false">($B$30*$B$33)+($B$46*$B$49)</f>
        <v>4.81240927215614</v>
      </c>
      <c r="L198" s="1" t="n">
        <f aca="false">$K198*0.9</f>
        <v>4.33116834494052</v>
      </c>
      <c r="M198" s="1" t="n">
        <f aca="false">M183</f>
        <v>4.33116834494052</v>
      </c>
      <c r="N198" s="1" t="n">
        <f aca="false">N183</f>
        <v>4.33116834494052</v>
      </c>
      <c r="O198" s="1" t="n">
        <f aca="false">O183</f>
        <v>4.33116834494052</v>
      </c>
      <c r="P198" s="1" t="n">
        <f aca="false">P183</f>
        <v>4.33116834494052</v>
      </c>
      <c r="Q198" s="1" t="n">
        <f aca="false">Q183</f>
        <v>4.33116834494052</v>
      </c>
      <c r="R198" s="1" t="n">
        <f aca="false">R183</f>
        <v>4.33116834494052</v>
      </c>
      <c r="S198" s="1" t="n">
        <f aca="false">S183</f>
        <v>3.89805151044647</v>
      </c>
      <c r="T198" s="1" t="n">
        <f aca="false">T183</f>
        <v>3.89805151044647</v>
      </c>
      <c r="U198" s="1" t="n">
        <f aca="false">U183</f>
        <v>3.89805151044647</v>
      </c>
      <c r="V198" s="1" t="n">
        <f aca="false">V183</f>
        <v>3.89805151044647</v>
      </c>
      <c r="W198" s="1" t="n">
        <f aca="false">W183</f>
        <v>3.89805151044647</v>
      </c>
      <c r="X198" s="1" t="n">
        <f aca="false">X183</f>
        <v>3.89805151044647</v>
      </c>
      <c r="Y198" s="1" t="n">
        <f aca="false">Y183</f>
        <v>3.89805151044647</v>
      </c>
      <c r="Z198" s="1" t="n">
        <f aca="false">Z183</f>
        <v>3.50824635940183</v>
      </c>
      <c r="AA198" s="1" t="n">
        <f aca="false">AA183</f>
        <v>3.50824635940183</v>
      </c>
      <c r="AB198" s="1" t="n">
        <f aca="false">AB183</f>
        <v>3.50824635940183</v>
      </c>
      <c r="AC198" s="1" t="n">
        <f aca="false">AC183</f>
        <v>3.50824635940183</v>
      </c>
    </row>
    <row r="199" customFormat="false" ht="12.8" hidden="false" customHeight="false" outlineLevel="0" collapsed="false">
      <c r="A199" s="1" t="s">
        <v>18</v>
      </c>
      <c r="B199" s="1" t="n">
        <f aca="false">$B$10</f>
        <v>114.47391312</v>
      </c>
      <c r="C199" s="1" t="n">
        <f aca="false">$B$10</f>
        <v>114.47391312</v>
      </c>
      <c r="D199" s="1" t="n">
        <f aca="false">$B$10</f>
        <v>114.47391312</v>
      </c>
      <c r="E199" s="1" t="n">
        <f aca="false">($B$18*0.25)+($B$10*0.75)</f>
        <v>87.1931351033335</v>
      </c>
      <c r="F199" s="141" t="n">
        <f aca="false">$B$18</f>
        <v>5.35080105333394</v>
      </c>
      <c r="G199" s="141" t="n">
        <f aca="false">$B$18</f>
        <v>5.35080105333394</v>
      </c>
      <c r="H199" s="141" t="n">
        <f aca="false">$B$18</f>
        <v>5.35080105333394</v>
      </c>
      <c r="I199" s="141" t="n">
        <f aca="false">$B$18</f>
        <v>5.35080105333394</v>
      </c>
      <c r="J199" s="141" t="n">
        <f aca="false">$B$18</f>
        <v>5.35080105333394</v>
      </c>
      <c r="K199" s="141" t="n">
        <f aca="false">$B$18</f>
        <v>5.35080105333394</v>
      </c>
      <c r="L199" s="141" t="n">
        <f aca="false">$B$18</f>
        <v>5.35080105333394</v>
      </c>
      <c r="M199" s="141" t="n">
        <f aca="false">$B$18</f>
        <v>5.35080105333394</v>
      </c>
      <c r="N199" s="141" t="n">
        <f aca="false">$B$18</f>
        <v>5.35080105333394</v>
      </c>
      <c r="O199" s="141" t="n">
        <f aca="false">$B$18</f>
        <v>5.35080105333394</v>
      </c>
      <c r="P199" s="141" t="n">
        <f aca="false">$B$18</f>
        <v>5.35080105333394</v>
      </c>
      <c r="Q199" s="141" t="n">
        <f aca="false">$B$18</f>
        <v>5.35080105333394</v>
      </c>
      <c r="R199" s="141" t="n">
        <f aca="false">$B$18</f>
        <v>5.35080105333394</v>
      </c>
      <c r="S199" s="141" t="n">
        <f aca="false">$B$18</f>
        <v>5.35080105333394</v>
      </c>
      <c r="T199" s="141" t="n">
        <f aca="false">$B$18</f>
        <v>5.35080105333394</v>
      </c>
      <c r="U199" s="141" t="n">
        <f aca="false">$B$18</f>
        <v>5.35080105333394</v>
      </c>
      <c r="V199" s="141" t="n">
        <f aca="false">$B$18</f>
        <v>5.35080105333394</v>
      </c>
      <c r="W199" s="141" t="n">
        <f aca="false">$B$18</f>
        <v>5.35080105333394</v>
      </c>
      <c r="X199" s="141" t="n">
        <f aca="false">$B$18</f>
        <v>5.35080105333394</v>
      </c>
      <c r="Y199" s="141" t="n">
        <f aca="false">$B$18</f>
        <v>5.35080105333394</v>
      </c>
      <c r="Z199" s="141" t="n">
        <f aca="false">$B$18</f>
        <v>5.35080105333394</v>
      </c>
      <c r="AA199" s="141" t="n">
        <f aca="false">$B$18</f>
        <v>5.35080105333394</v>
      </c>
      <c r="AB199" s="141" t="n">
        <f aca="false">$B$18</f>
        <v>5.35080105333394</v>
      </c>
      <c r="AC199" s="141" t="n">
        <f aca="false">$B$18</f>
        <v>5.35080105333394</v>
      </c>
      <c r="AD199" s="1"/>
    </row>
    <row r="200" customFormat="false" ht="12.8" hidden="false" customHeight="false" outlineLevel="0" collapsed="false">
      <c r="A200" s="3" t="s">
        <v>39</v>
      </c>
      <c r="B200" s="1" t="n">
        <f aca="false">SUM(B198:B199)</f>
        <v>181.059721777411</v>
      </c>
      <c r="C200" s="1" t="n">
        <f aca="false">SUM(C198:C199)</f>
        <v>181.059721777411</v>
      </c>
      <c r="D200" s="1" t="n">
        <f aca="false">SUM(D198:D199)</f>
        <v>119.286322392156</v>
      </c>
      <c r="E200" s="1" t="n">
        <f aca="false">SUM(E198:E199)</f>
        <v>92.0055443754896</v>
      </c>
      <c r="F200" s="1" t="n">
        <f aca="false">SUM(F198:F199)</f>
        <v>10.1632103254901</v>
      </c>
      <c r="G200" s="1" t="n">
        <f aca="false">SUM(G198:G199)</f>
        <v>10.1632103254901</v>
      </c>
      <c r="H200" s="1" t="n">
        <f aca="false">SUM(H198:H199)</f>
        <v>10.1632103254901</v>
      </c>
      <c r="I200" s="1" t="n">
        <f aca="false">SUM(I198:I199)</f>
        <v>10.1632103254901</v>
      </c>
      <c r="J200" s="1" t="n">
        <f aca="false">SUM(J198:J199)</f>
        <v>10.1632103254901</v>
      </c>
      <c r="K200" s="1" t="n">
        <f aca="false">SUM(K198:K199)</f>
        <v>10.1632103254901</v>
      </c>
      <c r="L200" s="1" t="n">
        <f aca="false">SUM(L198:L199)</f>
        <v>9.68196939827446</v>
      </c>
      <c r="M200" s="1" t="n">
        <f aca="false">SUM(M198:M199)</f>
        <v>9.68196939827446</v>
      </c>
      <c r="N200" s="1" t="n">
        <f aca="false">SUM(N198:N199)</f>
        <v>9.68196939827446</v>
      </c>
      <c r="O200" s="1" t="n">
        <f aca="false">SUM(O198:O199)</f>
        <v>9.68196939827446</v>
      </c>
      <c r="P200" s="1" t="n">
        <f aca="false">SUM(P198:P199)</f>
        <v>9.68196939827446</v>
      </c>
      <c r="Q200" s="1" t="n">
        <f aca="false">SUM(Q198:Q199)</f>
        <v>9.68196939827446</v>
      </c>
      <c r="R200" s="1" t="n">
        <f aca="false">SUM(R198:R199)</f>
        <v>9.68196939827446</v>
      </c>
      <c r="S200" s="1" t="n">
        <f aca="false">SUM(S198:S199)</f>
        <v>9.24885256378041</v>
      </c>
      <c r="T200" s="1" t="n">
        <f aca="false">SUM(T198:T199)</f>
        <v>9.24885256378041</v>
      </c>
      <c r="U200" s="1" t="n">
        <f aca="false">SUM(U198:U199)</f>
        <v>9.24885256378041</v>
      </c>
      <c r="V200" s="1" t="n">
        <f aca="false">SUM(V198:V199)</f>
        <v>9.24885256378041</v>
      </c>
      <c r="W200" s="1" t="n">
        <f aca="false">SUM(W198:W199)</f>
        <v>9.24885256378041</v>
      </c>
      <c r="X200" s="1" t="n">
        <f aca="false">SUM(X198:X199)</f>
        <v>9.24885256378041</v>
      </c>
      <c r="Y200" s="1" t="n">
        <f aca="false">SUM(Y198:Y199)</f>
        <v>9.24885256378041</v>
      </c>
      <c r="Z200" s="1" t="n">
        <f aca="false">SUM(Z198:Z199)</f>
        <v>8.85904741273576</v>
      </c>
      <c r="AA200" s="1" t="n">
        <f aca="false">SUM(AA198:AA199)</f>
        <v>8.85904741273576</v>
      </c>
      <c r="AB200" s="1" t="n">
        <f aca="false">SUM(AB198:AB199)</f>
        <v>8.85904741273576</v>
      </c>
      <c r="AC200" s="1" t="n">
        <f aca="false">SUM(AC198:AC199)</f>
        <v>8.85904741273576</v>
      </c>
    </row>
    <row r="201" customFormat="false" ht="12.8" hidden="false" customHeight="false" outlineLevel="0" collapsed="false">
      <c r="A201" s="1" t="s">
        <v>40</v>
      </c>
      <c r="B201" s="1" t="n">
        <f aca="false">$B$76</f>
        <v>1907.7</v>
      </c>
      <c r="C201" s="1" t="n">
        <f aca="false">$B$76</f>
        <v>1907.7</v>
      </c>
      <c r="D201" s="1" t="n">
        <f aca="false">($B$76*(1-C$103))+($B$82*C$103)</f>
        <v>1907.7</v>
      </c>
      <c r="E201" s="1" t="n">
        <f aca="false">($B$76*(1-D$103))+($B$82*D$103)</f>
        <v>1900.55264424539</v>
      </c>
      <c r="F201" s="1" t="n">
        <f aca="false">($B$76*(1-E$103))+($B$82*E$103)</f>
        <v>1891.26108176439</v>
      </c>
      <c r="G201" s="1" t="n">
        <f aca="false">($B$76*(1-F$103))+($B$82*F$103)</f>
        <v>1879.18205053909</v>
      </c>
      <c r="H201" s="1" t="n">
        <f aca="false">($B$76*(1-G$103))+($B$82*G$103)</f>
        <v>1865.29116463</v>
      </c>
      <c r="I201" s="1" t="n">
        <f aca="false">($B$76*(1-H$103))+($B$82*H$103)</f>
        <v>1849.31664583455</v>
      </c>
      <c r="J201" s="1" t="n">
        <f aca="false">($B$76*(1-I$103))+($B$82*I$103)</f>
        <v>1830.94594921978</v>
      </c>
      <c r="K201" s="1" t="n">
        <f aca="false">($B$76*(1-J$103))+($B$82*J$103)</f>
        <v>1809.81964811279</v>
      </c>
      <c r="L201" s="1" t="n">
        <f aca="false">($B$76*(1-K$103))+($B$82*K$103)</f>
        <v>1785.52440183975</v>
      </c>
      <c r="M201" s="1" t="n">
        <f aca="false">($B$76*(1-L$103))+($B$82*L$103)</f>
        <v>1753.94058168481</v>
      </c>
      <c r="N201" s="1" t="n">
        <f aca="false">($B$76*(1-M$103))+($B$82*M$103)</f>
        <v>1717.61918850662</v>
      </c>
      <c r="O201" s="1" t="n">
        <f aca="false">($B$76*(1-N$103))+($B$82*N$103)</f>
        <v>1675.8495863517</v>
      </c>
      <c r="P201" s="1" t="n">
        <f aca="false">($B$76*(1-O$103))+($B$82*O$103)</f>
        <v>1627.81454387354</v>
      </c>
      <c r="Q201" s="1" t="n">
        <f aca="false">($B$76*(1-P$103))+($B$82*P$103)</f>
        <v>1572.57424502367</v>
      </c>
      <c r="R201" s="1" t="n">
        <f aca="false">($B$76*(1-Q$103))+($B$82*Q$103)</f>
        <v>1509.04790134631</v>
      </c>
      <c r="S201" s="1" t="n">
        <f aca="false">($B$76*(1-R$103))+($B$82*R$103)</f>
        <v>1435.99260611734</v>
      </c>
      <c r="T201" s="1" t="n">
        <f aca="false">($B$76*(1-S$103))+($B$82*S$103)</f>
        <v>1351.97901660403</v>
      </c>
      <c r="U201" s="1" t="n">
        <f aca="false">($B$76*(1-T$103))+($B$82*T$103)</f>
        <v>1255.36338866373</v>
      </c>
      <c r="V201" s="1" t="n">
        <f aca="false">($B$76*(1-U$103))+($B$82*U$103)</f>
        <v>1144.25541653238</v>
      </c>
      <c r="W201" s="1" t="n">
        <f aca="false">($B$76*(1-V$103))+($B$82*V$103)</f>
        <v>1016.48124858132</v>
      </c>
      <c r="X201" s="1" t="n">
        <f aca="false">($B$76*(1-W$103))+($B$82*W$103)</f>
        <v>869.540955437611</v>
      </c>
      <c r="Y201" s="1" t="n">
        <f aca="false">($B$76*(1-X$103))+($B$82*X$103)</f>
        <v>700.559618322342</v>
      </c>
      <c r="Z201" s="1" t="n">
        <f aca="false">($B$76*(1-Y$103))+($B$82*Y$103)</f>
        <v>506.231080639784</v>
      </c>
      <c r="AA201" s="1" t="n">
        <f aca="false">($B$76*(1-Z$103))+($B$82*Z$103)</f>
        <v>282.753262304841</v>
      </c>
      <c r="AB201" s="1" t="n">
        <f aca="false">($B$76*(1-AA$103))+($B$82*AA$103)</f>
        <v>111.216724194127</v>
      </c>
      <c r="AC201" s="1" t="n">
        <f aca="false">($B$76*(1-AB$103))+($B$82*AB$103)</f>
        <v>-60.319813916587</v>
      </c>
    </row>
    <row r="202" customFormat="false" ht="12.8" hidden="false" customHeight="false" outlineLevel="0" collapsed="false">
      <c r="A202" s="1" t="s">
        <v>41</v>
      </c>
      <c r="B202" s="1" t="n">
        <f aca="false">($C$60*(1-B$110))+($C$61*B$110)</f>
        <v>8018.82390447805</v>
      </c>
      <c r="C202" s="1" t="n">
        <f aca="false">($C$60*(1-C$110))+($C$61*C$110)</f>
        <v>8018.82390447805</v>
      </c>
      <c r="D202" s="1" t="n">
        <f aca="false">($C$60*(1-D$110))+($C$61*D$110)</f>
        <v>7999.15527475788</v>
      </c>
      <c r="E202" s="1" t="n">
        <f aca="false">($C$60*(1-E$110))+($C$61*E$110)</f>
        <v>7976.98698807849</v>
      </c>
      <c r="F202" s="1" t="n">
        <f aca="false">($C$60*(1-F$110))+($C$61*F$110)</f>
        <v>7951.83451855501</v>
      </c>
      <c r="G202" s="1" t="n">
        <f aca="false">($C$60*(1-G$110))+($C$61*G$110)</f>
        <v>7923.16692394513</v>
      </c>
      <c r="H202" s="1" t="n">
        <f aca="false">($C$60*(1-H$110))+($C$61*H$110)</f>
        <v>7890.41366034016</v>
      </c>
      <c r="I202" s="1" t="n">
        <f aca="false">($C$60*(1-I$110))+($C$61*I$110)</f>
        <v>7852.97704268947</v>
      </c>
      <c r="J202" s="1" t="n">
        <f aca="false">($C$60*(1-J$110))+($C$61*J$110)</f>
        <v>7810.25160209761</v>
      </c>
      <c r="K202" s="1" t="n">
        <f aca="false">($C$60*(1-K$110))+($C$61*K$110)</f>
        <v>7761.65119471813</v>
      </c>
      <c r="L202" s="1" t="n">
        <f aca="false">($C$60*(1-L$110))+($C$61*L$110)</f>
        <v>7706.64389815148</v>
      </c>
      <c r="M202" s="1" t="n">
        <f aca="false">($C$60*(1-M$110))+($C$61*M$110)</f>
        <v>7644.79343203977</v>
      </c>
      <c r="N202" s="1" t="n">
        <f aca="false">($C$60*(1-N$110))+($C$61*N$110)</f>
        <v>7575.80413350675</v>
      </c>
      <c r="O202" s="1" t="n">
        <f aca="false">($C$60*(1-O$110))+($C$61*O$110)</f>
        <v>7499.56468228325</v>
      </c>
      <c r="P202" s="1" t="n">
        <f aca="false">($C$60*(1-P$110))+($C$61*P$110)</f>
        <v>7416.1843070542</v>
      </c>
      <c r="Q202" s="1" t="n">
        <f aca="false">($C$60*(1-Q$110))+($C$61*Q$110)</f>
        <v>7326.0147511569</v>
      </c>
      <c r="R202" s="1" t="n">
        <f aca="false">($C$60*(1-R$110))+($C$61*R$110)</f>
        <v>7229.65237427052</v>
      </c>
      <c r="S202" s="1" t="n">
        <f aca="false">($C$60*(1-S$110))+($C$61*S$110)</f>
        <v>7127.91755260391</v>
      </c>
      <c r="T202" s="1" t="n">
        <f aca="false">($C$60*(1-T$110))+($C$61*T$110)</f>
        <v>7021.81251616368</v>
      </c>
      <c r="U202" s="1" t="n">
        <f aca="false">($C$60*(1-U$110))+($C$61*U$110)</f>
        <v>6912.46285111099</v>
      </c>
      <c r="V202" s="1" t="n">
        <f aca="false">($C$60*(1-V$110))+($C$61*V$110)</f>
        <v>6801.05083656836</v>
      </c>
      <c r="W202" s="1" t="n">
        <f aca="false">($C$60*(1-W$110))+($C$61*W$110)</f>
        <v>6688.74969409302</v>
      </c>
      <c r="X202" s="1" t="n">
        <f aca="false">($C$60*(1-X$110))+($C$61*X$110)</f>
        <v>6576.66659243154</v>
      </c>
      <c r="Y202" s="1" t="n">
        <f aca="false">($C$60*(1-Y$110))+($C$61*Y$110)</f>
        <v>6465.79951768764</v>
      </c>
      <c r="Z202" s="1" t="n">
        <f aca="false">($C$60*(1-Z$110))+($C$61*Z$110)</f>
        <v>6357.00991480549</v>
      </c>
      <c r="AA202" s="1" t="n">
        <f aca="false">($C$60*(1-AA$110))+($C$61*AA$110)</f>
        <v>6251.01025273603</v>
      </c>
      <c r="AB202" s="1" t="n">
        <f aca="false">($C$60*(1-AB$110))+($C$61*AB$110)</f>
        <v>6148.36387690593</v>
      </c>
      <c r="AC202" s="1" t="n">
        <f aca="false">($C$60*(1-AC$110))+($C$61*AC$110)</f>
        <v>6049.4937577925</v>
      </c>
    </row>
    <row r="203" customFormat="false" ht="12.8" hidden="false" customHeight="false" outlineLevel="0" collapsed="false">
      <c r="A203" s="1" t="s">
        <v>20</v>
      </c>
      <c r="B203" s="1" t="n">
        <f aca="false">SUM(B198:B202)</f>
        <v>10288.6433480329</v>
      </c>
      <c r="C203" s="1" t="n">
        <f aca="false">SUM(C190:C194)</f>
        <v>10288.6433480329</v>
      </c>
      <c r="D203" s="1" t="n">
        <f aca="false">SUM(D190:D194)</f>
        <v>10156.285132494</v>
      </c>
      <c r="E203" s="1" t="n">
        <f aca="false">SUM(E190:E194)</f>
        <v>10091.7060202815</v>
      </c>
      <c r="F203" s="1" t="n">
        <f aca="false">SUM(F190:F194)</f>
        <v>9916.53333831996</v>
      </c>
      <c r="G203" s="1" t="n">
        <f aca="false">SUM(G190:G194)</f>
        <v>9903.26921889118</v>
      </c>
      <c r="H203" s="1" t="n">
        <f aca="false">SUM(H190:H194)</f>
        <v>9887.87795887984</v>
      </c>
      <c r="I203" s="1" t="n">
        <f aca="false">SUM(I190:I194)</f>
        <v>9865.67159532799</v>
      </c>
      <c r="J203" s="1" t="n">
        <f aca="false">SUM(J190:J194)</f>
        <v>9843.91973406193</v>
      </c>
      <c r="K203" s="1" t="n">
        <f aca="false">SUM(K190:K194)</f>
        <v>9818.52170398807</v>
      </c>
      <c r="L203" s="1" t="n">
        <f aca="false">SUM(L190:L194)</f>
        <v>9787.93832743329</v>
      </c>
      <c r="M203" s="1" t="n">
        <f aca="false">SUM(M190:M194)</f>
        <v>9788.86602011658</v>
      </c>
      <c r="N203" s="1" t="n">
        <f aca="false">SUM(N190:N194)</f>
        <v>9748.9206889664</v>
      </c>
      <c r="O203" s="1" t="n">
        <f aca="false">SUM(O190:O194)</f>
        <v>9704.01787720708</v>
      </c>
      <c r="P203" s="1" t="n">
        <f aca="false">SUM(P190:P194)</f>
        <v>9652.70281615202</v>
      </c>
      <c r="Q203" s="1" t="n">
        <f aca="false">SUM(Q190:Q194)</f>
        <v>9594.49423494734</v>
      </c>
      <c r="R203" s="1" t="n">
        <f aca="false">SUM(R190:R194)</f>
        <v>9529.03088426064</v>
      </c>
      <c r="S203" s="1" t="n">
        <f aca="false">SUM(S190:S194)</f>
        <v>9419.86118781727</v>
      </c>
      <c r="T203" s="1" t="n">
        <f aca="false">SUM(T190:T194)</f>
        <v>9371.35469384354</v>
      </c>
      <c r="U203" s="1" t="n">
        <f aca="false">SUM(U190:U194)</f>
        <v>9283.79862700961</v>
      </c>
      <c r="V203" s="1" t="n">
        <f aca="false">SUM(V190:V194)</f>
        <v>9189.53089142308</v>
      </c>
      <c r="W203" s="1" t="n">
        <f aca="false">SUM(W190:W194)</f>
        <v>9089.27334780343</v>
      </c>
      <c r="X203" s="1" t="n">
        <f aca="false">SUM(X190:X194)</f>
        <v>8983.94848700489</v>
      </c>
      <c r="Y203" s="1" t="n">
        <f aca="false">SUM(Y190:Y194)</f>
        <v>8874.62693919195</v>
      </c>
      <c r="Z203" s="1" t="n">
        <f aca="false">SUM(Z190:Z194)</f>
        <v>8729.83333671451</v>
      </c>
      <c r="AA203" s="1" t="n">
        <f aca="false">SUM(AA190:AA194)</f>
        <v>8644.66312267725</v>
      </c>
      <c r="AB203" s="1" t="n">
        <f aca="false">SUM(AB190:AB194)</f>
        <v>8501.61677637028</v>
      </c>
      <c r="AC203" s="1" t="n">
        <f aca="false">SUM(AC190:AC194)</f>
        <v>8387.72049070444</v>
      </c>
    </row>
    <row r="205" customFormat="false" ht="12.8" hidden="false" customHeight="false" outlineLevel="0" collapsed="false">
      <c r="A205" s="1" t="s">
        <v>322</v>
      </c>
      <c r="B205" s="1" t="s">
        <v>43</v>
      </c>
      <c r="C205" s="1" t="n">
        <v>2024</v>
      </c>
      <c r="D205" s="1" t="n">
        <v>2025</v>
      </c>
      <c r="E205" s="1" t="n">
        <v>2026</v>
      </c>
      <c r="F205" s="1" t="n">
        <v>2027</v>
      </c>
      <c r="G205" s="1" t="n">
        <v>2028</v>
      </c>
      <c r="H205" s="1" t="n">
        <v>2029</v>
      </c>
      <c r="I205" s="1" t="n">
        <v>2030</v>
      </c>
      <c r="J205" s="1" t="n">
        <v>2031</v>
      </c>
      <c r="K205" s="1" t="n">
        <v>2032</v>
      </c>
      <c r="L205" s="1" t="n">
        <v>2033</v>
      </c>
      <c r="M205" s="1" t="n">
        <v>2034</v>
      </c>
      <c r="N205" s="1" t="n">
        <v>2035</v>
      </c>
      <c r="O205" s="1" t="n">
        <v>2036</v>
      </c>
      <c r="P205" s="1" t="n">
        <v>2037</v>
      </c>
      <c r="Q205" s="1" t="n">
        <v>2038</v>
      </c>
      <c r="R205" s="1" t="n">
        <v>2039</v>
      </c>
      <c r="S205" s="1" t="n">
        <v>2040</v>
      </c>
      <c r="T205" s="1" t="n">
        <v>2041</v>
      </c>
      <c r="U205" s="1" t="n">
        <v>2042</v>
      </c>
      <c r="V205" s="1" t="n">
        <v>2043</v>
      </c>
      <c r="W205" s="1" t="n">
        <v>2044</v>
      </c>
      <c r="X205" s="1" t="n">
        <v>2045</v>
      </c>
      <c r="Y205" s="1" t="n">
        <v>2046</v>
      </c>
      <c r="Z205" s="1" t="n">
        <v>2047</v>
      </c>
      <c r="AA205" s="1" t="n">
        <v>2048</v>
      </c>
      <c r="AB205" s="1" t="n">
        <v>2049</v>
      </c>
      <c r="AC205" s="1" t="n">
        <v>2050</v>
      </c>
    </row>
    <row r="206" customFormat="false" ht="12.8" hidden="false" customHeight="false" outlineLevel="0" collapsed="false">
      <c r="A206" s="1" t="s">
        <v>37</v>
      </c>
      <c r="B206" s="1" t="n">
        <f aca="false">($B$30*$B$28)+($B$40*$B$44)</f>
        <v>66.585808657411</v>
      </c>
      <c r="C206" s="1" t="n">
        <f aca="false">($B$30*$B$28)+($B$40*$B$44)</f>
        <v>66.585808657411</v>
      </c>
      <c r="D206" s="1" t="n">
        <f aca="false">($B$30*$B$33)+($B$46*$B$49)</f>
        <v>4.81240927215614</v>
      </c>
      <c r="E206" s="1" t="n">
        <f aca="false">($B$30*$B$33)+($B$46*$B$49)</f>
        <v>4.81240927215614</v>
      </c>
      <c r="F206" s="1" t="n">
        <f aca="false">($B$30*$B$33)+($B$46*$B$49)</f>
        <v>4.81240927215614</v>
      </c>
      <c r="G206" s="1" t="n">
        <f aca="false">($B$30*$B$33)+($B$46*$B$49)</f>
        <v>4.81240927215614</v>
      </c>
      <c r="H206" s="1" t="n">
        <f aca="false">($B$30*$B$33)+($B$46*$B$49)</f>
        <v>4.81240927215614</v>
      </c>
      <c r="I206" s="1" t="n">
        <f aca="false">($B$30*$B$33)+($B$46*$B$49)</f>
        <v>4.81240927215614</v>
      </c>
      <c r="J206" s="1" t="n">
        <f aca="false">($B$30*$B$33)+($B$46*$B$49)</f>
        <v>4.81240927215614</v>
      </c>
      <c r="K206" s="1" t="n">
        <f aca="false">($B$30*$B$33)+($B$46*$B$49)</f>
        <v>4.81240927215614</v>
      </c>
      <c r="L206" s="1" t="n">
        <f aca="false">$K206*0.9</f>
        <v>4.33116834494052</v>
      </c>
      <c r="M206" s="1" t="n">
        <v>22.0256904333107</v>
      </c>
      <c r="N206" s="1" t="n">
        <v>22.0256904333107</v>
      </c>
      <c r="O206" s="1" t="n">
        <v>22.0256904333107</v>
      </c>
      <c r="P206" s="1" t="n">
        <v>22.0256904333107</v>
      </c>
      <c r="Q206" s="1" t="n">
        <v>22.0256904333107</v>
      </c>
      <c r="R206" s="1" t="n">
        <v>22.0256904333107</v>
      </c>
      <c r="S206" s="1" t="n">
        <f aca="false">$L206*0.9</f>
        <v>3.89805151044647</v>
      </c>
      <c r="T206" s="1" t="n">
        <v>19.8231213899797</v>
      </c>
      <c r="U206" s="1" t="n">
        <v>19.8231213899797</v>
      </c>
      <c r="V206" s="1" t="n">
        <v>19.8231213899797</v>
      </c>
      <c r="W206" s="1" t="n">
        <v>19.8231213899797</v>
      </c>
      <c r="X206" s="1" t="n">
        <v>19.8231213899797</v>
      </c>
      <c r="Y206" s="1" t="n">
        <v>19.8231213899797</v>
      </c>
      <c r="Z206" s="1" t="n">
        <f aca="false">$S206*0.9</f>
        <v>3.50824635940183</v>
      </c>
      <c r="AA206" s="1" t="n">
        <v>17.8408092509817</v>
      </c>
      <c r="AB206" s="1" t="n">
        <f aca="false">$S206*0.9</f>
        <v>3.50824635940183</v>
      </c>
      <c r="AC206" s="1" t="n">
        <f aca="false">$S206*0.9</f>
        <v>3.50824635940183</v>
      </c>
    </row>
    <row r="207" customFormat="false" ht="12.8" hidden="false" customHeight="false" outlineLevel="0" collapsed="false">
      <c r="A207" s="1" t="s">
        <v>18</v>
      </c>
      <c r="B207" s="1" t="n">
        <f aca="false">$B$10</f>
        <v>114.47391312</v>
      </c>
      <c r="C207" s="1" t="n">
        <f aca="false">$B$10</f>
        <v>114.47391312</v>
      </c>
      <c r="D207" s="1" t="n">
        <f aca="false">$B$10</f>
        <v>114.47391312</v>
      </c>
      <c r="E207" s="1" t="n">
        <f aca="false">($B$18*0.25)+($B$10*0.75)</f>
        <v>87.1931351033335</v>
      </c>
      <c r="F207" s="141" t="n">
        <f aca="false">$B$18</f>
        <v>5.35080105333394</v>
      </c>
      <c r="G207" s="141" t="n">
        <f aca="false">$B$18</f>
        <v>5.35080105333394</v>
      </c>
      <c r="H207" s="141" t="n">
        <f aca="false">$B$18</f>
        <v>5.35080105333394</v>
      </c>
      <c r="I207" s="141" t="n">
        <f aca="false">$B$18</f>
        <v>5.35080105333394</v>
      </c>
      <c r="J207" s="141" t="n">
        <f aca="false">$B$18</f>
        <v>5.35080105333394</v>
      </c>
      <c r="K207" s="141" t="n">
        <f aca="false">$B$18</f>
        <v>5.35080105333394</v>
      </c>
      <c r="L207" s="141" t="n">
        <f aca="false">$B$18</f>
        <v>5.35080105333394</v>
      </c>
      <c r="M207" s="141" t="n">
        <f aca="false">$B$18</f>
        <v>5.35080105333394</v>
      </c>
      <c r="N207" s="141" t="n">
        <f aca="false">$B$18</f>
        <v>5.35080105333394</v>
      </c>
      <c r="O207" s="141" t="n">
        <f aca="false">$B$18</f>
        <v>5.35080105333394</v>
      </c>
      <c r="P207" s="141" t="n">
        <f aca="false">$B$18</f>
        <v>5.35080105333394</v>
      </c>
      <c r="Q207" s="141" t="n">
        <f aca="false">$B$18</f>
        <v>5.35080105333394</v>
      </c>
      <c r="R207" s="141" t="n">
        <f aca="false">$B$18</f>
        <v>5.35080105333394</v>
      </c>
      <c r="S207" s="141" t="n">
        <f aca="false">$B$18</f>
        <v>5.35080105333394</v>
      </c>
      <c r="T207" s="141" t="n">
        <f aca="false">$B$18</f>
        <v>5.35080105333394</v>
      </c>
      <c r="U207" s="141" t="n">
        <f aca="false">$B$18</f>
        <v>5.35080105333394</v>
      </c>
      <c r="V207" s="141" t="n">
        <f aca="false">$B$18</f>
        <v>5.35080105333394</v>
      </c>
      <c r="W207" s="141" t="n">
        <f aca="false">$B$18</f>
        <v>5.35080105333394</v>
      </c>
      <c r="X207" s="141" t="n">
        <f aca="false">$B$18</f>
        <v>5.35080105333394</v>
      </c>
      <c r="Y207" s="141" t="n">
        <f aca="false">$B$18</f>
        <v>5.35080105333394</v>
      </c>
      <c r="Z207" s="141" t="n">
        <f aca="false">$B$18</f>
        <v>5.35080105333394</v>
      </c>
      <c r="AA207" s="141" t="n">
        <f aca="false">$B$18</f>
        <v>5.35080105333394</v>
      </c>
      <c r="AB207" s="141" t="n">
        <f aca="false">$B$18</f>
        <v>5.35080105333394</v>
      </c>
      <c r="AC207" s="141" t="n">
        <f aca="false">$B$18</f>
        <v>5.35080105333394</v>
      </c>
      <c r="AD207" s="1"/>
    </row>
    <row r="208" customFormat="false" ht="12.8" hidden="false" customHeight="false" outlineLevel="0" collapsed="false">
      <c r="A208" s="3" t="s">
        <v>39</v>
      </c>
      <c r="B208" s="1" t="n">
        <f aca="false">SUM(B206:B207)</f>
        <v>181.059721777411</v>
      </c>
      <c r="C208" s="1" t="n">
        <f aca="false">SUM(C206:C207)</f>
        <v>181.059721777411</v>
      </c>
      <c r="D208" s="1" t="n">
        <f aca="false">SUM(D206:D207)</f>
        <v>119.286322392156</v>
      </c>
      <c r="E208" s="1" t="n">
        <f aca="false">SUM(E206:E207)</f>
        <v>92.0055443754896</v>
      </c>
      <c r="F208" s="1" t="n">
        <f aca="false">SUM(F206:F207)</f>
        <v>10.1632103254901</v>
      </c>
      <c r="G208" s="1" t="n">
        <f aca="false">SUM(G206:G207)</f>
        <v>10.1632103254901</v>
      </c>
      <c r="H208" s="1" t="n">
        <f aca="false">SUM(H206:H207)</f>
        <v>10.1632103254901</v>
      </c>
      <c r="I208" s="1" t="n">
        <f aca="false">SUM(I206:I207)</f>
        <v>10.1632103254901</v>
      </c>
      <c r="J208" s="1" t="n">
        <f aca="false">SUM(J206:J207)</f>
        <v>10.1632103254901</v>
      </c>
      <c r="K208" s="1" t="n">
        <f aca="false">SUM(K206:K207)</f>
        <v>10.1632103254901</v>
      </c>
      <c r="L208" s="1" t="n">
        <f aca="false">SUM(L206:L207)</f>
        <v>9.68196939827446</v>
      </c>
      <c r="M208" s="1" t="n">
        <f aca="false">SUM(M206:M207)</f>
        <v>27.3764914866446</v>
      </c>
      <c r="N208" s="1" t="n">
        <f aca="false">SUM(N206:N207)</f>
        <v>27.3764914866446</v>
      </c>
      <c r="O208" s="1" t="n">
        <f aca="false">SUM(O206:O207)</f>
        <v>27.3764914866446</v>
      </c>
      <c r="P208" s="1" t="n">
        <f aca="false">SUM(P206:P207)</f>
        <v>27.3764914866446</v>
      </c>
      <c r="Q208" s="1" t="n">
        <f aca="false">SUM(Q206:Q207)</f>
        <v>27.3764914866446</v>
      </c>
      <c r="R208" s="1" t="n">
        <f aca="false">SUM(R206:R207)</f>
        <v>27.3764914866446</v>
      </c>
      <c r="S208" s="1" t="n">
        <f aca="false">SUM(S206:S207)</f>
        <v>9.24885256378041</v>
      </c>
      <c r="T208" s="1" t="n">
        <f aca="false">SUM(T206:T207)</f>
        <v>25.1739224433136</v>
      </c>
      <c r="U208" s="1" t="n">
        <f aca="false">SUM(U206:U207)</f>
        <v>25.1739224433136</v>
      </c>
      <c r="V208" s="1" t="n">
        <f aca="false">SUM(V206:V207)</f>
        <v>25.1739224433136</v>
      </c>
      <c r="W208" s="1" t="n">
        <f aca="false">SUM(W206:W207)</f>
        <v>25.1739224433136</v>
      </c>
      <c r="X208" s="1" t="n">
        <f aca="false">SUM(X206:X207)</f>
        <v>25.1739224433136</v>
      </c>
      <c r="Y208" s="1" t="n">
        <f aca="false">SUM(Y206:Y207)</f>
        <v>25.1739224433136</v>
      </c>
      <c r="Z208" s="1" t="n">
        <f aca="false">SUM(Z206:Z207)</f>
        <v>8.85904741273576</v>
      </c>
      <c r="AA208" s="1" t="n">
        <f aca="false">SUM(AA206:AA207)</f>
        <v>23.1916103043156</v>
      </c>
      <c r="AB208" s="1" t="n">
        <f aca="false">SUM(AB206:AB207)</f>
        <v>8.85904741273576</v>
      </c>
      <c r="AC208" s="1" t="n">
        <f aca="false">SUM(AC206:AC207)</f>
        <v>8.85904741273576</v>
      </c>
      <c r="AD208" s="130"/>
    </row>
    <row r="209" customFormat="false" ht="12.8" hidden="false" customHeight="false" outlineLevel="0" collapsed="false">
      <c r="A209" s="1" t="s">
        <v>40</v>
      </c>
      <c r="B209" s="1" t="n">
        <f aca="false">($B$76*(1-B$104))+($B$82*B$104)</f>
        <v>1907.7</v>
      </c>
      <c r="C209" s="1" t="n">
        <f aca="false">($B$76*(1-B$104))+($B$82*B$104)</f>
        <v>1907.7</v>
      </c>
      <c r="D209" s="1" t="n">
        <f aca="false">($B$76*(1-C$104))+($B$82*C$104)</f>
        <v>1907.7</v>
      </c>
      <c r="E209" s="1" t="n">
        <f aca="false">($B$76*(1-D$104))+($B$82*D$104)</f>
        <v>1896.97896636808</v>
      </c>
      <c r="F209" s="1" t="n">
        <f aca="false">($B$76*(1-E$104))+($B$82*E$104)</f>
        <v>1883.57767432818</v>
      </c>
      <c r="G209" s="1" t="n">
        <f aca="false">($B$76*(1-F$104))+($B$82*F$104)</f>
        <v>1866.82605927831</v>
      </c>
      <c r="H209" s="1" t="n">
        <f aca="false">($B$76*(1-G$104))+($B$82*G$104)</f>
        <v>1845.88654046596</v>
      </c>
      <c r="I209" s="1" t="n">
        <f aca="false">($B$76*(1-H$104))+($B$82*H$104)</f>
        <v>1819.71214195053</v>
      </c>
      <c r="J209" s="1" t="n">
        <f aca="false">($B$76*(1-I$104))+($B$82*I$104)</f>
        <v>1786.99414380625</v>
      </c>
      <c r="K209" s="1" t="n">
        <f aca="false">($B$76*(1-J$104))+($B$82*J$104)</f>
        <v>1749.36844594032</v>
      </c>
      <c r="L209" s="1" t="n">
        <f aca="false">($B$76*(1-K$104))+($B$82*K$104)</f>
        <v>1706.0988933945</v>
      </c>
      <c r="M209" s="1" t="n">
        <f aca="false">($B$76*(1-L$104))+($B$82*L$104)</f>
        <v>1649.84847508494</v>
      </c>
      <c r="N209" s="1" t="n">
        <f aca="false">($B$76*(1-M$104))+($B$82*M$104)</f>
        <v>1585.16049402894</v>
      </c>
      <c r="O209" s="1" t="n">
        <f aca="false">($B$76*(1-N$104))+($B$82*N$104)</f>
        <v>1510.76931581454</v>
      </c>
      <c r="P209" s="1" t="n">
        <f aca="false">($B$76*(1-O$104))+($B$82*O$104)</f>
        <v>1425.21946086798</v>
      </c>
      <c r="Q209" s="1" t="n">
        <f aca="false">($B$76*(1-P$104))+($B$82*P$104)</f>
        <v>1326.83712767944</v>
      </c>
      <c r="R209" s="1" t="n">
        <f aca="false">($B$76*(1-Q$104))+($B$82*Q$104)</f>
        <v>1213.69744451262</v>
      </c>
      <c r="S209" s="1" t="n">
        <f aca="false">($B$76*(1-R$104))+($B$82*R$104)</f>
        <v>1083.58680887078</v>
      </c>
      <c r="T209" s="1" t="n">
        <f aca="false">($B$76*(1-S$104))+($B$82*S$104)</f>
        <v>933.959577882653</v>
      </c>
      <c r="U209" s="1" t="n">
        <f aca="false">($B$76*(1-T$104))+($B$82*T$104)</f>
        <v>761.888262246312</v>
      </c>
      <c r="V209" s="1" t="n">
        <f aca="false">($B$76*(1-U$104))+($B$82*U$104)</f>
        <v>564.00624926452</v>
      </c>
      <c r="W209" s="1" t="n">
        <f aca="false">($B$76*(1-V$104))+($B$82*V$104)</f>
        <v>336.441934335459</v>
      </c>
      <c r="X209" s="1" t="n">
        <f aca="false">($B$76*(1-W$104))+($B$82*W$104)</f>
        <v>74.742972167039</v>
      </c>
      <c r="Y209" s="1" t="n">
        <f aca="false">($B$76*(1-X$104))+($B$82*X$104)</f>
        <v>-96.7935659436751</v>
      </c>
      <c r="Z209" s="1" t="n">
        <f aca="false">($B$76*(1-Y$104))+($B$82*Y$104)</f>
        <v>-268.330104054389</v>
      </c>
      <c r="AA209" s="1" t="n">
        <f aca="false">($B$76*(1-Z$104))+($B$82*Z$104)</f>
        <v>-439.866642165103</v>
      </c>
      <c r="AB209" s="1" t="n">
        <f aca="false">($B$76*(1-AA$104))+($B$82*AA$104)</f>
        <v>192.33461889286</v>
      </c>
      <c r="AC209" s="1" t="n">
        <f aca="false">($B$76*(1-AB$104))+($B$82*AB$104)</f>
        <v>192.33461889286</v>
      </c>
    </row>
    <row r="210" customFormat="false" ht="12.8" hidden="false" customHeight="false" outlineLevel="0" collapsed="false">
      <c r="A210" s="1" t="s">
        <v>41</v>
      </c>
      <c r="B210" s="1" t="n">
        <f aca="false">($C$60*(1-B$112))+($C$61*B$112)</f>
        <v>8018.82390447805</v>
      </c>
      <c r="C210" s="1" t="n">
        <f aca="false">($C$60*(1-C$112))+($C$61*C$112)</f>
        <v>8018.82390447805</v>
      </c>
      <c r="D210" s="1" t="n">
        <f aca="false">($C$60*(1-D$111))+($C$61*D$111)</f>
        <v>7985.69221922779</v>
      </c>
      <c r="E210" s="1" t="n">
        <f aca="false">($C$60*(1-E$111))+($C$61*E$111)</f>
        <v>7948.75229937384</v>
      </c>
      <c r="F210" s="1" t="n">
        <f aca="false">($C$60*(1-F$111))+($C$61*F$111)</f>
        <v>7907.38740865953</v>
      </c>
      <c r="G210" s="1" t="n">
        <f aca="false">($C$60*(1-G$111))+($C$61*G$111)</f>
        <v>7860.97463628631</v>
      </c>
      <c r="H210" s="1" t="n">
        <f aca="false">($C$60*(1-H$111))+($C$61*H$111)</f>
        <v>7808.9120582025</v>
      </c>
      <c r="I210" s="1" t="n">
        <f aca="false">($C$60*(1-I$111))+($C$61*I$111)</f>
        <v>7750.6536820383</v>
      </c>
      <c r="J210" s="1" t="n">
        <f aca="false">($C$60*(1-J$111))+($C$61*J$111)</f>
        <v>7685.75088652712</v>
      </c>
      <c r="K210" s="1" t="n">
        <f aca="false">($C$60*(1-K$111))+($C$61*K$111)</f>
        <v>7613.89735516433</v>
      </c>
      <c r="L210" s="1" t="n">
        <f aca="false">($C$60*(1-L$111))+($C$61*L$111)</f>
        <v>7534.97266958092</v>
      </c>
      <c r="M210" s="1" t="n">
        <f aca="false">($C$60*(1-M$111))+($C$61*M$111)</f>
        <v>7449.07827628633</v>
      </c>
      <c r="N210" s="1" t="n">
        <f aca="false">($C$60*(1-N$111))+($C$61*N$111)</f>
        <v>7356.55910912421</v>
      </c>
      <c r="O210" s="1" t="n">
        <f aca="false">($C$60*(1-O$111))+($C$61*O$111)</f>
        <v>7258.0052768289</v>
      </c>
      <c r="P210" s="1" t="n">
        <f aca="false">($C$60*(1-P$111))+($C$61*P$111)</f>
        <v>7154.23103670215</v>
      </c>
      <c r="Q210" s="1" t="n">
        <f aca="false">($C$60*(1-Q$111))+($C$61*Q$111)</f>
        <v>7046.23226343993</v>
      </c>
      <c r="R210" s="1" t="n">
        <f aca="false">($C$60*(1-R$111))+($C$61*R$111)</f>
        <v>6935.12770252934</v>
      </c>
      <c r="S210" s="1" t="n">
        <f aca="false">($C$60*(1-S$111))+($C$61*S$111)</f>
        <v>6822.09221063387</v>
      </c>
      <c r="T210" s="1" t="n">
        <f aca="false">($C$60*(1-T$111))+($C$61*T$111)</f>
        <v>6708.2910571104</v>
      </c>
      <c r="U210" s="1" t="n">
        <f aca="false">($C$60*(1-U$111))+($C$61*U$111)</f>
        <v>6594.82309329041</v>
      </c>
      <c r="V210" s="1" t="n">
        <f aca="false">($C$60*(1-V$111))+($C$61*V$111)</f>
        <v>6482.67784711056</v>
      </c>
      <c r="W210" s="1" t="n">
        <f aca="false">($C$60*(1-W$111))+($C$61*W$111)</f>
        <v>6372.7083972719</v>
      </c>
      <c r="X210" s="1" t="n">
        <f aca="false">($C$60*(1-X$111))+($C$61*X$111)</f>
        <v>6265.61914075257</v>
      </c>
      <c r="Y210" s="1" t="n">
        <f aca="false">($C$60*(1-Y$111))+($C$61*Y$111)</f>
        <v>6161.96579648522</v>
      </c>
      <c r="Z210" s="1" t="n">
        <f aca="false">($C$60*(1-Z$111))+($C$61*Z$111)</f>
        <v>6062.1642490267</v>
      </c>
      <c r="AA210" s="1" t="n">
        <f aca="false">($C$60*(1-AA$111))+($C$61*AA$111)</f>
        <v>5966.50489921801</v>
      </c>
      <c r="AB210" s="1" t="n">
        <f aca="false">($C$60*(1-AB$111))+($C$61*AB$111)</f>
        <v>5875.16972406175</v>
      </c>
      <c r="AC210" s="1" t="n">
        <f aca="false">($C$60*(1-AC$111))+($C$61*AC$111)</f>
        <v>5788.24996252718</v>
      </c>
    </row>
    <row r="211" customFormat="false" ht="12.8" hidden="false" customHeight="false" outlineLevel="0" collapsed="false">
      <c r="A211" s="1" t="s">
        <v>20</v>
      </c>
      <c r="B211" s="1" t="n">
        <f aca="false">SUM(B206:B210)</f>
        <v>10288.6433480329</v>
      </c>
      <c r="C211" s="1" t="n">
        <f aca="false">SUM(C206:C210)</f>
        <v>10288.6433480329</v>
      </c>
      <c r="D211" s="1" t="n">
        <f aca="false">SUM(D206:D210)</f>
        <v>10131.9648640121</v>
      </c>
      <c r="E211" s="1" t="n">
        <f aca="false">SUM(E206:E210)</f>
        <v>10029.7423544929</v>
      </c>
      <c r="F211" s="1" t="n">
        <f aca="false">SUM(F206:F210)</f>
        <v>9811.29150363869</v>
      </c>
      <c r="G211" s="1" t="n">
        <f aca="false">SUM(G206:G210)</f>
        <v>9748.1271162156</v>
      </c>
      <c r="H211" s="1" t="n">
        <f aca="false">SUM(H206:H210)</f>
        <v>9675.12501931944</v>
      </c>
      <c r="I211" s="1" t="n">
        <f aca="false">SUM(I206:I210)</f>
        <v>9590.69224463981</v>
      </c>
      <c r="J211" s="1" t="n">
        <f aca="false">SUM(J206:J210)</f>
        <v>9493.07145098435</v>
      </c>
      <c r="K211" s="1" t="n">
        <f aca="false">SUM(K206:K210)</f>
        <v>9383.59222175563</v>
      </c>
      <c r="L211" s="1" t="n">
        <f aca="false">SUM(L206:L210)</f>
        <v>9260.43550177197</v>
      </c>
      <c r="M211" s="1" t="n">
        <f aca="false">SUM(M206:M210)</f>
        <v>9153.67973434456</v>
      </c>
      <c r="N211" s="1" t="n">
        <f aca="false">SUM(N206:N210)</f>
        <v>8996.47258612643</v>
      </c>
      <c r="O211" s="1" t="n">
        <f aca="false">SUM(O206:O210)</f>
        <v>8823.52757561673</v>
      </c>
      <c r="P211" s="1" t="n">
        <f aca="false">SUM(P206:P210)</f>
        <v>8634.20348054343</v>
      </c>
      <c r="Q211" s="1" t="n">
        <f aca="false">SUM(Q206:Q210)</f>
        <v>8427.82237409267</v>
      </c>
      <c r="R211" s="1" t="n">
        <f aca="false">SUM(R206:R210)</f>
        <v>8203.57813001525</v>
      </c>
      <c r="S211" s="1" t="n">
        <f aca="false">SUM(S206:S210)</f>
        <v>7924.17672463221</v>
      </c>
      <c r="T211" s="1" t="n">
        <f aca="false">SUM(T206:T210)</f>
        <v>7692.59847987968</v>
      </c>
      <c r="U211" s="1" t="n">
        <f aca="false">SUM(U206:U210)</f>
        <v>7407.05920042334</v>
      </c>
      <c r="V211" s="1" t="n">
        <f aca="false">SUM(V206:V210)</f>
        <v>7097.03194126171</v>
      </c>
      <c r="W211" s="1" t="n">
        <f aca="false">SUM(W206:W210)</f>
        <v>6759.49817649399</v>
      </c>
      <c r="X211" s="1" t="n">
        <f aca="false">SUM(X206:X210)</f>
        <v>6390.70995780623</v>
      </c>
      <c r="Y211" s="1" t="n">
        <f aca="false">SUM(Y206:Y210)</f>
        <v>6115.52007542817</v>
      </c>
      <c r="Z211" s="1" t="n">
        <f aca="false">SUM(Z206:Z210)</f>
        <v>5811.55223979779</v>
      </c>
      <c r="AA211" s="1" t="n">
        <f aca="false">SUM(AA206:AA210)</f>
        <v>5573.02147766154</v>
      </c>
      <c r="AB211" s="1" t="n">
        <f aca="false">SUM(AB206:AB210)</f>
        <v>6085.22243778009</v>
      </c>
      <c r="AC211" s="1" t="n">
        <f aca="false">SUM(AC206:AC210)</f>
        <v>5998.30267624551</v>
      </c>
    </row>
    <row r="214" customFormat="false" ht="12.8" hidden="false" customHeight="false" outlineLevel="0" collapsed="false">
      <c r="C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30"/>
    </row>
    <row r="217" customFormat="false" ht="12.8" hidden="false" customHeight="false" outlineLevel="0" collapsed="false">
      <c r="A217" s="1" t="s">
        <v>42</v>
      </c>
      <c r="B217" s="1" t="s">
        <v>43</v>
      </c>
      <c r="C217" s="1" t="n">
        <v>2024</v>
      </c>
      <c r="D217" s="1" t="n">
        <v>2025</v>
      </c>
      <c r="E217" s="1" t="n">
        <v>2026</v>
      </c>
      <c r="F217" s="1" t="n">
        <v>2027</v>
      </c>
      <c r="G217" s="1" t="n">
        <v>2028</v>
      </c>
      <c r="H217" s="1" t="n">
        <v>2029</v>
      </c>
      <c r="I217" s="1" t="n">
        <v>2030</v>
      </c>
      <c r="J217" s="1" t="n">
        <v>2031</v>
      </c>
      <c r="K217" s="1" t="n">
        <v>2032</v>
      </c>
      <c r="L217" s="1" t="n">
        <v>2033</v>
      </c>
      <c r="M217" s="1" t="n">
        <v>2034</v>
      </c>
      <c r="N217" s="1" t="n">
        <v>2035</v>
      </c>
      <c r="O217" s="1" t="n">
        <v>2036</v>
      </c>
      <c r="P217" s="1" t="n">
        <v>2037</v>
      </c>
      <c r="Q217" s="1" t="n">
        <v>2038</v>
      </c>
      <c r="R217" s="1" t="n">
        <v>2039</v>
      </c>
      <c r="S217" s="1" t="n">
        <v>2040</v>
      </c>
      <c r="T217" s="1" t="n">
        <v>2041</v>
      </c>
      <c r="U217" s="1" t="n">
        <v>2042</v>
      </c>
      <c r="V217" s="1" t="n">
        <v>2043</v>
      </c>
      <c r="W217" s="1" t="n">
        <v>2044</v>
      </c>
      <c r="X217" s="1" t="n">
        <v>2045</v>
      </c>
      <c r="Y217" s="1" t="n">
        <v>2046</v>
      </c>
      <c r="Z217" s="1" t="n">
        <v>2047</v>
      </c>
      <c r="AA217" s="1" t="n">
        <v>2048</v>
      </c>
      <c r="AB217" s="1" t="n">
        <v>2049</v>
      </c>
      <c r="AC217" s="1" t="n">
        <v>2050</v>
      </c>
    </row>
    <row r="218" customFormat="false" ht="12.8" hidden="false" customHeight="false" outlineLevel="0" collapsed="false">
      <c r="A218" s="1" t="s">
        <v>37</v>
      </c>
      <c r="B218" s="1" t="n">
        <f aca="false">($B$30*$B$28)+($B$40*$B$44)</f>
        <v>66.585808657411</v>
      </c>
      <c r="C218" s="1" t="n">
        <f aca="false">($B$30*$B$28)+($B$40*$B$44)</f>
        <v>66.585808657411</v>
      </c>
      <c r="D218" s="1" t="n">
        <f aca="false">($B$30*$B$33)+($B$46*$B$49)</f>
        <v>4.81240927215614</v>
      </c>
      <c r="E218" s="1" t="n">
        <f aca="false">($B$30*$B$33)+($B$46*$B$49)</f>
        <v>4.81240927215614</v>
      </c>
      <c r="F218" s="1" t="n">
        <f aca="false">($B$30*$B$33)+($B$46*$B$49)</f>
        <v>4.81240927215614</v>
      </c>
      <c r="G218" s="1" t="n">
        <f aca="false">($B$30*$B$33)+($B$46*$B$49)</f>
        <v>4.81240927215614</v>
      </c>
      <c r="H218" s="1" t="n">
        <f aca="false">($B$30*$B$33)+($B$46*$B$49)</f>
        <v>4.81240927215614</v>
      </c>
      <c r="I218" s="1" t="n">
        <f aca="false">($B$30*$B$33)+($B$46*$B$49)</f>
        <v>4.81240927215614</v>
      </c>
      <c r="J218" s="1" t="n">
        <f aca="false">($B$30*$B$33)+($B$46*$B$49)</f>
        <v>4.81240927215614</v>
      </c>
      <c r="K218" s="1" t="n">
        <f aca="false">($B$30*$B$33)+($B$46*$B$49)</f>
        <v>4.81240927215614</v>
      </c>
      <c r="L218" s="1" t="n">
        <f aca="false">$K218*0.9</f>
        <v>4.33116834494052</v>
      </c>
      <c r="M218" s="1" t="n">
        <v>22.0256904333107</v>
      </c>
      <c r="N218" s="1" t="n">
        <v>22.0256904333107</v>
      </c>
      <c r="O218" s="1" t="n">
        <v>22.0256904333107</v>
      </c>
      <c r="P218" s="1" t="n">
        <v>22.0256904333107</v>
      </c>
      <c r="Q218" s="1" t="n">
        <v>22.0256904333107</v>
      </c>
      <c r="R218" s="1" t="n">
        <v>22.0256904333107</v>
      </c>
      <c r="S218" s="1" t="n">
        <f aca="false">$L218*0.9</f>
        <v>3.89805151044647</v>
      </c>
      <c r="T218" s="1" t="n">
        <v>19.8231213899797</v>
      </c>
      <c r="U218" s="1" t="n">
        <v>19.8231213899797</v>
      </c>
      <c r="V218" s="1" t="n">
        <v>19.8231213899797</v>
      </c>
      <c r="W218" s="1" t="n">
        <v>19.8231213899797</v>
      </c>
      <c r="X218" s="1" t="n">
        <v>19.8231213899797</v>
      </c>
      <c r="Y218" s="1" t="n">
        <v>19.8231213899797</v>
      </c>
      <c r="Z218" s="1" t="n">
        <f aca="false">$S218*0.9</f>
        <v>3.50824635940183</v>
      </c>
      <c r="AA218" s="1" t="n">
        <v>17.8408092509817</v>
      </c>
      <c r="AB218" s="1" t="n">
        <f aca="false">$S218*0.9</f>
        <v>3.50824635940183</v>
      </c>
      <c r="AC218" s="1" t="n">
        <f aca="false">$S218*0.9</f>
        <v>3.50824635940183</v>
      </c>
    </row>
    <row r="219" customFormat="false" ht="12.8" hidden="false" customHeight="false" outlineLevel="0" collapsed="false">
      <c r="A219" s="1" t="s">
        <v>18</v>
      </c>
      <c r="B219" s="1" t="n">
        <f aca="false">$B$10</f>
        <v>114.47391312</v>
      </c>
      <c r="C219" s="1" t="n">
        <f aca="false">$B$10</f>
        <v>114.47391312</v>
      </c>
      <c r="D219" s="1" t="n">
        <f aca="false">$B$10</f>
        <v>114.47391312</v>
      </c>
      <c r="E219" s="1" t="n">
        <f aca="false">($B$18*0.25)+($B$10*0.75)</f>
        <v>87.1931351033335</v>
      </c>
      <c r="F219" s="141" t="n">
        <f aca="false">$B$18</f>
        <v>5.35080105333394</v>
      </c>
      <c r="G219" s="141" t="n">
        <f aca="false">$B$18</f>
        <v>5.35080105333394</v>
      </c>
      <c r="H219" s="141" t="n">
        <f aca="false">$B$18</f>
        <v>5.35080105333394</v>
      </c>
      <c r="I219" s="141" t="n">
        <f aca="false">$B$18</f>
        <v>5.35080105333394</v>
      </c>
      <c r="J219" s="141" t="n">
        <f aca="false">$B$18</f>
        <v>5.35080105333394</v>
      </c>
      <c r="K219" s="141" t="n">
        <f aca="false">$B$18</f>
        <v>5.35080105333394</v>
      </c>
      <c r="L219" s="141" t="n">
        <f aca="false">$B$18</f>
        <v>5.35080105333394</v>
      </c>
      <c r="M219" s="141" t="n">
        <f aca="false">$B$18</f>
        <v>5.35080105333394</v>
      </c>
      <c r="N219" s="141" t="n">
        <f aca="false">$B$18</f>
        <v>5.35080105333394</v>
      </c>
      <c r="O219" s="141" t="n">
        <f aca="false">$B$18</f>
        <v>5.35080105333394</v>
      </c>
      <c r="P219" s="141" t="n">
        <f aca="false">$B$18</f>
        <v>5.35080105333394</v>
      </c>
      <c r="Q219" s="141" t="n">
        <f aca="false">$B$18</f>
        <v>5.35080105333394</v>
      </c>
      <c r="R219" s="141" t="n">
        <f aca="false">$B$18</f>
        <v>5.35080105333394</v>
      </c>
      <c r="S219" s="141" t="n">
        <f aca="false">$B$18</f>
        <v>5.35080105333394</v>
      </c>
      <c r="T219" s="141" t="n">
        <f aca="false">$B$18</f>
        <v>5.35080105333394</v>
      </c>
      <c r="U219" s="141" t="n">
        <f aca="false">$B$18</f>
        <v>5.35080105333394</v>
      </c>
      <c r="V219" s="141" t="n">
        <f aca="false">$B$18</f>
        <v>5.35080105333394</v>
      </c>
      <c r="W219" s="141" t="n">
        <f aca="false">$B$18</f>
        <v>5.35080105333394</v>
      </c>
      <c r="X219" s="141" t="n">
        <f aca="false">$B$18</f>
        <v>5.35080105333394</v>
      </c>
      <c r="Y219" s="141" t="n">
        <f aca="false">$B$18</f>
        <v>5.35080105333394</v>
      </c>
      <c r="Z219" s="141" t="n">
        <f aca="false">$B$18</f>
        <v>5.35080105333394</v>
      </c>
      <c r="AA219" s="141" t="n">
        <f aca="false">$B$18</f>
        <v>5.35080105333394</v>
      </c>
      <c r="AB219" s="141" t="n">
        <f aca="false">$B$18</f>
        <v>5.35080105333394</v>
      </c>
      <c r="AC219" s="141" t="n">
        <f aca="false">$B$18</f>
        <v>5.35080105333394</v>
      </c>
      <c r="AD219" s="1"/>
    </row>
    <row r="220" customFormat="false" ht="12.8" hidden="false" customHeight="false" outlineLevel="0" collapsed="false">
      <c r="A220" s="3" t="s">
        <v>39</v>
      </c>
      <c r="B220" s="1" t="n">
        <f aca="false">SUM(B218:B219)</f>
        <v>181.059721777411</v>
      </c>
      <c r="C220" s="1" t="n">
        <f aca="false">SUM(C218:C219)</f>
        <v>181.059721777411</v>
      </c>
      <c r="D220" s="1" t="n">
        <f aca="false">SUM(D218:D219)</f>
        <v>119.286322392156</v>
      </c>
      <c r="E220" s="1" t="n">
        <f aca="false">SUM(E218:E219)</f>
        <v>92.0055443754896</v>
      </c>
      <c r="F220" s="1" t="n">
        <f aca="false">SUM(F218:F219)</f>
        <v>10.1632103254901</v>
      </c>
      <c r="G220" s="1" t="n">
        <f aca="false">SUM(G218:G219)</f>
        <v>10.1632103254901</v>
      </c>
      <c r="H220" s="1" t="n">
        <f aca="false">SUM(H218:H219)</f>
        <v>10.1632103254901</v>
      </c>
      <c r="I220" s="1" t="n">
        <f aca="false">SUM(I218:I219)</f>
        <v>10.1632103254901</v>
      </c>
      <c r="J220" s="1" t="n">
        <f aca="false">SUM(J218:J219)</f>
        <v>10.1632103254901</v>
      </c>
      <c r="K220" s="1" t="n">
        <f aca="false">SUM(K218:K219)</f>
        <v>10.1632103254901</v>
      </c>
      <c r="L220" s="1" t="n">
        <f aca="false">SUM(L218:L219)</f>
        <v>9.68196939827446</v>
      </c>
      <c r="M220" s="1" t="n">
        <f aca="false">SUM(M218:M219)</f>
        <v>27.3764914866446</v>
      </c>
      <c r="N220" s="1" t="n">
        <f aca="false">SUM(N218:N219)</f>
        <v>27.3764914866446</v>
      </c>
      <c r="O220" s="1" t="n">
        <f aca="false">SUM(O218:O219)</f>
        <v>27.3764914866446</v>
      </c>
      <c r="P220" s="1" t="n">
        <f aca="false">SUM(P218:P219)</f>
        <v>27.3764914866446</v>
      </c>
      <c r="Q220" s="1" t="n">
        <f aca="false">SUM(Q218:Q219)</f>
        <v>27.3764914866446</v>
      </c>
      <c r="R220" s="1" t="n">
        <f aca="false">SUM(R218:R219)</f>
        <v>27.3764914866446</v>
      </c>
      <c r="S220" s="1" t="n">
        <f aca="false">SUM(S218:S219)</f>
        <v>9.24885256378041</v>
      </c>
      <c r="T220" s="1" t="n">
        <f aca="false">SUM(T218:T219)</f>
        <v>25.1739224433136</v>
      </c>
      <c r="U220" s="1" t="n">
        <f aca="false">SUM(U218:U219)</f>
        <v>25.1739224433136</v>
      </c>
      <c r="V220" s="1" t="n">
        <f aca="false">SUM(V218:V219)</f>
        <v>25.1739224433136</v>
      </c>
      <c r="W220" s="1" t="n">
        <f aca="false">SUM(W218:W219)</f>
        <v>25.1739224433136</v>
      </c>
      <c r="X220" s="1" t="n">
        <f aca="false">SUM(X218:X219)</f>
        <v>25.1739224433136</v>
      </c>
      <c r="Y220" s="1" t="n">
        <f aca="false">SUM(Y218:Y219)</f>
        <v>25.1739224433136</v>
      </c>
      <c r="Z220" s="1" t="n">
        <f aca="false">SUM(Z218:Z219)</f>
        <v>8.85904741273576</v>
      </c>
      <c r="AA220" s="1" t="n">
        <f aca="false">SUM(AA218:AA219)</f>
        <v>23.1916103043156</v>
      </c>
      <c r="AB220" s="1" t="n">
        <f aca="false">SUM(AB218:AB219)</f>
        <v>8.85904741273576</v>
      </c>
      <c r="AC220" s="1" t="n">
        <f aca="false">SUM(AC218:AC219)</f>
        <v>8.85904741273576</v>
      </c>
      <c r="AD220" s="130"/>
    </row>
    <row r="221" customFormat="false" ht="12.8" hidden="false" customHeight="false" outlineLevel="0" collapsed="false">
      <c r="A221" s="1" t="s">
        <v>40</v>
      </c>
      <c r="B221" s="1" t="n">
        <f aca="false">$B$76</f>
        <v>1907.7</v>
      </c>
      <c r="C221" s="1" t="n">
        <f aca="false">$B$76</f>
        <v>1907.7</v>
      </c>
      <c r="D221" s="1" t="n">
        <f aca="false">($B$76*(1-C$105))+($B$82*C$105)</f>
        <v>1907.7</v>
      </c>
      <c r="E221" s="1" t="n">
        <f aca="false">($B$76*(1-D$105))+($B$82*D$105)</f>
        <v>1889.83161061347</v>
      </c>
      <c r="F221" s="1" t="n">
        <f aca="false">($B$76*(1-E$105))+($B$82*E$105)</f>
        <v>1864.81586547232</v>
      </c>
      <c r="G221" s="1" t="n">
        <f aca="false">($B$76*(1-F$105))+($B$82*F$105)</f>
        <v>1829.79382227472</v>
      </c>
      <c r="H221" s="1" t="n">
        <f aca="false">($B$76*(1-G$105))+($B$82*G$105)</f>
        <v>1780.76296179807</v>
      </c>
      <c r="I221" s="1" t="n">
        <f aca="false">($B$76*(1-H$105))+($B$82*H$105)</f>
        <v>1712.11975713077</v>
      </c>
      <c r="J221" s="1" t="n">
        <f aca="false">($B$76*(1-I$105))+($B$82*I$105)</f>
        <v>1616.01927059654</v>
      </c>
      <c r="K221" s="1" t="n">
        <f aca="false">($B$76*(1-J$105))+($B$82*J$105)</f>
        <v>1495.89366242876</v>
      </c>
      <c r="L221" s="1" t="n">
        <f aca="false">($B$76*(1-K$105))+($B$82*K$105)</f>
        <v>1352.9465473365</v>
      </c>
      <c r="M221" s="1" t="n">
        <f aca="false">($B$76*(1-L$105))+($B$82*L$105)</f>
        <v>1209.99943224424</v>
      </c>
      <c r="N221" s="1" t="n">
        <f aca="false">($B$76*(1-M$105))+($B$82*M$105)</f>
        <v>1067.05231715198</v>
      </c>
      <c r="O221" s="1" t="n">
        <f aca="false">($B$76*(1-N$105))+($B$82*N$105)</f>
        <v>924.105202059714</v>
      </c>
      <c r="P221" s="1" t="n">
        <f aca="false">($B$76*(1-O$105))+($B$82*O$105)</f>
        <v>781.158086967452</v>
      </c>
      <c r="Q221" s="1" t="n">
        <f aca="false">($B$76*(1-P$105))+($B$82*P$105)</f>
        <v>638.21097187519</v>
      </c>
      <c r="R221" s="1" t="n">
        <f aca="false">($B$76*(1-Q$105))+($B$82*Q$105)</f>
        <v>495.263856782929</v>
      </c>
      <c r="S221" s="1" t="n">
        <f aca="false">($B$76*(1-R$105))+($B$82*R$105)</f>
        <v>352.316741690667</v>
      </c>
      <c r="T221" s="1" t="n">
        <f aca="false">($B$76*(1-S$105))+($B$82*S$105)</f>
        <v>209.369626598405</v>
      </c>
      <c r="U221" s="1" t="n">
        <f aca="false">($B$76*(1-T$105))+($B$82*T$105)</f>
        <v>192.33461889286</v>
      </c>
      <c r="V221" s="1" t="n">
        <f aca="false">($B$76*(1-U$105))+($B$82*U$105)</f>
        <v>192.33461889286</v>
      </c>
      <c r="W221" s="1" t="n">
        <f aca="false">($B$76*(1-V$105))+($B$82*V$105)</f>
        <v>192.33461889286</v>
      </c>
      <c r="X221" s="1" t="n">
        <f aca="false">($B$76*(1-W$105))+($B$82*W$105)</f>
        <v>192.33461889286</v>
      </c>
      <c r="Y221" s="1" t="n">
        <f aca="false">($B$76*(1-X$105))+($B$82*X$105)</f>
        <v>192.33461889286</v>
      </c>
      <c r="Z221" s="1" t="n">
        <f aca="false">($B$76*(1-Y$105))+($B$82*Y$105)</f>
        <v>192.33461889286</v>
      </c>
      <c r="AA221" s="1" t="n">
        <f aca="false">($B$76*(1-Z$105))+($B$82*Z$105)</f>
        <v>192.33461889286</v>
      </c>
      <c r="AB221" s="1" t="n">
        <f aca="false">($B$76*(1-AA$105))+($B$82*AA$105)</f>
        <v>192.33461889286</v>
      </c>
      <c r="AC221" s="1" t="n">
        <f aca="false">($B$76*(1-AB$105))+($B$82*AB$105)</f>
        <v>192.33461889286</v>
      </c>
    </row>
    <row r="222" customFormat="false" ht="12.8" hidden="false" customHeight="false" outlineLevel="0" collapsed="false">
      <c r="A222" s="1" t="s">
        <v>41</v>
      </c>
      <c r="B222" s="1" t="n">
        <f aca="false">($C$60*(1-B$112))+(($C$61*B$112))</f>
        <v>8018.82390447805</v>
      </c>
      <c r="C222" s="1" t="n">
        <f aca="false">($C$60*(1-C$112))+(($C$61*C$112))</f>
        <v>8018.82390447805</v>
      </c>
      <c r="D222" s="1" t="n">
        <f aca="false">($C$60*(1-D$112))+(($C$61*D$112))</f>
        <v>7948.32297748302</v>
      </c>
      <c r="E222" s="1" t="n">
        <f aca="false">($C$60*(1-E$112))+(($C$61*E$112))</f>
        <v>7865.05875609155</v>
      </c>
      <c r="F222" s="1" t="n">
        <f aca="false">($C$60*(1-F$112))+(($C$61*F$112))</f>
        <v>7767.15859470763</v>
      </c>
      <c r="G222" s="1" t="n">
        <f aca="false">($C$60*(1-G$112))+(($C$61*G$112))</f>
        <v>7652.64036257978</v>
      </c>
      <c r="H222" s="1" t="n">
        <f aca="false">($C$60*(1-H$112))+(($C$61*H$112))</f>
        <v>7519.4675460663</v>
      </c>
      <c r="I222" s="1" t="n">
        <f aca="false">($C$60*(1-I$112))+(($C$61*I$112))</f>
        <v>7365.62524387354</v>
      </c>
      <c r="J222" s="1" t="n">
        <f aca="false">($C$60*(1-J$112))+(($C$61*J$112))</f>
        <v>7189.21590963325</v>
      </c>
      <c r="K222" s="1" t="n">
        <f aca="false">($C$60*(1-K$112))+(($C$61*K$112))</f>
        <v>7016.31926229223</v>
      </c>
      <c r="L222" s="1" t="n">
        <f aca="false">($C$60*(1-L$112))+(($C$61*L$112))</f>
        <v>6827.05926863771</v>
      </c>
      <c r="M222" s="1" t="n">
        <f aca="false">($C$60*(1-M$112))+(($C$61*M$112))</f>
        <v>6622.93509266564</v>
      </c>
      <c r="N222" s="1" t="n">
        <f aca="false">($C$60*(1-N$112))+(($C$61*N$112))</f>
        <v>6406.28871321416</v>
      </c>
      <c r="O222" s="1" t="n">
        <f aca="false">($C$60*(1-O$112))+(($C$61*O$112))</f>
        <v>6180.27060385542</v>
      </c>
      <c r="P222" s="1" t="n">
        <f aca="false">($C$60*(1-P$112))+(($C$61*P$112))</f>
        <v>5948.71333732636</v>
      </c>
      <c r="Q222" s="1" t="n">
        <f aca="false">($C$60*(1-Q$112))+(($C$61*Q$112))</f>
        <v>5715.91654787252</v>
      </c>
      <c r="R222" s="1" t="n">
        <f aca="false">($C$60*(1-R$112))+(($C$61*R$112))</f>
        <v>5518.1109132347</v>
      </c>
      <c r="S222" s="1" t="n">
        <f aca="false">($C$60*(1-S$112))+(($C$61*S$112))</f>
        <v>5332.40718812549</v>
      </c>
      <c r="T222" s="1" t="n">
        <f aca="false">($C$60*(1-T$112))+(($C$61*T$112))</f>
        <v>5162.37290072082</v>
      </c>
      <c r="U222" s="1" t="n">
        <f aca="false">($C$60*(1-U$112))+(($C$61*U$112))</f>
        <v>5010.6145261262</v>
      </c>
      <c r="V222" s="1" t="n">
        <f aca="false">($C$60*(1-V$112))+(($C$61*V$112))</f>
        <v>4878.62969719141</v>
      </c>
      <c r="W222" s="1" t="n">
        <f aca="false">($C$60*(1-W$112))+(($C$61*W$112))</f>
        <v>4766.78954289349</v>
      </c>
      <c r="X222" s="1" t="n">
        <f aca="false">($C$60*(1-X$112))+(($C$61*X$112))</f>
        <v>4674.443880311</v>
      </c>
      <c r="Y222" s="1" t="n">
        <f aca="false">($C$60*(1-Y$112))+(($C$61*Y$112))</f>
        <v>4610.40023186189</v>
      </c>
      <c r="Z222" s="1" t="n">
        <f aca="false">($C$60*(1-Z$112))+(($C$61*Z$112))</f>
        <v>4561.5917470847</v>
      </c>
      <c r="AA222" s="1" t="n">
        <f aca="false">($C$60*(1-AA$112))+(($C$61*AA$112))</f>
        <v>4525.48326695143</v>
      </c>
      <c r="AB222" s="1" t="n">
        <f aca="false">($C$60*(1-AB$112))+(($C$61*AB$112))</f>
        <v>4499.54860929938</v>
      </c>
      <c r="AC222" s="1" t="n">
        <f aca="false">($C$60*(1-AC$112))+(($C$61*AC$112))</f>
        <v>4481.4588464126</v>
      </c>
    </row>
    <row r="223" customFormat="false" ht="12.8" hidden="false" customHeight="false" outlineLevel="0" collapsed="false">
      <c r="A223" s="1" t="s">
        <v>20</v>
      </c>
      <c r="B223" s="1" t="n">
        <f aca="false">SUM(B218:B222)</f>
        <v>10288.6433480329</v>
      </c>
      <c r="C223" s="1" t="n">
        <f aca="false">SUM(C218:C222)</f>
        <v>10288.6433480329</v>
      </c>
      <c r="D223" s="1" t="n">
        <f aca="false">SUM(D218:D222)</f>
        <v>10094.5956222673</v>
      </c>
      <c r="E223" s="1" t="n">
        <f aca="false">SUM(E218:E222)</f>
        <v>9938.901455456</v>
      </c>
      <c r="F223" s="1" t="n">
        <f aca="false">SUM(F218:F222)</f>
        <v>9652.30088083093</v>
      </c>
      <c r="G223" s="1" t="n">
        <f aca="false">SUM(G218:G222)</f>
        <v>9502.76060550548</v>
      </c>
      <c r="H223" s="1" t="n">
        <f aca="false">SUM(H218:H222)</f>
        <v>9320.55692851535</v>
      </c>
      <c r="I223" s="1" t="n">
        <f aca="false">SUM(I218:I222)</f>
        <v>9098.07142165529</v>
      </c>
      <c r="J223" s="1" t="n">
        <f aca="false">SUM(J218:J222)</f>
        <v>8825.56160088077</v>
      </c>
      <c r="K223" s="1" t="n">
        <f aca="false">SUM(K218:K222)</f>
        <v>8532.53934537197</v>
      </c>
      <c r="L223" s="1" t="n">
        <f aca="false">SUM(L218:L222)</f>
        <v>8199.36975477076</v>
      </c>
      <c r="M223" s="1" t="n">
        <f aca="false">SUM(M218:M222)</f>
        <v>7887.68750788317</v>
      </c>
      <c r="N223" s="1" t="n">
        <f aca="false">SUM(N218:N222)</f>
        <v>7528.09401333942</v>
      </c>
      <c r="O223" s="1" t="n">
        <f aca="false">SUM(O218:O222)</f>
        <v>7159.12878888842</v>
      </c>
      <c r="P223" s="1" t="n">
        <f aca="false">SUM(P218:P222)</f>
        <v>6784.6244072671</v>
      </c>
      <c r="Q223" s="1" t="n">
        <f aca="false">SUM(Q218:Q222)</f>
        <v>6408.880502721</v>
      </c>
      <c r="R223" s="1" t="n">
        <f aca="false">SUM(R218:R222)</f>
        <v>6068.12775299092</v>
      </c>
      <c r="S223" s="1" t="n">
        <f aca="false">SUM(S218:S222)</f>
        <v>5703.22163494372</v>
      </c>
      <c r="T223" s="1" t="n">
        <f aca="false">SUM(T218:T222)</f>
        <v>5422.09037220585</v>
      </c>
      <c r="U223" s="1" t="n">
        <f aca="false">SUM(U218:U222)</f>
        <v>5253.29698990569</v>
      </c>
      <c r="V223" s="1" t="n">
        <f aca="false">SUM(V218:V222)</f>
        <v>5121.31216097089</v>
      </c>
      <c r="W223" s="1" t="n">
        <f aca="false">SUM(W218:W222)</f>
        <v>5009.47200667297</v>
      </c>
      <c r="X223" s="1" t="n">
        <f aca="false">SUM(X218:X222)</f>
        <v>4917.12634409049</v>
      </c>
      <c r="Y223" s="1" t="n">
        <f aca="false">SUM(Y218:Y222)</f>
        <v>4853.08269564138</v>
      </c>
      <c r="Z223" s="1" t="n">
        <f aca="false">SUM(Z218:Z222)</f>
        <v>4771.64446080303</v>
      </c>
      <c r="AA223" s="1" t="n">
        <f aca="false">SUM(AA218:AA222)</f>
        <v>4764.20110645292</v>
      </c>
      <c r="AB223" s="1" t="n">
        <f aca="false">SUM(AB218:AB222)</f>
        <v>4709.60132301771</v>
      </c>
      <c r="AC223" s="1" t="n">
        <f aca="false">SUM(AC218:AC222)</f>
        <v>4691.51156013093</v>
      </c>
    </row>
    <row r="225" customFormat="false" ht="12.8" hidden="false" customHeight="false" outlineLevel="0" collapsed="false">
      <c r="A225" s="1" t="s">
        <v>323</v>
      </c>
      <c r="B225" s="1" t="s">
        <v>43</v>
      </c>
      <c r="C225" s="1" t="n">
        <v>2024</v>
      </c>
      <c r="D225" s="1" t="n">
        <v>2025</v>
      </c>
      <c r="E225" s="1" t="n">
        <v>2026</v>
      </c>
      <c r="F225" s="1" t="n">
        <v>2027</v>
      </c>
      <c r="G225" s="1" t="n">
        <v>2028</v>
      </c>
      <c r="H225" s="1" t="n">
        <v>2029</v>
      </c>
      <c r="I225" s="1" t="n">
        <v>2030</v>
      </c>
      <c r="J225" s="1" t="n">
        <v>2031</v>
      </c>
      <c r="K225" s="1" t="n">
        <v>2032</v>
      </c>
      <c r="L225" s="1" t="n">
        <v>2033</v>
      </c>
      <c r="M225" s="1" t="n">
        <v>2034</v>
      </c>
      <c r="N225" s="1" t="n">
        <v>2035</v>
      </c>
      <c r="O225" s="1" t="n">
        <v>2036</v>
      </c>
      <c r="P225" s="1" t="n">
        <v>2037</v>
      </c>
      <c r="Q225" s="1" t="n">
        <v>2038</v>
      </c>
      <c r="R225" s="1" t="n">
        <v>2039</v>
      </c>
      <c r="S225" s="1" t="n">
        <v>2040</v>
      </c>
      <c r="T225" s="1" t="n">
        <v>2041</v>
      </c>
      <c r="U225" s="1" t="n">
        <v>2042</v>
      </c>
      <c r="V225" s="1" t="n">
        <v>2043</v>
      </c>
      <c r="W225" s="1" t="n">
        <v>2044</v>
      </c>
      <c r="X225" s="1" t="n">
        <v>2045</v>
      </c>
      <c r="Y225" s="1" t="n">
        <v>2046</v>
      </c>
      <c r="Z225" s="1" t="n">
        <v>2047</v>
      </c>
      <c r="AA225" s="1" t="n">
        <v>2048</v>
      </c>
      <c r="AB225" s="1" t="n">
        <v>2049</v>
      </c>
      <c r="AC225" s="1" t="n">
        <v>2050</v>
      </c>
    </row>
    <row r="226" customFormat="false" ht="12.8" hidden="false" customHeight="false" outlineLevel="0" collapsed="false">
      <c r="A226" s="1" t="s">
        <v>318</v>
      </c>
      <c r="B226" s="1" t="n">
        <f aca="false">B177</f>
        <v>181.059721777411</v>
      </c>
      <c r="C226" s="1" t="n">
        <f aca="false">C177</f>
        <v>181.059721777411</v>
      </c>
      <c r="D226" s="1" t="n">
        <f aca="false">D177</f>
        <v>181.059721777411</v>
      </c>
      <c r="E226" s="1" t="n">
        <f aca="false">E177</f>
        <v>181.059721777411</v>
      </c>
      <c r="F226" s="1" t="n">
        <f aca="false">F177</f>
        <v>181.059721777411</v>
      </c>
      <c r="G226" s="1" t="n">
        <f aca="false">G177</f>
        <v>181.059721777411</v>
      </c>
      <c r="H226" s="1" t="n">
        <f aca="false">H177</f>
        <v>181.059721777411</v>
      </c>
      <c r="I226" s="1" t="n">
        <f aca="false">I177</f>
        <v>180.421248610652</v>
      </c>
      <c r="J226" s="1" t="n">
        <f aca="false">J177</f>
        <v>180.247749879011</v>
      </c>
      <c r="K226" s="1" t="n">
        <f aca="false">K177</f>
        <v>180.045398886462</v>
      </c>
      <c r="L226" s="1" t="n">
        <f aca="false">L177</f>
        <v>179.809691808249</v>
      </c>
      <c r="M226" s="1" t="n">
        <f aca="false">M177</f>
        <v>179.535842204552</v>
      </c>
      <c r="N226" s="1" t="n">
        <f aca="false">N177</f>
        <v>179.218916685663</v>
      </c>
      <c r="O226" s="1" t="n">
        <f aca="false">O177</f>
        <v>178.854032501662</v>
      </c>
      <c r="P226" s="1" t="n">
        <f aca="false">P177</f>
        <v>178.436620729034</v>
      </c>
      <c r="Q226" s="1" t="n">
        <f aca="false">Q177</f>
        <v>177.96274964033</v>
      </c>
      <c r="R226" s="1" t="n">
        <f aca="false">R177</f>
        <v>177.4294899429</v>
      </c>
      <c r="S226" s="1" t="n">
        <f aca="false">S177</f>
        <v>176.835288381678</v>
      </c>
      <c r="T226" s="1" t="n">
        <f aca="false">T177</f>
        <v>176.18030212023</v>
      </c>
      <c r="U226" s="1" t="n">
        <f aca="false">U177</f>
        <v>175.466638326361</v>
      </c>
      <c r="V226" s="1" t="n">
        <f aca="false">V177</f>
        <v>174.698446630836</v>
      </c>
      <c r="W226" s="1" t="n">
        <f aca="false">W177</f>
        <v>173.88182947247</v>
      </c>
      <c r="X226" s="1" t="n">
        <f aca="false">X177</f>
        <v>173.024565010003</v>
      </c>
      <c r="Y226" s="1" t="n">
        <f aca="false">Y177</f>
        <v>172.135672132189</v>
      </c>
      <c r="Z226" s="1" t="n">
        <f aca="false">Z177</f>
        <v>171.2248767642</v>
      </c>
      <c r="AA226" s="1" t="n">
        <f aca="false">AA177</f>
        <v>170.302053927041</v>
      </c>
      <c r="AB226" s="1" t="n">
        <f aca="false">AB177</f>
        <v>169.376716990726</v>
      </c>
      <c r="AC226" s="1" t="n">
        <f aca="false">AC177</f>
        <v>168.457607210786</v>
      </c>
      <c r="AD226" s="130"/>
    </row>
    <row r="227" customFormat="false" ht="12.8" hidden="false" customHeight="false" outlineLevel="0" collapsed="false">
      <c r="A227" s="1" t="s">
        <v>54</v>
      </c>
      <c r="B227" s="1" t="n">
        <f aca="false">B192</f>
        <v>181.059721777411</v>
      </c>
      <c r="C227" s="1" t="n">
        <f aca="false">C185</f>
        <v>181.059721777411</v>
      </c>
      <c r="D227" s="1" t="n">
        <f aca="false">D185</f>
        <v>119.286322392156</v>
      </c>
      <c r="E227" s="1" t="n">
        <f aca="false">E185</f>
        <v>92.0055443754896</v>
      </c>
      <c r="F227" s="1" t="n">
        <f aca="false">F185</f>
        <v>10.1632103254901</v>
      </c>
      <c r="G227" s="1" t="n">
        <f aca="false">G185</f>
        <v>10.1632103254901</v>
      </c>
      <c r="H227" s="1" t="n">
        <f aca="false">H185</f>
        <v>10.1632103254901</v>
      </c>
      <c r="I227" s="1" t="n">
        <f aca="false">I185</f>
        <v>10.1632103254901</v>
      </c>
      <c r="J227" s="1" t="n">
        <f aca="false">J185</f>
        <v>10.1632103254901</v>
      </c>
      <c r="K227" s="1" t="n">
        <f aca="false">K185</f>
        <v>10.1632103254901</v>
      </c>
      <c r="L227" s="1" t="n">
        <f aca="false">L185</f>
        <v>9.68196939827446</v>
      </c>
      <c r="M227" s="1" t="n">
        <f aca="false">M185</f>
        <v>9.68196939827446</v>
      </c>
      <c r="N227" s="1" t="n">
        <f aca="false">N185</f>
        <v>9.68196939827446</v>
      </c>
      <c r="O227" s="1" t="n">
        <f aca="false">O185</f>
        <v>9.68196939827446</v>
      </c>
      <c r="P227" s="1" t="n">
        <f aca="false">P185</f>
        <v>9.68196939827446</v>
      </c>
      <c r="Q227" s="1" t="n">
        <f aca="false">Q185</f>
        <v>9.68196939827446</v>
      </c>
      <c r="R227" s="1" t="n">
        <f aca="false">R185</f>
        <v>9.68196939827446</v>
      </c>
      <c r="S227" s="1" t="n">
        <f aca="false">S185</f>
        <v>9.24885256378041</v>
      </c>
      <c r="T227" s="1" t="n">
        <f aca="false">T185</f>
        <v>9.24885256378041</v>
      </c>
      <c r="U227" s="1" t="n">
        <f aca="false">U185</f>
        <v>9.24885256378041</v>
      </c>
      <c r="V227" s="1" t="n">
        <f aca="false">V185</f>
        <v>9.24885256378041</v>
      </c>
      <c r="W227" s="1" t="n">
        <f aca="false">W185</f>
        <v>9.24885256378041</v>
      </c>
      <c r="X227" s="1" t="n">
        <f aca="false">X185</f>
        <v>9.24885256378041</v>
      </c>
      <c r="Y227" s="1" t="n">
        <f aca="false">Y185</f>
        <v>9.24885256378041</v>
      </c>
      <c r="Z227" s="1" t="n">
        <f aca="false">Z185</f>
        <v>8.85904741273576</v>
      </c>
      <c r="AA227" s="1" t="n">
        <f aca="false">AA185</f>
        <v>8.85904741273576</v>
      </c>
      <c r="AB227" s="1" t="n">
        <f aca="false">AB185</f>
        <v>8.85904741273576</v>
      </c>
      <c r="AC227" s="1" t="n">
        <f aca="false">AC185</f>
        <v>8.85904741273576</v>
      </c>
    </row>
    <row r="229" customFormat="false" ht="12.8" hidden="false" customHeight="false" outlineLevel="0" collapsed="false">
      <c r="A229" s="1" t="s">
        <v>324</v>
      </c>
      <c r="B229" s="1" t="s">
        <v>43</v>
      </c>
      <c r="C229" s="1" t="n">
        <v>2024</v>
      </c>
      <c r="D229" s="1" t="n">
        <v>2025</v>
      </c>
      <c r="E229" s="1" t="n">
        <v>2026</v>
      </c>
      <c r="F229" s="1" t="n">
        <v>2027</v>
      </c>
      <c r="G229" s="1" t="n">
        <v>2028</v>
      </c>
      <c r="H229" s="1" t="n">
        <v>2029</v>
      </c>
      <c r="I229" s="1" t="n">
        <v>2030</v>
      </c>
      <c r="J229" s="1" t="n">
        <v>2031</v>
      </c>
      <c r="K229" s="1" t="n">
        <v>2032</v>
      </c>
      <c r="L229" s="1" t="n">
        <v>2033</v>
      </c>
      <c r="M229" s="1" t="n">
        <v>2034</v>
      </c>
      <c r="N229" s="1" t="n">
        <v>2035</v>
      </c>
      <c r="O229" s="1" t="n">
        <v>2036</v>
      </c>
      <c r="P229" s="1" t="n">
        <v>2037</v>
      </c>
      <c r="Q229" s="1" t="n">
        <v>2038</v>
      </c>
      <c r="R229" s="1" t="n">
        <v>2039</v>
      </c>
      <c r="S229" s="1" t="n">
        <v>2040</v>
      </c>
      <c r="T229" s="1" t="n">
        <v>2041</v>
      </c>
      <c r="U229" s="1" t="n">
        <v>2042</v>
      </c>
      <c r="V229" s="1" t="n">
        <v>2043</v>
      </c>
      <c r="W229" s="1" t="n">
        <v>2044</v>
      </c>
      <c r="X229" s="1" t="n">
        <v>2045</v>
      </c>
      <c r="Y229" s="1" t="n">
        <v>2046</v>
      </c>
      <c r="Z229" s="1" t="n">
        <v>2047</v>
      </c>
      <c r="AA229" s="1" t="n">
        <v>2048</v>
      </c>
      <c r="AB229" s="1" t="n">
        <v>2049</v>
      </c>
      <c r="AC229" s="1" t="n">
        <v>2050</v>
      </c>
    </row>
    <row r="230" customFormat="false" ht="12.8" hidden="false" customHeight="false" outlineLevel="0" collapsed="false">
      <c r="A230" s="1" t="s">
        <v>318</v>
      </c>
      <c r="B230" s="1" t="n">
        <f aca="false">B177</f>
        <v>181.059721777411</v>
      </c>
      <c r="C230" s="1" t="n">
        <f aca="false">C177</f>
        <v>181.059721777411</v>
      </c>
      <c r="D230" s="1" t="n">
        <f aca="false">D177</f>
        <v>181.059721777411</v>
      </c>
      <c r="E230" s="1" t="n">
        <f aca="false">E177</f>
        <v>181.059721777411</v>
      </c>
      <c r="F230" s="1" t="n">
        <f aca="false">F177</f>
        <v>181.059721777411</v>
      </c>
      <c r="G230" s="1" t="n">
        <f aca="false">G177</f>
        <v>181.059721777411</v>
      </c>
      <c r="H230" s="1" t="n">
        <f aca="false">H177</f>
        <v>181.059721777411</v>
      </c>
      <c r="I230" s="1" t="n">
        <f aca="false">I177</f>
        <v>180.421248610652</v>
      </c>
      <c r="J230" s="1" t="n">
        <f aca="false">J177</f>
        <v>180.247749879011</v>
      </c>
      <c r="K230" s="1" t="n">
        <f aca="false">K177</f>
        <v>180.045398886462</v>
      </c>
      <c r="L230" s="1" t="n">
        <f aca="false">L177</f>
        <v>179.809691808249</v>
      </c>
      <c r="M230" s="1" t="n">
        <f aca="false">M177</f>
        <v>179.535842204552</v>
      </c>
      <c r="N230" s="1" t="n">
        <f aca="false">N177</f>
        <v>179.218916685663</v>
      </c>
      <c r="O230" s="1" t="n">
        <f aca="false">O177</f>
        <v>178.854032501662</v>
      </c>
      <c r="P230" s="1" t="n">
        <f aca="false">P177</f>
        <v>178.436620729034</v>
      </c>
      <c r="Q230" s="1" t="n">
        <f aca="false">Q177</f>
        <v>177.96274964033</v>
      </c>
      <c r="R230" s="1" t="n">
        <f aca="false">R177</f>
        <v>177.4294899429</v>
      </c>
      <c r="S230" s="1" t="n">
        <f aca="false">S177</f>
        <v>176.835288381678</v>
      </c>
      <c r="T230" s="1" t="n">
        <f aca="false">T177</f>
        <v>176.18030212023</v>
      </c>
      <c r="U230" s="1" t="n">
        <f aca="false">U177</f>
        <v>175.466638326361</v>
      </c>
      <c r="V230" s="1" t="n">
        <f aca="false">V177</f>
        <v>174.698446630836</v>
      </c>
      <c r="W230" s="1" t="n">
        <f aca="false">W177</f>
        <v>173.88182947247</v>
      </c>
      <c r="X230" s="1" t="n">
        <f aca="false">X177</f>
        <v>173.024565010003</v>
      </c>
      <c r="Y230" s="1" t="n">
        <f aca="false">Y177</f>
        <v>172.135672132189</v>
      </c>
      <c r="Z230" s="1" t="n">
        <f aca="false">Z177</f>
        <v>171.2248767642</v>
      </c>
      <c r="AA230" s="1" t="n">
        <f aca="false">AA177</f>
        <v>170.302053927041</v>
      </c>
      <c r="AB230" s="1" t="n">
        <f aca="false">AB177</f>
        <v>169.376716990726</v>
      </c>
      <c r="AC230" s="1" t="n">
        <f aca="false">AC177</f>
        <v>168.457607210786</v>
      </c>
    </row>
    <row r="231" customFormat="false" ht="12.8" hidden="false" customHeight="false" outlineLevel="0" collapsed="false">
      <c r="A231" s="1" t="s">
        <v>54</v>
      </c>
      <c r="B231" s="1" t="n">
        <f aca="false">B192</f>
        <v>181.059721777411</v>
      </c>
      <c r="C231" s="1" t="n">
        <f aca="false">C192</f>
        <v>181.059721777411</v>
      </c>
      <c r="D231" s="1" t="n">
        <f aca="false">D192</f>
        <v>119.286322392156</v>
      </c>
      <c r="E231" s="1" t="n">
        <f aca="false">E192</f>
        <v>92.0055443754896</v>
      </c>
      <c r="F231" s="1" t="n">
        <f aca="false">F192</f>
        <v>10.1632103254901</v>
      </c>
      <c r="G231" s="1" t="n">
        <f aca="false">G192</f>
        <v>10.1632103254901</v>
      </c>
      <c r="H231" s="1" t="n">
        <f aca="false">H192</f>
        <v>10.1632103254901</v>
      </c>
      <c r="I231" s="1" t="n">
        <f aca="false">I192</f>
        <v>10.1632103254901</v>
      </c>
      <c r="J231" s="1" t="n">
        <f aca="false">J192</f>
        <v>10.1632103254901</v>
      </c>
      <c r="K231" s="1" t="n">
        <f aca="false">K192</f>
        <v>10.1632103254901</v>
      </c>
      <c r="L231" s="1" t="n">
        <f aca="false">L192</f>
        <v>9.68196939827446</v>
      </c>
      <c r="M231" s="1" t="n">
        <f aca="false">M192</f>
        <v>27.3764914866446</v>
      </c>
      <c r="N231" s="1" t="n">
        <f aca="false">N192</f>
        <v>27.3764914866446</v>
      </c>
      <c r="O231" s="1" t="n">
        <f aca="false">O192</f>
        <v>27.3764914866446</v>
      </c>
      <c r="P231" s="1" t="n">
        <f aca="false">P192</f>
        <v>27.3764914866446</v>
      </c>
      <c r="Q231" s="1" t="n">
        <f aca="false">Q192</f>
        <v>27.3764914866446</v>
      </c>
      <c r="R231" s="1" t="n">
        <f aca="false">R192</f>
        <v>27.3764914866446</v>
      </c>
      <c r="S231" s="1" t="n">
        <f aca="false">S192</f>
        <v>9.24885256378041</v>
      </c>
      <c r="T231" s="1" t="n">
        <f aca="false">T192</f>
        <v>25.1739224433136</v>
      </c>
      <c r="U231" s="1" t="n">
        <f aca="false">U192</f>
        <v>25.1739224433136</v>
      </c>
      <c r="V231" s="1" t="n">
        <f aca="false">V192</f>
        <v>25.1739224433136</v>
      </c>
      <c r="W231" s="1" t="n">
        <f aca="false">W192</f>
        <v>25.1739224433136</v>
      </c>
      <c r="X231" s="1" t="n">
        <f aca="false">X192</f>
        <v>25.1739224433136</v>
      </c>
      <c r="Y231" s="1" t="n">
        <f aca="false">Y192</f>
        <v>25.1739224433136</v>
      </c>
      <c r="Z231" s="1" t="n">
        <f aca="false">Z192</f>
        <v>8.85904741273576</v>
      </c>
      <c r="AA231" s="1" t="n">
        <f aca="false">AA192</f>
        <v>23.1916103043156</v>
      </c>
      <c r="AB231" s="1" t="n">
        <f aca="false">AB192</f>
        <v>8.85904741273576</v>
      </c>
      <c r="AC231" s="1" t="n">
        <f aca="false">AC192</f>
        <v>8.85904741273576</v>
      </c>
    </row>
    <row r="232" customFormat="false" ht="12.8" hidden="false" customHeight="false" outlineLevel="0" collapsed="false">
      <c r="A232" s="1" t="s">
        <v>325</v>
      </c>
      <c r="B232" s="1" t="n">
        <f aca="false">B230-B231</f>
        <v>0</v>
      </c>
      <c r="C232" s="1" t="n">
        <f aca="false">C230-C231</f>
        <v>0</v>
      </c>
      <c r="D232" s="1" t="n">
        <f aca="false">D230-D231</f>
        <v>61.7733993852549</v>
      </c>
      <c r="E232" s="1" t="n">
        <f aca="false">E230-E231</f>
        <v>89.0541774019214</v>
      </c>
      <c r="F232" s="1" t="n">
        <f aca="false">F230-F231</f>
        <v>170.896511451921</v>
      </c>
      <c r="G232" s="1" t="n">
        <f aca="false">G230-G231</f>
        <v>170.896511451921</v>
      </c>
      <c r="H232" s="1" t="n">
        <f aca="false">H230-H231</f>
        <v>170.896511451921</v>
      </c>
      <c r="I232" s="1" t="n">
        <f aca="false">I230-I231</f>
        <v>170.258038285162</v>
      </c>
      <c r="J232" s="1" t="n">
        <f aca="false">J230-J231</f>
        <v>170.084539553521</v>
      </c>
      <c r="K232" s="1" t="n">
        <f aca="false">K230-K231</f>
        <v>169.882188560972</v>
      </c>
      <c r="L232" s="1" t="n">
        <f aca="false">L230-L231</f>
        <v>170.127722409974</v>
      </c>
      <c r="M232" s="1" t="n">
        <f aca="false">M230-M231</f>
        <v>152.159350717907</v>
      </c>
      <c r="N232" s="1" t="n">
        <f aca="false">N230-N231</f>
        <v>151.842425199018</v>
      </c>
      <c r="O232" s="1" t="n">
        <f aca="false">O230-O231</f>
        <v>151.477541015017</v>
      </c>
      <c r="P232" s="1" t="n">
        <f aca="false">P230-P231</f>
        <v>151.06012924239</v>
      </c>
      <c r="Q232" s="1" t="n">
        <f aca="false">Q230-Q231</f>
        <v>150.586258153685</v>
      </c>
      <c r="R232" s="1" t="n">
        <f aca="false">R230-R231</f>
        <v>150.052998456256</v>
      </c>
      <c r="S232" s="1" t="n">
        <f aca="false">S230-S231</f>
        <v>167.586435817898</v>
      </c>
      <c r="T232" s="1" t="n">
        <f aca="false">T230-T231</f>
        <v>151.006379676916</v>
      </c>
      <c r="U232" s="1" t="n">
        <f aca="false">U230-U231</f>
        <v>150.292715883048</v>
      </c>
      <c r="V232" s="1" t="n">
        <f aca="false">V230-V231</f>
        <v>149.524524187523</v>
      </c>
      <c r="W232" s="1" t="n">
        <f aca="false">W230-W231</f>
        <v>148.707907029157</v>
      </c>
      <c r="X232" s="1" t="n">
        <f aca="false">X230-X231</f>
        <v>147.85064256669</v>
      </c>
      <c r="Y232" s="1" t="n">
        <f aca="false">Y230-Y231</f>
        <v>146.961749688875</v>
      </c>
      <c r="Z232" s="1" t="n">
        <f aca="false">Z230-Z231</f>
        <v>162.365829351464</v>
      </c>
      <c r="AA232" s="1" t="n">
        <f aca="false">AA230-AA231</f>
        <v>147.110443622725</v>
      </c>
      <c r="AB232" s="1" t="n">
        <f aca="false">AB230-AB231</f>
        <v>160.517669577991</v>
      </c>
      <c r="AC232" s="1" t="n">
        <f aca="false">AC230-AC231</f>
        <v>159.59855979805</v>
      </c>
    </row>
    <row r="233" customFormat="false" ht="12.8" hidden="false" customHeight="false" outlineLevel="0" collapsed="false">
      <c r="A233" s="130" t="s">
        <v>326</v>
      </c>
      <c r="B233" s="130" t="n">
        <f aca="false">B232/B230</f>
        <v>0</v>
      </c>
      <c r="C233" s="130" t="n">
        <f aca="false">C232/C230</f>
        <v>0</v>
      </c>
      <c r="D233" s="130" t="n">
        <f aca="false">D232/D230</f>
        <v>0.341176926479524</v>
      </c>
      <c r="E233" s="130" t="n">
        <f aca="false">E232/E230</f>
        <v>0.491849741774163</v>
      </c>
      <c r="F233" s="130" t="n">
        <f aca="false">F232/F230</f>
        <v>0.943868187658079</v>
      </c>
      <c r="G233" s="130" t="n">
        <f aca="false">G232/G230</f>
        <v>0.943868187658079</v>
      </c>
      <c r="H233" s="130" t="n">
        <f aca="false">H232/H230</f>
        <v>0.943868187658079</v>
      </c>
      <c r="I233" s="130" t="n">
        <f aca="false">I232/I230</f>
        <v>0.943669548882115</v>
      </c>
      <c r="J233" s="130" t="n">
        <f aca="false">J232/J230</f>
        <v>0.943615327612622</v>
      </c>
      <c r="K233" s="130" t="n">
        <f aca="false">K232/K230</f>
        <v>0.943551957515454</v>
      </c>
      <c r="L233" s="130" t="n">
        <f aca="false">L232/L230</f>
        <v>0.946154351854407</v>
      </c>
      <c r="M233" s="130" t="n">
        <f aca="false">M232/M230</f>
        <v>0.847515174961813</v>
      </c>
      <c r="N233" s="130" t="n">
        <f aca="false">N232/N230</f>
        <v>0.847245525232914</v>
      </c>
      <c r="O233" s="130" t="n">
        <f aca="false">O232/O230</f>
        <v>0.846933887350903</v>
      </c>
      <c r="P233" s="130" t="n">
        <f aca="false">P232/P230</f>
        <v>0.846575824094891</v>
      </c>
      <c r="Q233" s="130" t="n">
        <f aca="false">Q232/Q230</f>
        <v>0.846167293200551</v>
      </c>
      <c r="R233" s="130" t="n">
        <f aca="false">R232/R230</f>
        <v>0.845704953018493</v>
      </c>
      <c r="S233" s="130" t="n">
        <f aca="false">S232/S230</f>
        <v>0.947697924727457</v>
      </c>
      <c r="T233" s="130" t="n">
        <f aca="false">T232/T230</f>
        <v>0.857112729741295</v>
      </c>
      <c r="U233" s="130" t="n">
        <f aca="false">U232/U230</f>
        <v>0.856531573845445</v>
      </c>
      <c r="V233" s="130" t="n">
        <f aca="false">V232/V230</f>
        <v>0.855900708169948</v>
      </c>
      <c r="W233" s="130" t="n">
        <f aca="false">W232/W230</f>
        <v>0.855223961470343</v>
      </c>
      <c r="X233" s="130" t="n">
        <f aca="false">X232/X230</f>
        <v>0.854506656659659</v>
      </c>
      <c r="Y233" s="130" t="n">
        <f aca="false">Y232/Y230</f>
        <v>0.853755342332636</v>
      </c>
      <c r="Z233" s="130" t="n">
        <f aca="false">Z232/Z230</f>
        <v>0.948260745867343</v>
      </c>
      <c r="AA233" s="130" t="n">
        <f aca="false">AA232/AA230</f>
        <v>0.863820724591783</v>
      </c>
      <c r="AB233" s="130" t="n">
        <f aca="false">AB232/AB230</f>
        <v>0.947696191246753</v>
      </c>
      <c r="AC233" s="130" t="n">
        <f aca="false">AC232/AC230</f>
        <v>0.947410820090477</v>
      </c>
    </row>
    <row r="235" customFormat="false" ht="12.8" hidden="false" customHeight="false" outlineLevel="0" collapsed="false">
      <c r="A235" s="1" t="s">
        <v>327</v>
      </c>
      <c r="B235" s="1" t="s">
        <v>43</v>
      </c>
      <c r="C235" s="1" t="n">
        <v>2024</v>
      </c>
      <c r="D235" s="1" t="n">
        <v>2025</v>
      </c>
      <c r="E235" s="1" t="n">
        <v>2026</v>
      </c>
      <c r="F235" s="1" t="n">
        <v>2027</v>
      </c>
      <c r="G235" s="1" t="n">
        <v>2028</v>
      </c>
      <c r="H235" s="1" t="n">
        <v>2029</v>
      </c>
      <c r="I235" s="1" t="n">
        <v>2030</v>
      </c>
      <c r="J235" s="1" t="n">
        <v>2031</v>
      </c>
      <c r="K235" s="1" t="n">
        <v>2032</v>
      </c>
      <c r="L235" s="1" t="n">
        <v>2033</v>
      </c>
      <c r="M235" s="1" t="n">
        <v>2034</v>
      </c>
      <c r="N235" s="1" t="n">
        <v>2035</v>
      </c>
      <c r="O235" s="1" t="n">
        <v>2036</v>
      </c>
      <c r="P235" s="1" t="n">
        <v>2037</v>
      </c>
      <c r="Q235" s="1" t="n">
        <v>2038</v>
      </c>
      <c r="R235" s="1" t="n">
        <v>2039</v>
      </c>
      <c r="S235" s="1" t="n">
        <v>2040</v>
      </c>
      <c r="T235" s="1" t="n">
        <v>2041</v>
      </c>
      <c r="U235" s="1" t="n">
        <v>2042</v>
      </c>
      <c r="V235" s="1" t="n">
        <v>2043</v>
      </c>
      <c r="W235" s="1" t="n">
        <v>2044</v>
      </c>
      <c r="X235" s="1" t="n">
        <v>2045</v>
      </c>
      <c r="Y235" s="1" t="n">
        <v>2046</v>
      </c>
      <c r="Z235" s="1" t="n">
        <v>2047</v>
      </c>
      <c r="AA235" s="1" t="n">
        <v>2048</v>
      </c>
      <c r="AB235" s="1" t="n">
        <v>2049</v>
      </c>
      <c r="AC235" s="1" t="n">
        <v>2050</v>
      </c>
    </row>
    <row r="236" customFormat="false" ht="12.8" hidden="false" customHeight="false" outlineLevel="0" collapsed="false">
      <c r="A236" s="1" t="s">
        <v>318</v>
      </c>
      <c r="B236" s="1" t="n">
        <f aca="false">B180</f>
        <v>10288.6433480329</v>
      </c>
      <c r="C236" s="1" t="n">
        <f aca="false">C180</f>
        <v>10288.6433480329</v>
      </c>
      <c r="D236" s="1" t="n">
        <f aca="false">D180</f>
        <v>10279.8319312646</v>
      </c>
      <c r="E236" s="1" t="n">
        <f aca="false">E180</f>
        <v>10269.8143750853</v>
      </c>
      <c r="F236" s="1" t="n">
        <f aca="false">F180</f>
        <v>10258.3263612238</v>
      </c>
      <c r="G236" s="1" t="n">
        <f aca="false">G180</f>
        <v>10245.062241795</v>
      </c>
      <c r="H236" s="1" t="n">
        <f aca="false">H180</f>
        <v>10229.6709817837</v>
      </c>
      <c r="I236" s="1" t="n">
        <f aca="false">I180</f>
        <v>10206.1876718983</v>
      </c>
      <c r="J236" s="1" t="n">
        <f aca="false">J180</f>
        <v>10184.088813169</v>
      </c>
      <c r="K236" s="1" t="n">
        <f aca="false">K180</f>
        <v>10158.28608111</v>
      </c>
      <c r="L236" s="1" t="n">
        <f aca="false">L180</f>
        <v>10128.1937722532</v>
      </c>
      <c r="M236" s="1" t="n">
        <f aca="false">M180</f>
        <v>10093.1847215524</v>
      </c>
      <c r="N236" s="1" t="n">
        <f aca="false">N180</f>
        <v>10052.6055393644</v>
      </c>
      <c r="O236" s="1" t="n">
        <f aca="false">O180</f>
        <v>10006.9729592371</v>
      </c>
      <c r="P236" s="1" t="n">
        <f aca="false">P180</f>
        <v>9954.8230746368</v>
      </c>
      <c r="Q236" s="1" t="n">
        <f aca="false">Q180</f>
        <v>9895.66675125471</v>
      </c>
      <c r="R236" s="1" t="n">
        <f aca="false">R180</f>
        <v>9829.13688117315</v>
      </c>
      <c r="S236" s="1" t="n">
        <f aca="false">S180</f>
        <v>9755.03405945306</v>
      </c>
      <c r="T236" s="1" t="n">
        <f aca="false">T180</f>
        <v>9673.36745319737</v>
      </c>
      <c r="U236" s="1" t="n">
        <f aca="false">U180</f>
        <v>9584.3840587757</v>
      </c>
      <c r="V236" s="1" t="n">
        <f aca="false">V180</f>
        <v>9488.57993979813</v>
      </c>
      <c r="W236" s="1" t="n">
        <f aca="false">W180</f>
        <v>9386.68916186174</v>
      </c>
      <c r="X236" s="1" t="n">
        <f aca="false">X180</f>
        <v>9279.64977213827</v>
      </c>
      <c r="Y236" s="1" t="n">
        <f aca="false">Y180</f>
        <v>9168.55043856971</v>
      </c>
      <c r="Z236" s="1" t="n">
        <f aca="false">Z180</f>
        <v>9054.56499541744</v>
      </c>
      <c r="AA236" s="1" t="n">
        <f aca="false">AA180</f>
        <v>8938.88400992271</v>
      </c>
      <c r="AB236" s="1" t="n">
        <f aca="false">AB180</f>
        <v>8822.65211552626</v>
      </c>
      <c r="AC236" s="1" t="n">
        <f aca="false">AC180</f>
        <v>8706.91761030054</v>
      </c>
    </row>
    <row r="237" customFormat="false" ht="12.8" hidden="false" customHeight="false" outlineLevel="0" collapsed="false">
      <c r="A237" s="1" t="s">
        <v>321</v>
      </c>
      <c r="B237" s="1" t="n">
        <f aca="false">B203</f>
        <v>10288.6433480329</v>
      </c>
      <c r="C237" s="1" t="n">
        <f aca="false">C203</f>
        <v>10288.6433480329</v>
      </c>
      <c r="D237" s="1" t="n">
        <f aca="false">D203</f>
        <v>10156.285132494</v>
      </c>
      <c r="E237" s="1" t="n">
        <f aca="false">E203</f>
        <v>10091.7060202815</v>
      </c>
      <c r="F237" s="1" t="n">
        <f aca="false">F203</f>
        <v>9916.53333831996</v>
      </c>
      <c r="G237" s="1" t="n">
        <f aca="false">G203</f>
        <v>9903.26921889118</v>
      </c>
      <c r="H237" s="1" t="n">
        <f aca="false">H203</f>
        <v>9887.87795887984</v>
      </c>
      <c r="I237" s="1" t="n">
        <f aca="false">I203</f>
        <v>9865.67159532799</v>
      </c>
      <c r="J237" s="1" t="n">
        <f aca="false">J203</f>
        <v>9843.91973406193</v>
      </c>
      <c r="K237" s="1" t="n">
        <f aca="false">K203</f>
        <v>9818.52170398807</v>
      </c>
      <c r="L237" s="1" t="n">
        <f aca="false">L203</f>
        <v>9787.93832743329</v>
      </c>
      <c r="M237" s="1" t="n">
        <f aca="false">M203</f>
        <v>9788.86602011658</v>
      </c>
      <c r="N237" s="1" t="n">
        <f aca="false">N203</f>
        <v>9748.9206889664</v>
      </c>
      <c r="O237" s="1" t="n">
        <f aca="false">O203</f>
        <v>9704.01787720708</v>
      </c>
      <c r="P237" s="1" t="n">
        <f aca="false">P203</f>
        <v>9652.70281615202</v>
      </c>
      <c r="Q237" s="1" t="n">
        <f aca="false">Q203</f>
        <v>9594.49423494734</v>
      </c>
      <c r="R237" s="1" t="n">
        <f aca="false">R203</f>
        <v>9529.03088426064</v>
      </c>
      <c r="S237" s="1" t="n">
        <f aca="false">S203</f>
        <v>9419.86118781727</v>
      </c>
      <c r="T237" s="1" t="n">
        <f aca="false">T203</f>
        <v>9371.35469384354</v>
      </c>
      <c r="U237" s="1" t="n">
        <f aca="false">U203</f>
        <v>9283.79862700961</v>
      </c>
      <c r="V237" s="1" t="n">
        <f aca="false">V203</f>
        <v>9189.53089142308</v>
      </c>
      <c r="W237" s="1" t="n">
        <f aca="false">W203</f>
        <v>9089.27334780343</v>
      </c>
      <c r="X237" s="1" t="n">
        <f aca="false">X203</f>
        <v>8983.94848700489</v>
      </c>
      <c r="Y237" s="1" t="n">
        <f aca="false">Y203</f>
        <v>8874.62693919195</v>
      </c>
      <c r="Z237" s="1" t="n">
        <f aca="false">Z203</f>
        <v>8729.83333671451</v>
      </c>
      <c r="AA237" s="1" t="n">
        <f aca="false">AA203</f>
        <v>8644.66312267725</v>
      </c>
      <c r="AB237" s="1" t="n">
        <f aca="false">AB203</f>
        <v>8501.61677637028</v>
      </c>
      <c r="AC237" s="1" t="n">
        <f aca="false">AC203</f>
        <v>8387.72049070444</v>
      </c>
    </row>
    <row r="238" customFormat="false" ht="12.8" hidden="false" customHeight="false" outlineLevel="0" collapsed="false">
      <c r="A238" s="1" t="s">
        <v>325</v>
      </c>
      <c r="B238" s="1" t="n">
        <f aca="false">B236-B237</f>
        <v>0</v>
      </c>
      <c r="C238" s="1" t="n">
        <f aca="false">C236-C237</f>
        <v>0</v>
      </c>
      <c r="D238" s="1" t="n">
        <f aca="false">D236-D237</f>
        <v>123.546798770511</v>
      </c>
      <c r="E238" s="1" t="n">
        <f aca="false">E236-E237</f>
        <v>178.108354803844</v>
      </c>
      <c r="F238" s="1" t="n">
        <f aca="false">F236-F237</f>
        <v>341.793022903841</v>
      </c>
      <c r="G238" s="1" t="n">
        <f aca="false">G236-G237</f>
        <v>341.793022903843</v>
      </c>
      <c r="H238" s="1" t="n">
        <f aca="false">H236-H237</f>
        <v>341.793022903841</v>
      </c>
      <c r="I238" s="1" t="n">
        <f aca="false">I236-I237</f>
        <v>340.516076570322</v>
      </c>
      <c r="J238" s="1" t="n">
        <f aca="false">J236-J237</f>
        <v>340.169079107041</v>
      </c>
      <c r="K238" s="1" t="n">
        <f aca="false">K236-K237</f>
        <v>339.764377121943</v>
      </c>
      <c r="L238" s="1" t="n">
        <f aca="false">L236-L237</f>
        <v>340.25544481995</v>
      </c>
      <c r="M238" s="1" t="n">
        <f aca="false">M236-M237</f>
        <v>304.318701435814</v>
      </c>
      <c r="N238" s="1" t="n">
        <f aca="false">N236-N237</f>
        <v>303.684850398036</v>
      </c>
      <c r="O238" s="1" t="n">
        <f aca="false">O236-O237</f>
        <v>302.955082030034</v>
      </c>
      <c r="P238" s="1" t="n">
        <f aca="false">P236-P237</f>
        <v>302.12025848478</v>
      </c>
      <c r="Q238" s="1" t="n">
        <f aca="false">Q236-Q237</f>
        <v>301.17251630737</v>
      </c>
      <c r="R238" s="1" t="n">
        <f aca="false">R236-R237</f>
        <v>300.105996912511</v>
      </c>
      <c r="S238" s="1" t="n">
        <f aca="false">S236-S237</f>
        <v>335.172871635796</v>
      </c>
      <c r="T238" s="1" t="n">
        <f aca="false">T236-T237</f>
        <v>302.012759353833</v>
      </c>
      <c r="U238" s="1" t="n">
        <f aca="false">U236-U237</f>
        <v>300.585431766096</v>
      </c>
      <c r="V238" s="1" t="n">
        <f aca="false">V236-V237</f>
        <v>299.049048375045</v>
      </c>
      <c r="W238" s="1" t="n">
        <f aca="false">W236-W237</f>
        <v>297.415814058313</v>
      </c>
      <c r="X238" s="1" t="n">
        <f aca="false">X236-X237</f>
        <v>295.70128513338</v>
      </c>
      <c r="Y238" s="1" t="n">
        <f aca="false">Y236-Y237</f>
        <v>293.923499377752</v>
      </c>
      <c r="Z238" s="1" t="n">
        <f aca="false">Z236-Z237</f>
        <v>324.731658702929</v>
      </c>
      <c r="AA238" s="1" t="n">
        <f aca="false">AA236-AA237</f>
        <v>294.220887245452</v>
      </c>
      <c r="AB238" s="1" t="n">
        <f aca="false">AB236-AB237</f>
        <v>321.035339155982</v>
      </c>
      <c r="AC238" s="1" t="n">
        <f aca="false">AC236-AC237</f>
        <v>319.197119596101</v>
      </c>
    </row>
    <row r="239" customFormat="false" ht="12.8" hidden="false" customHeight="false" outlineLevel="0" collapsed="false">
      <c r="A239" s="130" t="s">
        <v>326</v>
      </c>
      <c r="B239" s="130" t="n">
        <f aca="false">B238/B236</f>
        <v>0</v>
      </c>
      <c r="C239" s="130" t="n">
        <f aca="false">C238/C236</f>
        <v>0</v>
      </c>
      <c r="D239" s="130" t="n">
        <f aca="false">D238/D236</f>
        <v>0.0120183675761042</v>
      </c>
      <c r="E239" s="130" t="n">
        <f aca="false">E238/E236</f>
        <v>0.0173428991312576</v>
      </c>
      <c r="F239" s="130" t="n">
        <f aca="false">F238/F236</f>
        <v>0.0333185951458719</v>
      </c>
      <c r="G239" s="130" t="n">
        <f aca="false">G238/G236</f>
        <v>0.033361732202025</v>
      </c>
      <c r="H239" s="130" t="n">
        <f aca="false">H238/H236</f>
        <v>0.0334119272763008</v>
      </c>
      <c r="I239" s="130" t="n">
        <f aca="false">I238/I236</f>
        <v>0.033363689510423</v>
      </c>
      <c r="J239" s="130" t="n">
        <f aca="false">J238/J236</f>
        <v>0.0334020141956315</v>
      </c>
      <c r="K239" s="130" t="n">
        <f aca="false">K238/K236</f>
        <v>0.0334470179722302</v>
      </c>
      <c r="L239" s="130" t="n">
        <f aca="false">L238/L236</f>
        <v>0.0335948790545555</v>
      </c>
      <c r="M239" s="130" t="n">
        <f aca="false">M238/M236</f>
        <v>0.0301509097307998</v>
      </c>
      <c r="N239" s="130" t="n">
        <f aca="false">N238/N236</f>
        <v>0.0302095659885244</v>
      </c>
      <c r="O239" s="130" t="n">
        <f aca="false">O238/O236</f>
        <v>0.0302743979886931</v>
      </c>
      <c r="P239" s="130" t="n">
        <f aca="false">P238/P236</f>
        <v>0.0303491339042008</v>
      </c>
      <c r="Q239" s="130" t="n">
        <f aca="false">Q238/Q236</f>
        <v>0.0304347876578587</v>
      </c>
      <c r="R239" s="130" t="n">
        <f aca="false">R238/R236</f>
        <v>0.0305322838150049</v>
      </c>
      <c r="S239" s="130" t="n">
        <f aca="false">S238/S236</f>
        <v>0.0343589647758327</v>
      </c>
      <c r="T239" s="130" t="n">
        <f aca="false">T238/T236</f>
        <v>0.0312210572807309</v>
      </c>
      <c r="U239" s="130" t="n">
        <f aca="false">U238/U236</f>
        <v>0.0313619978000435</v>
      </c>
      <c r="V239" s="130" t="n">
        <f aca="false">V238/V236</f>
        <v>0.031516733828709</v>
      </c>
      <c r="W239" s="130" t="n">
        <f aca="false">W238/W236</f>
        <v>0.0316848474397893</v>
      </c>
      <c r="X239" s="130" t="n">
        <f aca="false">X238/X236</f>
        <v>0.0318655652308355</v>
      </c>
      <c r="Y239" s="130" t="n">
        <f aca="false">Y238/Y236</f>
        <v>0.0320577937970753</v>
      </c>
      <c r="Z239" s="130" t="n">
        <f aca="false">Z238/Z236</f>
        <v>0.0358638608113451</v>
      </c>
      <c r="AA239" s="130" t="n">
        <f aca="false">AA238/AA236</f>
        <v>0.0329147225670284</v>
      </c>
      <c r="AB239" s="130" t="n">
        <f aca="false">AB238/AB236</f>
        <v>0.0363876230131548</v>
      </c>
      <c r="AC239" s="130" t="n">
        <f aca="false">AC238/AC236</f>
        <v>0.0366601745741204</v>
      </c>
    </row>
    <row r="241" customFormat="false" ht="12.8" hidden="false" customHeight="false" outlineLevel="0" collapsed="false">
      <c r="A241" s="1" t="s">
        <v>328</v>
      </c>
    </row>
    <row r="242" customFormat="false" ht="12.8" hidden="false" customHeight="false" outlineLevel="0" collapsed="false">
      <c r="A242" s="1" t="s">
        <v>318</v>
      </c>
      <c r="B242" s="1" t="n">
        <f aca="false">B180</f>
        <v>10288.6433480329</v>
      </c>
      <c r="C242" s="1" t="n">
        <f aca="false">C180</f>
        <v>10288.6433480329</v>
      </c>
      <c r="D242" s="1" t="n">
        <f aca="false">D180</f>
        <v>10279.8319312646</v>
      </c>
      <c r="E242" s="1" t="n">
        <f aca="false">E180</f>
        <v>10269.8143750853</v>
      </c>
      <c r="F242" s="1" t="n">
        <f aca="false">F180</f>
        <v>10258.3263612238</v>
      </c>
      <c r="G242" s="1" t="n">
        <f aca="false">G180</f>
        <v>10245.062241795</v>
      </c>
      <c r="H242" s="1" t="n">
        <f aca="false">H180</f>
        <v>10229.6709817837</v>
      </c>
      <c r="I242" s="1" t="n">
        <f aca="false">I180</f>
        <v>10206.1876718983</v>
      </c>
      <c r="J242" s="1" t="n">
        <f aca="false">J180</f>
        <v>10184.088813169</v>
      </c>
      <c r="K242" s="1" t="n">
        <f aca="false">K180</f>
        <v>10158.28608111</v>
      </c>
      <c r="L242" s="1" t="n">
        <f aca="false">L180</f>
        <v>10128.1937722532</v>
      </c>
      <c r="M242" s="1" t="n">
        <f aca="false">M180</f>
        <v>10093.1847215524</v>
      </c>
      <c r="N242" s="1" t="n">
        <f aca="false">N180</f>
        <v>10052.6055393644</v>
      </c>
      <c r="O242" s="1" t="n">
        <f aca="false">O180</f>
        <v>10006.9729592371</v>
      </c>
      <c r="P242" s="1" t="n">
        <f aca="false">P180</f>
        <v>9954.8230746368</v>
      </c>
      <c r="Q242" s="1" t="n">
        <f aca="false">Q180</f>
        <v>9895.66675125471</v>
      </c>
      <c r="R242" s="1" t="n">
        <f aca="false">R180</f>
        <v>9829.13688117315</v>
      </c>
      <c r="S242" s="1" t="n">
        <f aca="false">S180</f>
        <v>9755.03405945306</v>
      </c>
      <c r="T242" s="1" t="n">
        <f aca="false">T180</f>
        <v>9673.36745319737</v>
      </c>
      <c r="U242" s="1" t="n">
        <f aca="false">U180</f>
        <v>9584.3840587757</v>
      </c>
      <c r="V242" s="1" t="n">
        <f aca="false">V180</f>
        <v>9488.57993979813</v>
      </c>
      <c r="W242" s="1" t="n">
        <f aca="false">W180</f>
        <v>9386.68916186174</v>
      </c>
      <c r="X242" s="1" t="n">
        <f aca="false">X180</f>
        <v>9279.64977213827</v>
      </c>
      <c r="Y242" s="1" t="n">
        <f aca="false">Y180</f>
        <v>9168.55043856971</v>
      </c>
      <c r="Z242" s="1" t="n">
        <f aca="false">Z180</f>
        <v>9054.56499541744</v>
      </c>
      <c r="AA242" s="1" t="n">
        <f aca="false">AA180</f>
        <v>8938.88400992271</v>
      </c>
      <c r="AB242" s="1" t="n">
        <f aca="false">AB180</f>
        <v>8822.65211552626</v>
      </c>
      <c r="AC242" s="1" t="n">
        <f aca="false">AC180</f>
        <v>8706.91761030054</v>
      </c>
    </row>
    <row r="243" customFormat="false" ht="12.8" hidden="false" customHeight="false" outlineLevel="0" collapsed="false">
      <c r="A243" s="1" t="s">
        <v>322</v>
      </c>
      <c r="B243" s="1" t="n">
        <f aca="false">B211</f>
        <v>10288.6433480329</v>
      </c>
      <c r="C243" s="1" t="n">
        <f aca="false">C211</f>
        <v>10288.6433480329</v>
      </c>
      <c r="D243" s="1" t="n">
        <f aca="false">D211</f>
        <v>10131.9648640121</v>
      </c>
      <c r="E243" s="1" t="n">
        <f aca="false">E211</f>
        <v>10029.7423544929</v>
      </c>
      <c r="F243" s="1" t="n">
        <f aca="false">F211</f>
        <v>9811.29150363869</v>
      </c>
      <c r="G243" s="1" t="n">
        <f aca="false">G211</f>
        <v>9748.1271162156</v>
      </c>
      <c r="H243" s="1" t="n">
        <f aca="false">H211</f>
        <v>9675.12501931944</v>
      </c>
      <c r="I243" s="1" t="n">
        <f aca="false">I211</f>
        <v>9590.69224463981</v>
      </c>
      <c r="J243" s="1" t="n">
        <f aca="false">J211</f>
        <v>9493.07145098435</v>
      </c>
      <c r="K243" s="1" t="n">
        <f aca="false">K211</f>
        <v>9383.59222175563</v>
      </c>
      <c r="L243" s="1" t="n">
        <f aca="false">L211</f>
        <v>9260.43550177197</v>
      </c>
      <c r="M243" s="1" t="n">
        <f aca="false">M211</f>
        <v>9153.67973434456</v>
      </c>
      <c r="N243" s="1" t="n">
        <f aca="false">N211</f>
        <v>8996.47258612643</v>
      </c>
      <c r="O243" s="1" t="n">
        <f aca="false">O211</f>
        <v>8823.52757561673</v>
      </c>
      <c r="P243" s="1" t="n">
        <f aca="false">P211</f>
        <v>8634.20348054343</v>
      </c>
      <c r="Q243" s="1" t="n">
        <f aca="false">Q211</f>
        <v>8427.82237409267</v>
      </c>
      <c r="R243" s="1" t="n">
        <f aca="false">R211</f>
        <v>8203.57813001525</v>
      </c>
      <c r="S243" s="1" t="n">
        <f aca="false">S211</f>
        <v>7924.17672463221</v>
      </c>
      <c r="T243" s="1" t="n">
        <f aca="false">T211</f>
        <v>7692.59847987968</v>
      </c>
      <c r="U243" s="1" t="n">
        <f aca="false">U211</f>
        <v>7407.05920042334</v>
      </c>
      <c r="V243" s="1" t="n">
        <f aca="false">V211</f>
        <v>7097.03194126171</v>
      </c>
      <c r="W243" s="1" t="n">
        <f aca="false">W211</f>
        <v>6759.49817649399</v>
      </c>
      <c r="X243" s="1" t="n">
        <f aca="false">X211</f>
        <v>6390.70995780623</v>
      </c>
      <c r="Y243" s="1" t="n">
        <f aca="false">Y211</f>
        <v>6115.52007542817</v>
      </c>
      <c r="Z243" s="1" t="n">
        <f aca="false">Z211</f>
        <v>5811.55223979779</v>
      </c>
      <c r="AA243" s="1" t="n">
        <f aca="false">AA211</f>
        <v>5573.02147766154</v>
      </c>
      <c r="AB243" s="1" t="n">
        <f aca="false">AB211</f>
        <v>6085.22243778009</v>
      </c>
      <c r="AC243" s="1" t="n">
        <f aca="false">AC211</f>
        <v>5998.30267624551</v>
      </c>
    </row>
    <row r="244" customFormat="false" ht="12.8" hidden="false" customHeight="false" outlineLevel="0" collapsed="false">
      <c r="A244" s="1" t="s">
        <v>325</v>
      </c>
      <c r="B244" s="1" t="n">
        <f aca="false">B242-B243</f>
        <v>0</v>
      </c>
      <c r="C244" s="1" t="n">
        <f aca="false">C242-C243</f>
        <v>0</v>
      </c>
      <c r="D244" s="1" t="n">
        <f aca="false">D242-D243</f>
        <v>147.867067252451</v>
      </c>
      <c r="E244" s="1" t="n">
        <f aca="false">E242-E243</f>
        <v>240.072020592439</v>
      </c>
      <c r="F244" s="1" t="n">
        <f aca="false">F242-F243</f>
        <v>447.034857585113</v>
      </c>
      <c r="G244" s="1" t="n">
        <f aca="false">G242-G243</f>
        <v>496.935125579421</v>
      </c>
      <c r="H244" s="1" t="n">
        <f aca="false">H242-H243</f>
        <v>554.545962464239</v>
      </c>
      <c r="I244" s="1" t="n">
        <f aca="false">I242-I243</f>
        <v>615.495427258495</v>
      </c>
      <c r="J244" s="1" t="n">
        <f aca="false">J242-J243</f>
        <v>691.017362184626</v>
      </c>
      <c r="K244" s="1" t="n">
        <f aca="false">K242-K243</f>
        <v>774.69385935438</v>
      </c>
      <c r="L244" s="1" t="n">
        <f aca="false">L242-L243</f>
        <v>867.758270481261</v>
      </c>
      <c r="M244" s="1" t="n">
        <f aca="false">M242-M243</f>
        <v>939.504987207831</v>
      </c>
      <c r="N244" s="1" t="n">
        <f aca="false">N242-N243</f>
        <v>1056.132953238</v>
      </c>
      <c r="O244" s="1" t="n">
        <f aca="false">O242-O243</f>
        <v>1183.44538362038</v>
      </c>
      <c r="P244" s="1" t="n">
        <f aca="false">P242-P243</f>
        <v>1320.61959409337</v>
      </c>
      <c r="Q244" s="1" t="n">
        <f aca="false">Q242-Q243</f>
        <v>1467.84437716204</v>
      </c>
      <c r="R244" s="1" t="n">
        <f aca="false">R242-R243</f>
        <v>1625.5587511579</v>
      </c>
      <c r="S244" s="1" t="n">
        <f aca="false">S242-S243</f>
        <v>1830.85733482086</v>
      </c>
      <c r="T244" s="1" t="n">
        <f aca="false">T242-T243</f>
        <v>1980.76897331769</v>
      </c>
      <c r="U244" s="1" t="n">
        <f aca="false">U242-U243</f>
        <v>2177.32485835236</v>
      </c>
      <c r="V244" s="1" t="n">
        <f aca="false">V242-V243</f>
        <v>2391.54799853642</v>
      </c>
      <c r="W244" s="1" t="n">
        <f aca="false">W242-W243</f>
        <v>2627.19098536775</v>
      </c>
      <c r="X244" s="1" t="n">
        <f aca="false">X242-X243</f>
        <v>2888.93981433204</v>
      </c>
      <c r="Y244" s="1" t="n">
        <f aca="false">Y242-Y243</f>
        <v>3053.03036314154</v>
      </c>
      <c r="Z244" s="1" t="n">
        <f aca="false">Z242-Z243</f>
        <v>3243.01275561966</v>
      </c>
      <c r="AA244" s="1" t="n">
        <f aca="false">AA242-AA243</f>
        <v>3365.86253226117</v>
      </c>
      <c r="AB244" s="1" t="n">
        <f aca="false">AB242-AB243</f>
        <v>2737.42967774617</v>
      </c>
      <c r="AC244" s="1" t="n">
        <f aca="false">AC242-AC243</f>
        <v>2708.61493405503</v>
      </c>
    </row>
    <row r="245" customFormat="false" ht="12.8" hidden="false" customHeight="false" outlineLevel="0" collapsed="false">
      <c r="A245" s="130" t="s">
        <v>326</v>
      </c>
      <c r="B245" s="130" t="n">
        <f aca="false">B244/B242</f>
        <v>0</v>
      </c>
      <c r="C245" s="130" t="n">
        <f aca="false">C244/C242</f>
        <v>0</v>
      </c>
      <c r="D245" s="130" t="n">
        <f aca="false">D244/D242</f>
        <v>0.0143841911269713</v>
      </c>
      <c r="E245" s="130" t="n">
        <f aca="false">E244/E242</f>
        <v>0.0233764712607519</v>
      </c>
      <c r="F245" s="130" t="n">
        <f aca="false">F244/F242</f>
        <v>0.043577757408352</v>
      </c>
      <c r="G245" s="130" t="n">
        <f aca="false">G244/G242</f>
        <v>0.0485048420254745</v>
      </c>
      <c r="H245" s="130" t="n">
        <f aca="false">H244/H242</f>
        <v>0.0542095599606026</v>
      </c>
      <c r="I245" s="130" t="n">
        <f aca="false">I244/I242</f>
        <v>0.0603061051829566</v>
      </c>
      <c r="J245" s="130" t="n">
        <f aca="false">J244/J242</f>
        <v>0.0678526449308923</v>
      </c>
      <c r="K245" s="130" t="n">
        <f aca="false">K244/K242</f>
        <v>0.0762622605003194</v>
      </c>
      <c r="L245" s="130" t="n">
        <f aca="false">L244/L242</f>
        <v>0.0856774949210129</v>
      </c>
      <c r="M245" s="130" t="n">
        <f aca="false">M244/M242</f>
        <v>0.0930831063858038</v>
      </c>
      <c r="N245" s="130" t="n">
        <f aca="false">N244/N242</f>
        <v>0.10506061827477</v>
      </c>
      <c r="O245" s="130" t="n">
        <f aca="false">O244/O242</f>
        <v>0.118262074699421</v>
      </c>
      <c r="P245" s="130" t="n">
        <f aca="false">P244/P242</f>
        <v>0.132661282294216</v>
      </c>
      <c r="Q245" s="130" t="n">
        <f aca="false">Q244/Q242</f>
        <v>0.148332034016397</v>
      </c>
      <c r="R245" s="130" t="n">
        <f aca="false">R244/R242</f>
        <v>0.165381637351242</v>
      </c>
      <c r="S245" s="130" t="n">
        <f aca="false">S244/S242</f>
        <v>0.187683335974278</v>
      </c>
      <c r="T245" s="130" t="n">
        <f aca="false">T244/T242</f>
        <v>0.204765195047251</v>
      </c>
      <c r="U245" s="130" t="n">
        <f aca="false">U244/U242</f>
        <v>0.227174208065958</v>
      </c>
      <c r="V245" s="130" t="n">
        <f aca="false">V244/V242</f>
        <v>0.252044880657589</v>
      </c>
      <c r="W245" s="130" t="n">
        <f aca="false">W244/W242</f>
        <v>0.279884732525507</v>
      </c>
      <c r="X245" s="130" t="n">
        <f aca="false">X244/X242</f>
        <v>0.311319918883787</v>
      </c>
      <c r="Y245" s="130" t="n">
        <f aca="false">Y244/Y242</f>
        <v>0.332989427674219</v>
      </c>
      <c r="Z245" s="130" t="n">
        <f aca="false">Z244/Z242</f>
        <v>0.358163286393213</v>
      </c>
      <c r="AA245" s="130" t="n">
        <f aca="false">AA244/AA242</f>
        <v>0.376541694525274</v>
      </c>
      <c r="AB245" s="130" t="n">
        <f aca="false">AB244/AB242</f>
        <v>0.31027287961732</v>
      </c>
      <c r="AC245" s="130" t="n">
        <f aca="false">AC244/AC242</f>
        <v>0.311087695472237</v>
      </c>
    </row>
    <row r="247" customFormat="false" ht="12.8" hidden="false" customHeight="false" outlineLevel="0" collapsed="false">
      <c r="A247" s="1" t="s">
        <v>329</v>
      </c>
    </row>
    <row r="248" customFormat="false" ht="12.8" hidden="false" customHeight="false" outlineLevel="0" collapsed="false">
      <c r="A248" s="1" t="s">
        <v>318</v>
      </c>
      <c r="B248" s="1" t="n">
        <f aca="false">B180</f>
        <v>10288.6433480329</v>
      </c>
      <c r="C248" s="1" t="n">
        <f aca="false">C180</f>
        <v>10288.6433480329</v>
      </c>
      <c r="D248" s="1" t="n">
        <f aca="false">D180</f>
        <v>10279.8319312646</v>
      </c>
      <c r="E248" s="1" t="n">
        <f aca="false">E180</f>
        <v>10269.8143750853</v>
      </c>
      <c r="F248" s="1" t="n">
        <f aca="false">F180</f>
        <v>10258.3263612238</v>
      </c>
      <c r="G248" s="1" t="n">
        <f aca="false">G180</f>
        <v>10245.062241795</v>
      </c>
      <c r="H248" s="1" t="n">
        <f aca="false">H180</f>
        <v>10229.6709817837</v>
      </c>
      <c r="I248" s="1" t="n">
        <f aca="false">I180</f>
        <v>10206.1876718983</v>
      </c>
      <c r="J248" s="1" t="n">
        <f aca="false">J180</f>
        <v>10184.088813169</v>
      </c>
      <c r="K248" s="1" t="n">
        <f aca="false">K180</f>
        <v>10158.28608111</v>
      </c>
      <c r="L248" s="1" t="n">
        <f aca="false">L180</f>
        <v>10128.1937722532</v>
      </c>
      <c r="M248" s="1" t="n">
        <f aca="false">M180</f>
        <v>10093.1847215524</v>
      </c>
      <c r="N248" s="1" t="n">
        <f aca="false">N180</f>
        <v>10052.6055393644</v>
      </c>
      <c r="O248" s="1" t="n">
        <f aca="false">O180</f>
        <v>10006.9729592371</v>
      </c>
      <c r="P248" s="1" t="n">
        <f aca="false">P180</f>
        <v>9954.8230746368</v>
      </c>
      <c r="Q248" s="1" t="n">
        <f aca="false">Q180</f>
        <v>9895.66675125471</v>
      </c>
      <c r="R248" s="1" t="n">
        <f aca="false">R180</f>
        <v>9829.13688117315</v>
      </c>
      <c r="S248" s="1" t="n">
        <f aca="false">S180</f>
        <v>9755.03405945306</v>
      </c>
      <c r="T248" s="1" t="n">
        <f aca="false">T180</f>
        <v>9673.36745319737</v>
      </c>
      <c r="U248" s="1" t="n">
        <f aca="false">U180</f>
        <v>9584.3840587757</v>
      </c>
      <c r="V248" s="1" t="n">
        <f aca="false">V180</f>
        <v>9488.57993979813</v>
      </c>
      <c r="W248" s="1" t="n">
        <f aca="false">W180</f>
        <v>9386.68916186174</v>
      </c>
      <c r="X248" s="1" t="n">
        <f aca="false">X180</f>
        <v>9279.64977213827</v>
      </c>
      <c r="Y248" s="1" t="n">
        <f aca="false">Y180</f>
        <v>9168.55043856971</v>
      </c>
      <c r="Z248" s="1" t="n">
        <f aca="false">Z180</f>
        <v>9054.56499541744</v>
      </c>
      <c r="AA248" s="1" t="n">
        <f aca="false">AA180</f>
        <v>8938.88400992271</v>
      </c>
      <c r="AB248" s="1" t="n">
        <f aca="false">AB180</f>
        <v>8822.65211552626</v>
      </c>
      <c r="AC248" s="1" t="n">
        <f aca="false">AC180</f>
        <v>8706.91761030054</v>
      </c>
    </row>
    <row r="249" customFormat="false" ht="12.8" hidden="false" customHeight="false" outlineLevel="0" collapsed="false">
      <c r="A249" s="1" t="s">
        <v>42</v>
      </c>
      <c r="B249" s="1" t="n">
        <f aca="false">B223</f>
        <v>10288.6433480329</v>
      </c>
      <c r="C249" s="1" t="n">
        <f aca="false">C223</f>
        <v>10288.6433480329</v>
      </c>
      <c r="D249" s="1" t="n">
        <f aca="false">D223</f>
        <v>10094.5956222673</v>
      </c>
      <c r="E249" s="1" t="n">
        <f aca="false">E223</f>
        <v>9938.901455456</v>
      </c>
      <c r="F249" s="1" t="n">
        <f aca="false">F223</f>
        <v>9652.30088083093</v>
      </c>
      <c r="G249" s="1" t="n">
        <f aca="false">G223</f>
        <v>9502.76060550548</v>
      </c>
      <c r="H249" s="1" t="n">
        <f aca="false">H223</f>
        <v>9320.55692851535</v>
      </c>
      <c r="I249" s="1" t="n">
        <f aca="false">I223</f>
        <v>9098.07142165529</v>
      </c>
      <c r="J249" s="1" t="n">
        <f aca="false">J223</f>
        <v>8825.56160088077</v>
      </c>
      <c r="K249" s="1" t="n">
        <f aca="false">K223</f>
        <v>8532.53934537197</v>
      </c>
      <c r="L249" s="1" t="n">
        <f aca="false">L223</f>
        <v>8199.36975477076</v>
      </c>
      <c r="M249" s="1" t="n">
        <f aca="false">M223</f>
        <v>7887.68750788317</v>
      </c>
      <c r="N249" s="1" t="n">
        <f aca="false">N223</f>
        <v>7528.09401333942</v>
      </c>
      <c r="O249" s="1" t="n">
        <f aca="false">O223</f>
        <v>7159.12878888842</v>
      </c>
      <c r="P249" s="1" t="n">
        <f aca="false">P223</f>
        <v>6784.6244072671</v>
      </c>
      <c r="Q249" s="1" t="n">
        <f aca="false">Q223</f>
        <v>6408.880502721</v>
      </c>
      <c r="R249" s="1" t="n">
        <f aca="false">R223</f>
        <v>6068.12775299092</v>
      </c>
      <c r="S249" s="1" t="n">
        <f aca="false">S223</f>
        <v>5703.22163494372</v>
      </c>
      <c r="T249" s="1" t="n">
        <f aca="false">T223</f>
        <v>5422.09037220585</v>
      </c>
      <c r="U249" s="1" t="n">
        <f aca="false">U223</f>
        <v>5253.29698990569</v>
      </c>
      <c r="V249" s="1" t="n">
        <f aca="false">V223</f>
        <v>5121.31216097089</v>
      </c>
      <c r="W249" s="1" t="n">
        <f aca="false">W223</f>
        <v>5009.47200667297</v>
      </c>
      <c r="X249" s="1" t="n">
        <f aca="false">X223</f>
        <v>4917.12634409049</v>
      </c>
      <c r="Y249" s="1" t="n">
        <f aca="false">Y223</f>
        <v>4853.08269564138</v>
      </c>
      <c r="Z249" s="1" t="n">
        <f aca="false">Z223</f>
        <v>4771.64446080303</v>
      </c>
      <c r="AA249" s="1" t="n">
        <f aca="false">AA223</f>
        <v>4764.20110645292</v>
      </c>
      <c r="AB249" s="1" t="n">
        <f aca="false">AB223</f>
        <v>4709.60132301771</v>
      </c>
      <c r="AC249" s="1" t="n">
        <f aca="false">AC223</f>
        <v>4691.51156013093</v>
      </c>
    </row>
    <row r="250" customFormat="false" ht="12.8" hidden="false" customHeight="false" outlineLevel="0" collapsed="false">
      <c r="A250" s="1" t="s">
        <v>325</v>
      </c>
      <c r="B250" s="1" t="n">
        <f aca="false">B248-B249</f>
        <v>0</v>
      </c>
      <c r="C250" s="1" t="n">
        <f aca="false">C248-C249</f>
        <v>0</v>
      </c>
      <c r="D250" s="1" t="n">
        <f aca="false">D248-D249</f>
        <v>185.236308997224</v>
      </c>
      <c r="E250" s="1" t="n">
        <f aca="false">E248-E249</f>
        <v>330.912919629343</v>
      </c>
      <c r="F250" s="1" t="n">
        <f aca="false">F248-F249</f>
        <v>606.025480392871</v>
      </c>
      <c r="G250" s="1" t="n">
        <f aca="false">G248-G249</f>
        <v>742.301636289541</v>
      </c>
      <c r="H250" s="1" t="n">
        <f aca="false">H248-H249</f>
        <v>909.114053268329</v>
      </c>
      <c r="I250" s="1" t="n">
        <f aca="false">I248-I249</f>
        <v>1108.11625024302</v>
      </c>
      <c r="J250" s="1" t="n">
        <f aca="false">J248-J249</f>
        <v>1358.5272122882</v>
      </c>
      <c r="K250" s="1" t="n">
        <f aca="false">K248-K249</f>
        <v>1625.74673573804</v>
      </c>
      <c r="L250" s="1" t="n">
        <f aca="false">L248-L249</f>
        <v>1928.82401748248</v>
      </c>
      <c r="M250" s="1" t="n">
        <f aca="false">M248-M249</f>
        <v>2205.49721366922</v>
      </c>
      <c r="N250" s="1" t="n">
        <f aca="false">N248-N249</f>
        <v>2524.51152602502</v>
      </c>
      <c r="O250" s="1" t="n">
        <f aca="false">O248-O249</f>
        <v>2847.84417034869</v>
      </c>
      <c r="P250" s="1" t="n">
        <f aca="false">P248-P249</f>
        <v>3170.1986673697</v>
      </c>
      <c r="Q250" s="1" t="n">
        <f aca="false">Q248-Q249</f>
        <v>3486.78624853371</v>
      </c>
      <c r="R250" s="1" t="n">
        <f aca="false">R248-R249</f>
        <v>3761.00912818223</v>
      </c>
      <c r="S250" s="1" t="n">
        <f aca="false">S248-S249</f>
        <v>4051.81242450935</v>
      </c>
      <c r="T250" s="1" t="n">
        <f aca="false">T248-T249</f>
        <v>4251.27708099152</v>
      </c>
      <c r="U250" s="1" t="n">
        <f aca="false">U248-U249</f>
        <v>4331.08706887002</v>
      </c>
      <c r="V250" s="1" t="n">
        <f aca="false">V248-V249</f>
        <v>4367.26777882723</v>
      </c>
      <c r="W250" s="1" t="n">
        <f aca="false">W248-W249</f>
        <v>4377.21715518877</v>
      </c>
      <c r="X250" s="1" t="n">
        <f aca="false">X248-X249</f>
        <v>4362.52342804778</v>
      </c>
      <c r="Y250" s="1" t="n">
        <f aca="false">Y248-Y249</f>
        <v>4315.46774292833</v>
      </c>
      <c r="Z250" s="1" t="n">
        <f aca="false">Z248-Z249</f>
        <v>4282.92053461441</v>
      </c>
      <c r="AA250" s="1" t="n">
        <f aca="false">AA248-AA249</f>
        <v>4174.68290346978</v>
      </c>
      <c r="AB250" s="1" t="n">
        <f aca="false">AB248-AB249</f>
        <v>4113.05079250855</v>
      </c>
      <c r="AC250" s="1" t="n">
        <f aca="false">AC248-AC249</f>
        <v>4015.40605016961</v>
      </c>
    </row>
    <row r="251" customFormat="false" ht="12.8" hidden="false" customHeight="false" outlineLevel="0" collapsed="false">
      <c r="A251" s="130" t="s">
        <v>326</v>
      </c>
      <c r="B251" s="130" t="n">
        <f aca="false">B250/B248</f>
        <v>0</v>
      </c>
      <c r="C251" s="130" t="n">
        <f aca="false">C250/C248</f>
        <v>0</v>
      </c>
      <c r="D251" s="130" t="n">
        <f aca="false">D250/D248</f>
        <v>0.0180193908067559</v>
      </c>
      <c r="E251" s="130" t="n">
        <f aca="false">E250/E248</f>
        <v>0.0322218988136865</v>
      </c>
      <c r="F251" s="130" t="n">
        <f aca="false">F250/F248</f>
        <v>0.0590764476633958</v>
      </c>
      <c r="G251" s="130" t="n">
        <f aca="false">G250/G248</f>
        <v>0.0724545755575111</v>
      </c>
      <c r="H251" s="130" t="n">
        <f aca="false">H250/H248</f>
        <v>0.0888703121427091</v>
      </c>
      <c r="I251" s="130" t="n">
        <f aca="false">I250/I248</f>
        <v>0.10857298394523</v>
      </c>
      <c r="J251" s="130" t="n">
        <f aca="false">J250/J248</f>
        <v>0.133397031114998</v>
      </c>
      <c r="K251" s="130" t="n">
        <f aca="false">K250/K248</f>
        <v>0.160041440333249</v>
      </c>
      <c r="L251" s="130" t="n">
        <f aca="false">L250/L248</f>
        <v>0.190441065885469</v>
      </c>
      <c r="M251" s="130" t="n">
        <f aca="false">M250/M248</f>
        <v>0.218513509314828</v>
      </c>
      <c r="N251" s="130" t="n">
        <f aca="false">N250/N248</f>
        <v>0.25113006932774</v>
      </c>
      <c r="O251" s="130" t="n">
        <f aca="false">O250/O248</f>
        <v>0.284585976393584</v>
      </c>
      <c r="P251" s="130" t="n">
        <f aca="false">P250/P248</f>
        <v>0.318458564617469</v>
      </c>
      <c r="Q251" s="130" t="n">
        <f aca="false">Q250/Q248</f>
        <v>0.352354857553343</v>
      </c>
      <c r="R251" s="130" t="n">
        <f aca="false">R250/R248</f>
        <v>0.382638798670727</v>
      </c>
      <c r="S251" s="130" t="n">
        <f aca="false">S250/S248</f>
        <v>0.415356051020956</v>
      </c>
      <c r="T251" s="130" t="n">
        <f aca="false">T250/T248</f>
        <v>0.439482641547575</v>
      </c>
      <c r="U251" s="130" t="n">
        <f aca="false">U250/U248</f>
        <v>0.451889974599292</v>
      </c>
      <c r="V251" s="130" t="n">
        <f aca="false">V250/V248</f>
        <v>0.4602656884946</v>
      </c>
      <c r="W251" s="130" t="n">
        <f aca="false">W250/W248</f>
        <v>0.466321732797275</v>
      </c>
      <c r="X251" s="130" t="n">
        <f aca="false">X250/X248</f>
        <v>0.470117249591258</v>
      </c>
      <c r="Y251" s="130" t="n">
        <f aca="false">Y250/Y248</f>
        <v>0.470681573040628</v>
      </c>
      <c r="Z251" s="130" t="n">
        <f aca="false">Z250/Z248</f>
        <v>0.473012291234534</v>
      </c>
      <c r="AA251" s="130" t="n">
        <f aca="false">AA250/AA248</f>
        <v>0.467025066981027</v>
      </c>
      <c r="AB251" s="130" t="n">
        <f aca="false">AB250/AB248</f>
        <v>0.466192108523732</v>
      </c>
      <c r="AC251" s="130" t="n">
        <f aca="false">AC250/AC248</f>
        <v>0.461174232936265</v>
      </c>
    </row>
    <row r="253" customFormat="false" ht="12.8" hidden="false" customHeight="false" outlineLevel="0" collapsed="false">
      <c r="A253" s="1" t="s">
        <v>330</v>
      </c>
      <c r="B253" s="1" t="s">
        <v>1</v>
      </c>
      <c r="C253" s="1" t="s">
        <v>2</v>
      </c>
      <c r="D253" s="1" t="s">
        <v>331</v>
      </c>
      <c r="E253" s="1" t="s">
        <v>3</v>
      </c>
    </row>
    <row r="254" customFormat="false" ht="12.8" hidden="false" customHeight="false" outlineLevel="0" collapsed="false">
      <c r="A254" s="1" t="s">
        <v>332</v>
      </c>
      <c r="B254" s="1" t="n">
        <f aca="false">B231-(SUM(D231:I231)/6)</f>
        <v>139.068937099143</v>
      </c>
      <c r="C254" s="1" t="n">
        <f aca="false">B231-SUM(D231:N231)/11</f>
        <v>150.450078041761</v>
      </c>
      <c r="D254" s="1" t="n">
        <f aca="false">B231-(SUM(N231:AC231)/21)</f>
        <v>164.538598101249</v>
      </c>
    </row>
    <row r="255" customFormat="false" ht="12.8" hidden="false" customHeight="false" outlineLevel="0" collapsed="false">
      <c r="A255" s="1" t="s">
        <v>333</v>
      </c>
    </row>
    <row r="256" customFormat="false" ht="12.8" hidden="false" customHeight="false" outlineLevel="0" collapsed="false">
      <c r="A256" s="1" t="s">
        <v>334</v>
      </c>
      <c r="B256" s="1" t="n">
        <f aca="false">B236-(AVERAGE(D236:I236))</f>
        <v>40.4944208577545</v>
      </c>
      <c r="C256" s="1" t="n">
        <f aca="false">B236-AVERAGE(D236:N236)</f>
        <v>97.2567579874394</v>
      </c>
      <c r="D256" s="1" t="n">
        <f aca="false">B237-(AVERAGE(N236:AC236))</f>
        <v>813.738421743676</v>
      </c>
    </row>
    <row r="257" customFormat="false" ht="12.8" hidden="false" customHeight="false" outlineLevel="0" collapsed="false">
      <c r="A257" s="1" t="s">
        <v>335</v>
      </c>
      <c r="B257" s="1" t="n">
        <f aca="false">B237-(AVERAGE(D237:I237))</f>
        <v>318.419470667122</v>
      </c>
      <c r="C257" s="1" t="n">
        <f aca="false">B237-AVERAGE(D237:N237)</f>
        <v>396.869735418257</v>
      </c>
      <c r="D257" s="1" t="n">
        <f aca="false">B237-(AVERAGE(N237:AC237))</f>
        <v>1119.55619790202</v>
      </c>
    </row>
    <row r="258" customFormat="false" ht="12.8" hidden="false" customHeight="false" outlineLevel="0" collapsed="false">
      <c r="A258" s="1" t="s">
        <v>336</v>
      </c>
      <c r="B258" s="1" t="n">
        <f aca="false">B243-AVERAGE(D243:I243)</f>
        <v>457.486164313115</v>
      </c>
      <c r="C258" s="1" t="n">
        <f aca="false">B243-AVERAGE(D243:N243)</f>
        <v>718.262021005463</v>
      </c>
      <c r="D258" s="1" t="n">
        <f aca="false">B243-(AVERAGE(N243:AC243))</f>
        <v>3042.37475217008</v>
      </c>
    </row>
    <row r="259" customFormat="false" ht="12.8" hidden="false" customHeight="false" outlineLevel="0" collapsed="false">
      <c r="A259" s="1" t="s">
        <v>337</v>
      </c>
      <c r="B259" s="1" t="n">
        <f aca="false">B249-(AVERAGE(D249:I249))</f>
        <v>687.445528994476</v>
      </c>
      <c r="C259" s="1" t="n">
        <f aca="false">B249-AVERAGE(D249:N249)</f>
        <v>1326.78524471683</v>
      </c>
      <c r="D259" s="1" t="n">
        <f aca="false">B249-(AVERAGE(N249:AC249))</f>
        <v>4715.80484053022</v>
      </c>
    </row>
    <row r="260" customFormat="false" ht="12.8" hidden="false" customHeight="false" outlineLevel="0" collapsed="false">
      <c r="A260" s="1" t="s">
        <v>338</v>
      </c>
    </row>
    <row r="261" customFormat="false" ht="12.8" hidden="false" customHeight="false" outlineLevel="0" collapsed="false">
      <c r="A261" s="1" t="s">
        <v>332</v>
      </c>
      <c r="B261" s="130" t="n">
        <f aca="false">B254/$B$231</f>
        <v>0.768083236481</v>
      </c>
      <c r="C261" s="130" t="n">
        <f aca="false">C254/$B$231</f>
        <v>0.830941727761625</v>
      </c>
      <c r="D261" s="130" t="n">
        <f aca="false">D254/$B$231</f>
        <v>0.908753180917439</v>
      </c>
    </row>
    <row r="262" customFormat="false" ht="12.8" hidden="false" customHeight="false" outlineLevel="0" collapsed="false">
      <c r="B262" s="130"/>
      <c r="C262" s="130"/>
      <c r="D262" s="130"/>
    </row>
    <row r="263" customFormat="false" ht="12.8" hidden="false" customHeight="false" outlineLevel="0" collapsed="false">
      <c r="A263" s="1" t="s">
        <v>335</v>
      </c>
      <c r="B263" s="130" t="n">
        <f aca="false">B257/$B$243</f>
        <v>0.0309486352958286</v>
      </c>
      <c r="C263" s="130" t="n">
        <f aca="false">C257/$B$243</f>
        <v>0.0385735730157403</v>
      </c>
      <c r="D263" s="130" t="n">
        <f aca="false">D257/$B$243</f>
        <v>0.108814754290814</v>
      </c>
    </row>
    <row r="264" customFormat="false" ht="12.8" hidden="false" customHeight="false" outlineLevel="0" collapsed="false">
      <c r="A264" s="1" t="s">
        <v>336</v>
      </c>
      <c r="B264" s="130" t="n">
        <f aca="false">B258/$B$243</f>
        <v>0.0444651591893876</v>
      </c>
      <c r="C264" s="130" t="n">
        <f aca="false">C258/$B$243</f>
        <v>0.0698111497025301</v>
      </c>
      <c r="D264" s="130" t="n">
        <f aca="false">D258/$B$243</f>
        <v>0.29570222713102</v>
      </c>
    </row>
    <row r="265" customFormat="false" ht="12.8" hidden="false" customHeight="false" outlineLevel="0" collapsed="false">
      <c r="A265" s="1" t="s">
        <v>337</v>
      </c>
      <c r="B265" s="130" t="n">
        <f aca="false">B259/$B$243</f>
        <v>0.0668159548096214</v>
      </c>
      <c r="C265" s="130" t="n">
        <f aca="false">C259/$B$243</f>
        <v>0.12895628702792</v>
      </c>
      <c r="D265" s="130" t="n">
        <f aca="false">D259/$B$243</f>
        <v>0.458350501714286</v>
      </c>
    </row>
    <row r="267" customFormat="false" ht="12.8" hidden="false" customHeight="false" outlineLevel="0" collapsed="false">
      <c r="A267" s="1" t="s">
        <v>339</v>
      </c>
      <c r="B267" s="1" t="s">
        <v>1</v>
      </c>
      <c r="C267" s="1" t="s">
        <v>2</v>
      </c>
      <c r="D267" s="1" t="s">
        <v>331</v>
      </c>
    </row>
    <row r="268" customFormat="false" ht="12.8" hidden="false" customHeight="false" outlineLevel="0" collapsed="false">
      <c r="A268" s="1" t="s">
        <v>332</v>
      </c>
      <c r="B268" s="1" t="n">
        <f aca="false">(SUM(D232:I232)/6)</f>
        <v>138.962524904684</v>
      </c>
      <c r="C268" s="1" t="n">
        <f aca="false">SUM(D232:N232)/11</f>
        <v>149.806488715409</v>
      </c>
      <c r="D268" s="1" t="n">
        <f aca="false">(SUM(N232:AC232)/21)</f>
        <v>116.502009965081</v>
      </c>
    </row>
    <row r="269" customFormat="false" ht="12.8" hidden="false" customHeight="false" outlineLevel="0" collapsed="false">
      <c r="A269" s="1" t="s">
        <v>335</v>
      </c>
      <c r="B269" s="1" t="n">
        <f aca="false">(SUM(D238:I238)/6)</f>
        <v>277.925049809367</v>
      </c>
      <c r="C269" s="1" t="n">
        <f aca="false">SUM(D238:N238)/11</f>
        <v>299.612977430817</v>
      </c>
      <c r="D269" s="1" t="n">
        <f aca="false">(SUM(N238:AC238)/21)</f>
        <v>233.004019930162</v>
      </c>
    </row>
    <row r="270" customFormat="false" ht="12.8" hidden="false" customHeight="false" outlineLevel="0" collapsed="false">
      <c r="A270" s="1" t="s">
        <v>336</v>
      </c>
      <c r="B270" s="1" t="n">
        <f aca="false">(SUM(D244:I244)/6)</f>
        <v>416.99174345536</v>
      </c>
      <c r="C270" s="1" t="n">
        <f aca="false">SUM(D244:N244)/11</f>
        <v>621.005263018024</v>
      </c>
      <c r="D270" s="1" t="n">
        <f aca="false">(SUM(N244:AC244)/21)</f>
        <v>1698.00863270583</v>
      </c>
    </row>
    <row r="271" customFormat="false" ht="12.8" hidden="false" customHeight="false" outlineLevel="0" collapsed="false">
      <c r="A271" s="1" t="s">
        <v>337</v>
      </c>
      <c r="B271" s="1" t="n">
        <f aca="false">(SUM(D250:I250)/6)</f>
        <v>646.951108136722</v>
      </c>
      <c r="C271" s="1" t="n">
        <f aca="false">SUM(D250:N250)/11</f>
        <v>1229.52848672939</v>
      </c>
      <c r="D271" s="1" t="n">
        <f aca="false">(SUM(N250:AC250)/21)</f>
        <v>2973.00298574213</v>
      </c>
    </row>
    <row r="272" customFormat="false" ht="12.8" hidden="false" customHeight="false" outlineLevel="0" collapsed="false">
      <c r="A272" s="1" t="s">
        <v>338</v>
      </c>
    </row>
    <row r="273" customFormat="false" ht="12.8" hidden="false" customHeight="false" outlineLevel="0" collapsed="false">
      <c r="A273" s="1" t="s">
        <v>332</v>
      </c>
      <c r="B273" s="130" t="n">
        <f aca="false">B268/$B$231</f>
        <v>0.767495517724917</v>
      </c>
      <c r="C273" s="130" t="n">
        <f aca="false">C268/$B$231</f>
        <v>0.827387158473466</v>
      </c>
      <c r="D273" s="130" t="n">
        <f aca="false">D268/$B$231</f>
        <v>0.643445205932134</v>
      </c>
    </row>
    <row r="274" customFormat="false" ht="12.8" hidden="false" customHeight="false" outlineLevel="0" collapsed="false">
      <c r="A274" s="1" t="s">
        <v>335</v>
      </c>
      <c r="B274" s="130" t="n">
        <f aca="false">B269/$B$243</f>
        <v>0.0270127985204682</v>
      </c>
      <c r="C274" s="130" t="n">
        <f aca="false">C269/$B$243</f>
        <v>0.0291207467589108</v>
      </c>
      <c r="D274" s="130" t="n">
        <f aca="false">D269/$B$243</f>
        <v>0.0226467194991953</v>
      </c>
    </row>
    <row r="275" customFormat="false" ht="12.8" hidden="false" customHeight="false" outlineLevel="0" collapsed="false">
      <c r="A275" s="1" t="s">
        <v>336</v>
      </c>
      <c r="B275" s="130" t="n">
        <f aca="false">B270/$B$243</f>
        <v>0.0405293224140271</v>
      </c>
      <c r="C275" s="130" t="n">
        <f aca="false">C270/$B$243</f>
        <v>0.0603583234457006</v>
      </c>
      <c r="D275" s="130" t="n">
        <f aca="false">D270/$B$243</f>
        <v>0.165037174996495</v>
      </c>
    </row>
    <row r="276" customFormat="false" ht="15.8" hidden="false" customHeight="false" outlineLevel="0" collapsed="false">
      <c r="A276" s="1" t="s">
        <v>337</v>
      </c>
      <c r="B276" s="130" t="n">
        <f aca="false">B271/$B$243</f>
        <v>0.0628801180342611</v>
      </c>
      <c r="C276" s="130" t="n">
        <f aca="false">C271/$B$243</f>
        <v>0.119503460771091</v>
      </c>
      <c r="D276" s="130" t="n">
        <f aca="false">D271/$B$243</f>
        <v>0.288959669917079</v>
      </c>
    </row>
    <row r="278" customFormat="false" ht="12.8" hidden="false" customHeight="false" outlineLevel="0" collapsed="false">
      <c r="A278" s="125" t="s">
        <v>340</v>
      </c>
      <c r="B278" s="142" t="s">
        <v>43</v>
      </c>
      <c r="C278" s="142" t="n">
        <v>2024</v>
      </c>
      <c r="D278" s="142" t="n">
        <v>2025</v>
      </c>
      <c r="E278" s="142" t="n">
        <v>2026</v>
      </c>
      <c r="F278" s="142" t="n">
        <v>2027</v>
      </c>
      <c r="G278" s="142" t="n">
        <v>2028</v>
      </c>
      <c r="H278" s="142" t="n">
        <v>2029</v>
      </c>
      <c r="I278" s="143" t="n">
        <v>2030</v>
      </c>
      <c r="J278" s="143" t="n">
        <v>2031</v>
      </c>
      <c r="K278" s="143" t="n">
        <v>2032</v>
      </c>
      <c r="L278" s="143" t="n">
        <v>2033</v>
      </c>
      <c r="M278" s="143" t="n">
        <v>2034</v>
      </c>
      <c r="N278" s="143" t="n">
        <v>2035</v>
      </c>
      <c r="O278" s="143" t="n">
        <v>2036</v>
      </c>
      <c r="P278" s="143" t="n">
        <v>2037</v>
      </c>
      <c r="Q278" s="143" t="n">
        <v>2038</v>
      </c>
      <c r="R278" s="143" t="n">
        <v>2039</v>
      </c>
      <c r="S278" s="143" t="n">
        <v>2040</v>
      </c>
      <c r="T278" s="143" t="n">
        <v>2041</v>
      </c>
      <c r="U278" s="143" t="n">
        <v>2042</v>
      </c>
      <c r="V278" s="143" t="n">
        <v>2043</v>
      </c>
      <c r="W278" s="143" t="n">
        <v>2044</v>
      </c>
      <c r="X278" s="143" t="n">
        <v>2045</v>
      </c>
      <c r="Y278" s="143" t="n">
        <v>2046</v>
      </c>
      <c r="Z278" s="143" t="n">
        <v>2047</v>
      </c>
      <c r="AA278" s="143" t="n">
        <v>2048</v>
      </c>
      <c r="AB278" s="143" t="n">
        <v>2049</v>
      </c>
      <c r="AC278" s="143" t="n">
        <v>2050</v>
      </c>
    </row>
    <row r="279" customFormat="false" ht="12.8" hidden="false" customHeight="false" outlineLevel="0" collapsed="false">
      <c r="A279" s="51" t="s">
        <v>341</v>
      </c>
      <c r="B279" s="1" t="n">
        <f aca="false">($B$30*$B$28)+($B$40*$B$44)</f>
        <v>66.585808657411</v>
      </c>
      <c r="C279" s="1" t="n">
        <f aca="false">($B$30*$B$28)+($B$40*$B$44)</f>
        <v>66.585808657411</v>
      </c>
      <c r="D279" s="1" t="n">
        <f aca="false">($B$30*$B$33)+($B$46*$B$49)</f>
        <v>4.81240927215614</v>
      </c>
      <c r="E279" s="1" t="n">
        <f aca="false">($B$30*$B$33)+($B$46*$B$49)</f>
        <v>4.81240927215614</v>
      </c>
      <c r="F279" s="1" t="n">
        <f aca="false">($B$30*$B$33)+($B$46*$B$49)</f>
        <v>4.81240927215614</v>
      </c>
      <c r="G279" s="1" t="n">
        <f aca="false">($B$30*$B$33)+($B$46*$B$49)</f>
        <v>4.81240927215614</v>
      </c>
      <c r="H279" s="1" t="n">
        <f aca="false">($B$30*$B$33)+($B$46*$B$49)</f>
        <v>4.81240927215614</v>
      </c>
      <c r="I279" s="52" t="n">
        <f aca="false">($B$30*$B$33)+($B$46*$B$49)</f>
        <v>4.81240927215614</v>
      </c>
      <c r="J279" s="52" t="n">
        <f aca="false">($B$30*$B$33)+($B$46*$B$49)</f>
        <v>4.81240927215614</v>
      </c>
      <c r="K279" s="52" t="n">
        <f aca="false">($B$30*$B$33)+($B$46*$B$49)</f>
        <v>4.81240927215614</v>
      </c>
      <c r="L279" s="52" t="n">
        <f aca="false">L$183</f>
        <v>4.33116834494052</v>
      </c>
      <c r="M279" s="52" t="n">
        <f aca="false">M$183</f>
        <v>4.33116834494052</v>
      </c>
      <c r="N279" s="52" t="n">
        <f aca="false">N$183</f>
        <v>4.33116834494052</v>
      </c>
      <c r="O279" s="52" t="n">
        <f aca="false">O$183</f>
        <v>4.33116834494052</v>
      </c>
      <c r="P279" s="52" t="n">
        <f aca="false">P$183</f>
        <v>4.33116834494052</v>
      </c>
      <c r="Q279" s="52" t="n">
        <f aca="false">Q$183</f>
        <v>4.33116834494052</v>
      </c>
      <c r="R279" s="52" t="n">
        <f aca="false">R$183</f>
        <v>4.33116834494052</v>
      </c>
      <c r="S279" s="52" t="n">
        <f aca="false">S$183</f>
        <v>3.89805151044647</v>
      </c>
      <c r="T279" s="52" t="n">
        <f aca="false">T$183</f>
        <v>3.89805151044647</v>
      </c>
      <c r="U279" s="52" t="n">
        <f aca="false">U$183</f>
        <v>3.89805151044647</v>
      </c>
      <c r="V279" s="52" t="n">
        <f aca="false">V$183</f>
        <v>3.89805151044647</v>
      </c>
      <c r="W279" s="52" t="n">
        <f aca="false">W$183</f>
        <v>3.89805151044647</v>
      </c>
      <c r="X279" s="52" t="n">
        <f aca="false">X$183</f>
        <v>3.89805151044647</v>
      </c>
      <c r="Y279" s="52" t="n">
        <f aca="false">Y$183</f>
        <v>3.89805151044647</v>
      </c>
      <c r="Z279" s="52" t="n">
        <f aca="false">Z$183</f>
        <v>3.50824635940183</v>
      </c>
      <c r="AA279" s="52" t="n">
        <f aca="false">AA$183</f>
        <v>3.50824635940183</v>
      </c>
      <c r="AB279" s="52" t="n">
        <f aca="false">AB$183</f>
        <v>3.50824635940183</v>
      </c>
      <c r="AC279" s="52" t="n">
        <f aca="false">AC$183</f>
        <v>3.50824635940183</v>
      </c>
    </row>
    <row r="280" customFormat="false" ht="12.8" hidden="false" customHeight="false" outlineLevel="0" collapsed="false">
      <c r="A280" s="51" t="s">
        <v>18</v>
      </c>
      <c r="B280" s="1" t="n">
        <f aca="false">$B$10</f>
        <v>114.47391312</v>
      </c>
      <c r="C280" s="1" t="n">
        <f aca="false">$B$10</f>
        <v>114.47391312</v>
      </c>
      <c r="D280" s="1" t="n">
        <f aca="false">$B$10</f>
        <v>114.47391312</v>
      </c>
      <c r="E280" s="1" t="n">
        <f aca="false">($H$2*0.25)+($B$10*0.75)</f>
        <v>99.1224085362516</v>
      </c>
      <c r="F280" s="141" t="n">
        <f aca="false">($H$2)</f>
        <v>53.0678947850063</v>
      </c>
      <c r="G280" s="141" t="n">
        <f aca="false">($H$2)</f>
        <v>53.0678947850063</v>
      </c>
      <c r="H280" s="141" t="n">
        <f aca="false">($H$2)</f>
        <v>53.0678947850063</v>
      </c>
      <c r="I280" s="144" t="n">
        <f aca="false">($H$2)</f>
        <v>53.0678947850063</v>
      </c>
      <c r="J280" s="144" t="n">
        <f aca="false">($H$2)</f>
        <v>53.0678947850063</v>
      </c>
      <c r="K280" s="144" t="n">
        <f aca="false">($H$2)</f>
        <v>53.0678947850063</v>
      </c>
      <c r="L280" s="144" t="n">
        <f aca="false">($H$2)</f>
        <v>53.0678947850063</v>
      </c>
      <c r="M280" s="144" t="n">
        <f aca="false">($H$2)</f>
        <v>53.0678947850063</v>
      </c>
      <c r="N280" s="144" t="n">
        <f aca="false">($H$2)</f>
        <v>53.0678947850063</v>
      </c>
      <c r="O280" s="144" t="n">
        <f aca="false">($H$2)</f>
        <v>53.0678947850063</v>
      </c>
      <c r="P280" s="144" t="n">
        <f aca="false">($H$2)</f>
        <v>53.0678947850063</v>
      </c>
      <c r="Q280" s="144" t="n">
        <f aca="false">($H$2)</f>
        <v>53.0678947850063</v>
      </c>
      <c r="R280" s="144" t="n">
        <f aca="false">($H$2)</f>
        <v>53.0678947850063</v>
      </c>
      <c r="S280" s="144" t="n">
        <f aca="false">($H$2)</f>
        <v>53.0678947850063</v>
      </c>
      <c r="T280" s="144" t="n">
        <f aca="false">($H$2)</f>
        <v>53.0678947850063</v>
      </c>
      <c r="U280" s="144" t="n">
        <f aca="false">($H$2)</f>
        <v>53.0678947850063</v>
      </c>
      <c r="V280" s="144" t="n">
        <f aca="false">($H$2)</f>
        <v>53.0678947850063</v>
      </c>
      <c r="W280" s="144" t="n">
        <f aca="false">($H$2)</f>
        <v>53.0678947850063</v>
      </c>
      <c r="X280" s="144" t="n">
        <f aca="false">($H$2)</f>
        <v>53.0678947850063</v>
      </c>
      <c r="Y280" s="144" t="n">
        <f aca="false">($H$2)</f>
        <v>53.0678947850063</v>
      </c>
      <c r="Z280" s="144" t="n">
        <f aca="false">($H$2)</f>
        <v>53.0678947850063</v>
      </c>
      <c r="AA280" s="144" t="n">
        <f aca="false">($H$2)</f>
        <v>53.0678947850063</v>
      </c>
      <c r="AB280" s="144" t="n">
        <f aca="false">($H$2)</f>
        <v>53.0678947850063</v>
      </c>
      <c r="AC280" s="144" t="n">
        <f aca="false">($H$2)</f>
        <v>53.0678947850063</v>
      </c>
    </row>
    <row r="281" customFormat="false" ht="12.8" hidden="false" customHeight="false" outlineLevel="0" collapsed="false">
      <c r="A281" s="49" t="s">
        <v>39</v>
      </c>
      <c r="B281" s="1" t="n">
        <f aca="false">SUM(B279:B280)</f>
        <v>181.059721777411</v>
      </c>
      <c r="C281" s="1" t="n">
        <f aca="false">SUM(C279:C280)</f>
        <v>181.059721777411</v>
      </c>
      <c r="D281" s="1" t="n">
        <f aca="false">SUM(D279:D280)</f>
        <v>119.286322392156</v>
      </c>
      <c r="E281" s="1" t="n">
        <f aca="false">SUM(E279:E280)</f>
        <v>103.934817808408</v>
      </c>
      <c r="F281" s="1" t="n">
        <f aca="false">SUM(F279:F280)</f>
        <v>57.8803040571625</v>
      </c>
      <c r="G281" s="1" t="n">
        <f aca="false">SUM(G279:G280)</f>
        <v>57.8803040571625</v>
      </c>
      <c r="H281" s="1" t="n">
        <f aca="false">SUM(H279:H280)</f>
        <v>57.8803040571625</v>
      </c>
      <c r="I281" s="52" t="n">
        <f aca="false">SUM(I279:I280)</f>
        <v>57.8803040571625</v>
      </c>
      <c r="J281" s="52" t="n">
        <f aca="false">SUM(J279:J280)</f>
        <v>57.8803040571625</v>
      </c>
      <c r="K281" s="52" t="n">
        <f aca="false">SUM(K279:K280)</f>
        <v>57.8803040571625</v>
      </c>
      <c r="L281" s="52" t="n">
        <f aca="false">SUM(L279:L280)</f>
        <v>57.3990631299468</v>
      </c>
      <c r="M281" s="52" t="n">
        <f aca="false">SUM(M279:M280)</f>
        <v>57.3990631299468</v>
      </c>
      <c r="N281" s="52" t="n">
        <f aca="false">SUM(N279:N280)</f>
        <v>57.3990631299468</v>
      </c>
      <c r="O281" s="52" t="n">
        <f aca="false">SUM(O279:O280)</f>
        <v>57.3990631299468</v>
      </c>
      <c r="P281" s="52" t="n">
        <f aca="false">SUM(P279:P280)</f>
        <v>57.3990631299468</v>
      </c>
      <c r="Q281" s="52" t="n">
        <f aca="false">SUM(Q279:Q280)</f>
        <v>57.3990631299468</v>
      </c>
      <c r="R281" s="52" t="n">
        <f aca="false">SUM(R279:R280)</f>
        <v>57.3990631299468</v>
      </c>
      <c r="S281" s="52" t="n">
        <f aca="false">SUM(S279:S280)</f>
        <v>56.9659462954528</v>
      </c>
      <c r="T281" s="52" t="n">
        <f aca="false">SUM(T279:T280)</f>
        <v>56.9659462954528</v>
      </c>
      <c r="U281" s="52" t="n">
        <f aca="false">SUM(U279:U280)</f>
        <v>56.9659462954528</v>
      </c>
      <c r="V281" s="52" t="n">
        <f aca="false">SUM(V279:V280)</f>
        <v>56.9659462954528</v>
      </c>
      <c r="W281" s="52" t="n">
        <f aca="false">SUM(W279:W280)</f>
        <v>56.9659462954528</v>
      </c>
      <c r="X281" s="52" t="n">
        <f aca="false">SUM(X279:X280)</f>
        <v>56.9659462954528</v>
      </c>
      <c r="Y281" s="52" t="n">
        <f aca="false">SUM(Y279:Y280)</f>
        <v>56.9659462954528</v>
      </c>
      <c r="Z281" s="52" t="n">
        <f aca="false">SUM(Z279:Z280)</f>
        <v>56.5761411444081</v>
      </c>
      <c r="AA281" s="52" t="n">
        <f aca="false">SUM(AA279:AA280)</f>
        <v>56.5761411444081</v>
      </c>
      <c r="AB281" s="52" t="n">
        <f aca="false">SUM(AB279:AB280)</f>
        <v>56.5761411444081</v>
      </c>
      <c r="AC281" s="52" t="n">
        <f aca="false">SUM(AC279:AC280)</f>
        <v>56.5761411444081</v>
      </c>
    </row>
    <row r="282" customFormat="false" ht="12.8" hidden="false" customHeight="false" outlineLevel="0" collapsed="false">
      <c r="A282" s="51" t="s">
        <v>342</v>
      </c>
      <c r="B282" s="1" t="n">
        <f aca="false">($B281-B281)</f>
        <v>0</v>
      </c>
      <c r="C282" s="1" t="n">
        <f aca="false">($B281-C281)</f>
        <v>0</v>
      </c>
      <c r="D282" s="1" t="n">
        <f aca="false">($B281-D281)</f>
        <v>61.7733993852549</v>
      </c>
      <c r="E282" s="1" t="n">
        <f aca="false">($B281-E281)</f>
        <v>77.1249039690033</v>
      </c>
      <c r="F282" s="1" t="n">
        <f aca="false">($B281-F281)</f>
        <v>123.179417720249</v>
      </c>
      <c r="G282" s="1" t="n">
        <f aca="false">($B281-G281)</f>
        <v>123.179417720249</v>
      </c>
      <c r="H282" s="1" t="n">
        <f aca="false">($B281-H281)</f>
        <v>123.179417720249</v>
      </c>
      <c r="I282" s="52" t="n">
        <f aca="false">($B281-I281)</f>
        <v>123.179417720249</v>
      </c>
      <c r="J282" s="52" t="n">
        <f aca="false">($B281-J281)</f>
        <v>123.179417720249</v>
      </c>
      <c r="K282" s="52" t="n">
        <f aca="false">($B281-K281)</f>
        <v>123.179417720249</v>
      </c>
      <c r="L282" s="52" t="n">
        <f aca="false">($B281-L281)</f>
        <v>123.660658647464</v>
      </c>
      <c r="M282" s="52" t="n">
        <f aca="false">($B281-M281)</f>
        <v>123.660658647464</v>
      </c>
      <c r="N282" s="52" t="n">
        <f aca="false">($B281-N281)</f>
        <v>123.660658647464</v>
      </c>
      <c r="O282" s="52" t="n">
        <f aca="false">($B281-O281)</f>
        <v>123.660658647464</v>
      </c>
      <c r="P282" s="52" t="n">
        <f aca="false">($B281-P281)</f>
        <v>123.660658647464</v>
      </c>
      <c r="Q282" s="52" t="n">
        <f aca="false">($B281-Q281)</f>
        <v>123.660658647464</v>
      </c>
      <c r="R282" s="52" t="n">
        <f aca="false">($B281-R281)</f>
        <v>123.660658647464</v>
      </c>
      <c r="S282" s="52" t="n">
        <f aca="false">($B281-S281)</f>
        <v>124.093775481958</v>
      </c>
      <c r="T282" s="52" t="n">
        <f aca="false">($B281-T281)</f>
        <v>124.093775481958</v>
      </c>
      <c r="U282" s="52" t="n">
        <f aca="false">($B281-U281)</f>
        <v>124.093775481958</v>
      </c>
      <c r="V282" s="52" t="n">
        <f aca="false">($B281-V281)</f>
        <v>124.093775481958</v>
      </c>
      <c r="W282" s="52" t="n">
        <f aca="false">($B281-W281)</f>
        <v>124.093775481958</v>
      </c>
      <c r="X282" s="52" t="n">
        <f aca="false">($B281-X281)</f>
        <v>124.093775481958</v>
      </c>
      <c r="Y282" s="52" t="n">
        <f aca="false">($B281-Y281)</f>
        <v>124.093775481958</v>
      </c>
      <c r="Z282" s="52" t="n">
        <f aca="false">($B281-Z281)</f>
        <v>124.483580633003</v>
      </c>
      <c r="AA282" s="52" t="n">
        <f aca="false">($B281-AA281)</f>
        <v>124.483580633003</v>
      </c>
      <c r="AB282" s="52" t="n">
        <f aca="false">($B281-AB281)</f>
        <v>124.483580633003</v>
      </c>
      <c r="AC282" s="52" t="n">
        <f aca="false">($B281-AC281)</f>
        <v>124.483580633003</v>
      </c>
    </row>
    <row r="283" customFormat="false" ht="12.8" hidden="false" customHeight="false" outlineLevel="0" collapsed="false">
      <c r="A283" s="51" t="s">
        <v>343</v>
      </c>
      <c r="B283" s="130" t="n">
        <f aca="false">($B281-B281)/$B281</f>
        <v>0</v>
      </c>
      <c r="C283" s="130" t="n">
        <f aca="false">($B281-C281)/$B281</f>
        <v>0</v>
      </c>
      <c r="D283" s="130" t="n">
        <f aca="false">($B281-D281)/$B281</f>
        <v>0.341176926479524</v>
      </c>
      <c r="E283" s="130" t="n">
        <f aca="false">($B281-E281)/$B281</f>
        <v>0.425963893083953</v>
      </c>
      <c r="F283" s="130" t="n">
        <f aca="false">($B281-F281)/$B281</f>
        <v>0.680324792897237</v>
      </c>
      <c r="G283" s="130" t="n">
        <f aca="false">($B281-G281)/$B281</f>
        <v>0.680324792897237</v>
      </c>
      <c r="H283" s="130" t="n">
        <f aca="false">($B281-H281)/$B281</f>
        <v>0.680324792897237</v>
      </c>
      <c r="I283" s="145" t="n">
        <f aca="false">($B281-I281)/$B281</f>
        <v>0.680324792897237</v>
      </c>
      <c r="J283" s="145" t="n">
        <f aca="false">($B281-J281)/$B281</f>
        <v>0.680324792897237</v>
      </c>
      <c r="K283" s="145" t="n">
        <f aca="false">($B281-K281)/$B281</f>
        <v>0.680324792897237</v>
      </c>
      <c r="L283" s="145" t="n">
        <f aca="false">($B281-L281)/$B281</f>
        <v>0.682982705559929</v>
      </c>
      <c r="M283" s="145" t="n">
        <f aca="false">($B281-M281)/$B281</f>
        <v>0.682982705559929</v>
      </c>
      <c r="N283" s="145" t="n">
        <f aca="false">($B281-N281)/$B281</f>
        <v>0.682982705559929</v>
      </c>
      <c r="O283" s="145" t="n">
        <f aca="false">($B281-O281)/$B281</f>
        <v>0.682982705559929</v>
      </c>
      <c r="P283" s="145" t="n">
        <f aca="false">($B281-P281)/$B281</f>
        <v>0.682982705559929</v>
      </c>
      <c r="Q283" s="145" t="n">
        <f aca="false">($B281-Q281)/$B281</f>
        <v>0.682982705559929</v>
      </c>
      <c r="R283" s="145" t="n">
        <f aca="false">($B281-R281)/$B281</f>
        <v>0.682982705559929</v>
      </c>
      <c r="S283" s="145" t="n">
        <f aca="false">($B281-S281)/$B281</f>
        <v>0.685374826956352</v>
      </c>
      <c r="T283" s="145" t="n">
        <f aca="false">($B281-T281)/$B281</f>
        <v>0.685374826956352</v>
      </c>
      <c r="U283" s="145" t="n">
        <f aca="false">($B281-U281)/$B281</f>
        <v>0.685374826956352</v>
      </c>
      <c r="V283" s="145" t="n">
        <f aca="false">($B281-V281)/$B281</f>
        <v>0.685374826956352</v>
      </c>
      <c r="W283" s="145" t="n">
        <f aca="false">($B281-W281)/$B281</f>
        <v>0.685374826956352</v>
      </c>
      <c r="X283" s="145" t="n">
        <f aca="false">($B281-X281)/$B281</f>
        <v>0.685374826956352</v>
      </c>
      <c r="Y283" s="145" t="n">
        <f aca="false">($B281-Y281)/$B281</f>
        <v>0.685374826956352</v>
      </c>
      <c r="Z283" s="145" t="n">
        <f aca="false">($B281-Z281)/$B281</f>
        <v>0.687527736213132</v>
      </c>
      <c r="AA283" s="145" t="n">
        <f aca="false">($B281-AA281)/$B281</f>
        <v>0.687527736213132</v>
      </c>
      <c r="AB283" s="145" t="n">
        <f aca="false">($B281-AB281)/$B281</f>
        <v>0.687527736213132</v>
      </c>
      <c r="AC283" s="145" t="n">
        <f aca="false">($B281-AC281)/$B281</f>
        <v>0.687527736213132</v>
      </c>
    </row>
    <row r="284" customFormat="false" ht="12.8" hidden="false" customHeight="false" outlineLevel="0" collapsed="false">
      <c r="A284" s="51"/>
      <c r="B284" s="1" t="s">
        <v>1</v>
      </c>
      <c r="C284" s="1" t="s">
        <v>2</v>
      </c>
      <c r="D284" s="1" t="s">
        <v>3</v>
      </c>
      <c r="F284" s="130"/>
      <c r="G284" s="130"/>
      <c r="H284" s="130"/>
      <c r="I284" s="145"/>
      <c r="J284" s="145"/>
      <c r="K284" s="145"/>
      <c r="L284" s="145"/>
      <c r="M284" s="145"/>
      <c r="N284" s="145"/>
      <c r="O284" s="145"/>
      <c r="P284" s="145"/>
      <c r="Q284" s="145"/>
      <c r="R284" s="145"/>
      <c r="S284" s="145"/>
      <c r="T284" s="145"/>
      <c r="U284" s="145"/>
      <c r="V284" s="145"/>
      <c r="W284" s="145"/>
      <c r="X284" s="145"/>
      <c r="Y284" s="145"/>
      <c r="Z284" s="145"/>
      <c r="AA284" s="145"/>
      <c r="AB284" s="145"/>
      <c r="AC284" s="145"/>
    </row>
    <row r="285" customFormat="false" ht="12.8" hidden="false" customHeight="false" outlineLevel="0" collapsed="false">
      <c r="A285" s="51" t="s">
        <v>20</v>
      </c>
      <c r="B285" s="4" t="n">
        <f aca="false">($B281*6)-(SUM(D281:I281))</f>
        <v>631.615974235253</v>
      </c>
      <c r="C285" s="4" t="n">
        <f aca="false">($B281*11)-(SUM(E281:N281))</f>
        <v>1368.2431080103</v>
      </c>
      <c r="D285" s="4" t="n">
        <f aca="false">($B281*26)-(SUM(D281:AC281))</f>
        <v>3110.19017111372</v>
      </c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  <c r="AA285" s="57"/>
      <c r="AB285" s="57"/>
      <c r="AC285" s="57"/>
    </row>
    <row r="286" customFormat="false" ht="12.8" hidden="false" customHeight="false" outlineLevel="0" collapsed="false">
      <c r="A286" s="51" t="s">
        <v>17</v>
      </c>
      <c r="B286" s="4" t="n">
        <f aca="false">$B279*6-SUM(D279:I279)</f>
        <v>370.640396311529</v>
      </c>
      <c r="C286" s="4" t="n">
        <f aca="false">$B279*11-SUM(E279:N279)</f>
        <v>685.763525291607</v>
      </c>
      <c r="D286" s="4" t="n">
        <f aca="false">$B279*26-SUM(D279:AC279)</f>
        <v>1621.09422649012</v>
      </c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  <c r="AB286" s="57"/>
      <c r="AC286" s="57"/>
    </row>
    <row r="287" customFormat="false" ht="12.8" hidden="false" customHeight="false" outlineLevel="0" collapsed="false">
      <c r="A287" s="51" t="s">
        <v>18</v>
      </c>
      <c r="B287" s="4" t="n">
        <f aca="false">$B280*6-SUM(D280:I280)</f>
        <v>260.975577923723</v>
      </c>
      <c r="C287" s="4" t="n">
        <f aca="false">$B280*11-SUM(E280:N280)</f>
        <v>682.479582718692</v>
      </c>
      <c r="D287" s="4" t="n">
        <f aca="false">$B280*26-SUM(D280:AC280)</f>
        <v>1489.0959446236</v>
      </c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  <c r="AB287" s="57"/>
      <c r="AC287" s="57"/>
    </row>
    <row r="288" customFormat="false" ht="12.8" hidden="false" customHeight="false" outlineLevel="0" collapsed="false">
      <c r="A288" s="51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  <c r="AA288" s="57"/>
      <c r="AB288" s="57"/>
      <c r="AC288" s="57"/>
    </row>
    <row r="289" customFormat="false" ht="12.8" hidden="false" customHeight="false" outlineLevel="0" collapsed="false">
      <c r="A289" s="51" t="s">
        <v>344</v>
      </c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  <c r="AB289" s="57"/>
      <c r="AC289" s="57"/>
    </row>
    <row r="290" customFormat="false" ht="12.8" hidden="false" customHeight="false" outlineLevel="0" collapsed="false">
      <c r="A290" s="51" t="s">
        <v>345</v>
      </c>
      <c r="B290" s="1" t="s">
        <v>43</v>
      </c>
      <c r="C290" s="1" t="n">
        <v>2024</v>
      </c>
      <c r="D290" s="1" t="n">
        <v>2025</v>
      </c>
      <c r="E290" s="1" t="n">
        <v>2026</v>
      </c>
      <c r="F290" s="1" t="n">
        <v>2027</v>
      </c>
      <c r="G290" s="1" t="n">
        <v>2028</v>
      </c>
      <c r="H290" s="1" t="n">
        <v>2029</v>
      </c>
      <c r="I290" s="52" t="n">
        <v>2030</v>
      </c>
      <c r="J290" s="52" t="n">
        <v>2031</v>
      </c>
      <c r="K290" s="52" t="n">
        <v>2032</v>
      </c>
      <c r="L290" s="52" t="n">
        <v>2033</v>
      </c>
      <c r="M290" s="52" t="n">
        <v>2034</v>
      </c>
      <c r="N290" s="52" t="n">
        <v>2035</v>
      </c>
      <c r="O290" s="52" t="n">
        <v>2036</v>
      </c>
      <c r="P290" s="52" t="n">
        <v>2037</v>
      </c>
      <c r="Q290" s="52" t="n">
        <v>2038</v>
      </c>
      <c r="R290" s="52" t="n">
        <v>2039</v>
      </c>
      <c r="S290" s="52" t="n">
        <v>2040</v>
      </c>
      <c r="T290" s="52" t="n">
        <v>2041</v>
      </c>
      <c r="U290" s="52" t="n">
        <v>2042</v>
      </c>
      <c r="V290" s="52" t="n">
        <v>2043</v>
      </c>
      <c r="W290" s="52" t="n">
        <v>2044</v>
      </c>
      <c r="X290" s="52" t="n">
        <v>2045</v>
      </c>
      <c r="Y290" s="52" t="n">
        <v>2046</v>
      </c>
      <c r="Z290" s="52" t="n">
        <v>2047</v>
      </c>
      <c r="AA290" s="52" t="n">
        <v>2048</v>
      </c>
      <c r="AB290" s="52" t="n">
        <v>2049</v>
      </c>
      <c r="AC290" s="52" t="n">
        <v>2050</v>
      </c>
    </row>
    <row r="291" customFormat="false" ht="12.8" hidden="false" customHeight="false" outlineLevel="0" collapsed="false">
      <c r="A291" s="51" t="s">
        <v>341</v>
      </c>
      <c r="B291" s="1" t="n">
        <f aca="false">($B$30*$B$28)+($B$40*$B$44)</f>
        <v>66.585808657411</v>
      </c>
      <c r="C291" s="1" t="n">
        <f aca="false">($B$30*$B$28)+($B$40*$B$44)</f>
        <v>66.585808657411</v>
      </c>
      <c r="D291" s="1" t="n">
        <f aca="false">($B$30*$B$33)+($B$46*$B$49)</f>
        <v>4.81240927215614</v>
      </c>
      <c r="E291" s="1" t="n">
        <f aca="false">($B$30*$B$33)+($B$46*$B$49)</f>
        <v>4.81240927215614</v>
      </c>
      <c r="F291" s="1" t="n">
        <f aca="false">($B$30*$B$33)+($B$46*$B$49)</f>
        <v>4.81240927215614</v>
      </c>
      <c r="G291" s="1" t="n">
        <f aca="false">($B$30*$B$33)+($B$46*$B$49)</f>
        <v>4.81240927215614</v>
      </c>
      <c r="H291" s="1" t="n">
        <f aca="false">($B$30*$B$33)+($B$46*$B$49)</f>
        <v>4.81240927215614</v>
      </c>
      <c r="I291" s="52" t="n">
        <f aca="false">($B$30*$B$33)+($B$46*$B$49)</f>
        <v>4.81240927215614</v>
      </c>
      <c r="J291" s="52" t="n">
        <f aca="false">($B$30*$B$33)+($B$46*$B$49)</f>
        <v>4.81240927215614</v>
      </c>
      <c r="K291" s="52" t="n">
        <f aca="false">($B$30*$B$33)+($B$46*$B$49)</f>
        <v>4.81240927215614</v>
      </c>
      <c r="L291" s="52" t="n">
        <f aca="false">L$183</f>
        <v>4.33116834494052</v>
      </c>
      <c r="M291" s="52" t="n">
        <f aca="false">M$183</f>
        <v>4.33116834494052</v>
      </c>
      <c r="N291" s="52" t="n">
        <f aca="false">N$183</f>
        <v>4.33116834494052</v>
      </c>
      <c r="O291" s="52" t="n">
        <f aca="false">O$183</f>
        <v>4.33116834494052</v>
      </c>
      <c r="P291" s="52" t="n">
        <f aca="false">P$183</f>
        <v>4.33116834494052</v>
      </c>
      <c r="Q291" s="52" t="n">
        <f aca="false">Q$183</f>
        <v>4.33116834494052</v>
      </c>
      <c r="R291" s="52" t="n">
        <f aca="false">R$183</f>
        <v>4.33116834494052</v>
      </c>
      <c r="S291" s="52" t="n">
        <f aca="false">S$183</f>
        <v>3.89805151044647</v>
      </c>
      <c r="T291" s="52" t="n">
        <f aca="false">T$183</f>
        <v>3.89805151044647</v>
      </c>
      <c r="U291" s="52" t="n">
        <f aca="false">U$183</f>
        <v>3.89805151044647</v>
      </c>
      <c r="V291" s="52" t="n">
        <f aca="false">V$183</f>
        <v>3.89805151044647</v>
      </c>
      <c r="W291" s="52" t="n">
        <f aca="false">W$183</f>
        <v>3.89805151044647</v>
      </c>
      <c r="X291" s="52" t="n">
        <f aca="false">X$183</f>
        <v>3.89805151044647</v>
      </c>
      <c r="Y291" s="52" t="n">
        <f aca="false">Y$183</f>
        <v>3.89805151044647</v>
      </c>
      <c r="Z291" s="52" t="n">
        <f aca="false">Z$183</f>
        <v>3.50824635940183</v>
      </c>
      <c r="AA291" s="52" t="n">
        <f aca="false">AA$183</f>
        <v>3.50824635940183</v>
      </c>
      <c r="AB291" s="52" t="n">
        <f aca="false">AB$183</f>
        <v>3.50824635940183</v>
      </c>
      <c r="AC291" s="52" t="n">
        <f aca="false">AC$183</f>
        <v>3.50824635940183</v>
      </c>
    </row>
    <row r="292" customFormat="false" ht="12.8" hidden="false" customHeight="false" outlineLevel="0" collapsed="false">
      <c r="A292" s="51" t="s">
        <v>18</v>
      </c>
      <c r="B292" s="1" t="n">
        <f aca="false">$B$10</f>
        <v>114.47391312</v>
      </c>
      <c r="C292" s="1" t="n">
        <f aca="false">$B$10</f>
        <v>114.47391312</v>
      </c>
      <c r="D292" s="1" t="n">
        <f aca="false">$B$10</f>
        <v>114.47391312</v>
      </c>
      <c r="E292" s="4" t="n">
        <f aca="false">(H3*0.25)+($B$10*0.75)</f>
        <v>87.1931351033335</v>
      </c>
      <c r="F292" s="146" t="n">
        <f aca="false">$H$3</f>
        <v>5.35080105333394</v>
      </c>
      <c r="G292" s="146" t="n">
        <f aca="false">$H$3</f>
        <v>5.35080105333394</v>
      </c>
      <c r="H292" s="146" t="n">
        <f aca="false">$H$3</f>
        <v>5.35080105333394</v>
      </c>
      <c r="I292" s="147" t="n">
        <f aca="false">$H$3</f>
        <v>5.35080105333394</v>
      </c>
      <c r="J292" s="147" t="n">
        <f aca="false">$H$3</f>
        <v>5.35080105333394</v>
      </c>
      <c r="K292" s="147" t="n">
        <f aca="false">$H$3</f>
        <v>5.35080105333394</v>
      </c>
      <c r="L292" s="147" t="n">
        <f aca="false">$H$3</f>
        <v>5.35080105333394</v>
      </c>
      <c r="M292" s="147" t="n">
        <f aca="false">$H$3</f>
        <v>5.35080105333394</v>
      </c>
      <c r="N292" s="147" t="n">
        <f aca="false">$H$3</f>
        <v>5.35080105333394</v>
      </c>
      <c r="O292" s="147" t="n">
        <f aca="false">$H$3</f>
        <v>5.35080105333394</v>
      </c>
      <c r="P292" s="147" t="n">
        <f aca="false">$H$3</f>
        <v>5.35080105333394</v>
      </c>
      <c r="Q292" s="147" t="n">
        <f aca="false">$H$3</f>
        <v>5.35080105333394</v>
      </c>
      <c r="R292" s="147" t="n">
        <f aca="false">$H$3</f>
        <v>5.35080105333394</v>
      </c>
      <c r="S292" s="147" t="n">
        <f aca="false">$H$3</f>
        <v>5.35080105333394</v>
      </c>
      <c r="T292" s="147" t="n">
        <f aca="false">$H$3</f>
        <v>5.35080105333394</v>
      </c>
      <c r="U292" s="147" t="n">
        <f aca="false">$H$3</f>
        <v>5.35080105333394</v>
      </c>
      <c r="V292" s="147" t="n">
        <f aca="false">$H$3</f>
        <v>5.35080105333394</v>
      </c>
      <c r="W292" s="147" t="n">
        <f aca="false">$H$3</f>
        <v>5.35080105333394</v>
      </c>
      <c r="X292" s="147" t="n">
        <f aca="false">$H$3</f>
        <v>5.35080105333394</v>
      </c>
      <c r="Y292" s="147" t="n">
        <f aca="false">$H$3</f>
        <v>5.35080105333394</v>
      </c>
      <c r="Z292" s="147" t="n">
        <f aca="false">$H$3</f>
        <v>5.35080105333394</v>
      </c>
      <c r="AA292" s="147" t="n">
        <f aca="false">$H$3</f>
        <v>5.35080105333394</v>
      </c>
      <c r="AB292" s="147" t="n">
        <f aca="false">$H$3</f>
        <v>5.35080105333394</v>
      </c>
      <c r="AC292" s="147" t="n">
        <f aca="false">$H$3</f>
        <v>5.35080105333394</v>
      </c>
    </row>
    <row r="293" customFormat="false" ht="12.8" hidden="false" customHeight="false" outlineLevel="0" collapsed="false">
      <c r="A293" s="49" t="s">
        <v>39</v>
      </c>
      <c r="B293" s="1" t="n">
        <f aca="false">SUM(B291:B292)</f>
        <v>181.059721777411</v>
      </c>
      <c r="C293" s="1" t="n">
        <f aca="false">SUM(C291:C292)</f>
        <v>181.059721777411</v>
      </c>
      <c r="D293" s="1" t="n">
        <f aca="false">SUM(D291:D292)</f>
        <v>119.286322392156</v>
      </c>
      <c r="E293" s="4" t="n">
        <f aca="false">SUM(E291:E292)</f>
        <v>92.0055443754896</v>
      </c>
      <c r="F293" s="4" t="n">
        <f aca="false">SUM(F291:F292)</f>
        <v>10.1632103254901</v>
      </c>
      <c r="G293" s="4" t="n">
        <f aca="false">SUM(G291:G292)</f>
        <v>10.1632103254901</v>
      </c>
      <c r="H293" s="4" t="n">
        <f aca="false">SUM(H291:H292)</f>
        <v>10.1632103254901</v>
      </c>
      <c r="I293" s="148" t="n">
        <f aca="false">SUM(I291:I292)</f>
        <v>10.1632103254901</v>
      </c>
      <c r="J293" s="148" t="n">
        <f aca="false">SUM(J291:J292)</f>
        <v>10.1632103254901</v>
      </c>
      <c r="K293" s="148" t="n">
        <f aca="false">SUM(K291:K292)</f>
        <v>10.1632103254901</v>
      </c>
      <c r="L293" s="148" t="n">
        <f aca="false">SUM(L291:L292)</f>
        <v>9.68196939827446</v>
      </c>
      <c r="M293" s="148" t="n">
        <f aca="false">SUM(M291:M292)</f>
        <v>9.68196939827446</v>
      </c>
      <c r="N293" s="148" t="n">
        <f aca="false">SUM(N291:N292)</f>
        <v>9.68196939827446</v>
      </c>
      <c r="O293" s="148" t="n">
        <f aca="false">SUM(O291:O292)</f>
        <v>9.68196939827446</v>
      </c>
      <c r="P293" s="148" t="n">
        <f aca="false">SUM(P291:P292)</f>
        <v>9.68196939827446</v>
      </c>
      <c r="Q293" s="148" t="n">
        <f aca="false">SUM(Q291:Q292)</f>
        <v>9.68196939827446</v>
      </c>
      <c r="R293" s="148" t="n">
        <f aca="false">SUM(R291:R292)</f>
        <v>9.68196939827446</v>
      </c>
      <c r="S293" s="148" t="n">
        <f aca="false">SUM(S291:S292)</f>
        <v>9.24885256378041</v>
      </c>
      <c r="T293" s="148" t="n">
        <f aca="false">SUM(T291:T292)</f>
        <v>9.24885256378041</v>
      </c>
      <c r="U293" s="148" t="n">
        <f aca="false">SUM(U291:U292)</f>
        <v>9.24885256378041</v>
      </c>
      <c r="V293" s="148" t="n">
        <f aca="false">SUM(V291:V292)</f>
        <v>9.24885256378041</v>
      </c>
      <c r="W293" s="148" t="n">
        <f aca="false">SUM(W291:W292)</f>
        <v>9.24885256378041</v>
      </c>
      <c r="X293" s="148" t="n">
        <f aca="false">SUM(X291:X292)</f>
        <v>9.24885256378041</v>
      </c>
      <c r="Y293" s="148" t="n">
        <f aca="false">SUM(Y291:Y292)</f>
        <v>9.24885256378041</v>
      </c>
      <c r="Z293" s="148" t="n">
        <f aca="false">SUM(Z291:Z292)</f>
        <v>8.85904741273576</v>
      </c>
      <c r="AA293" s="148" t="n">
        <f aca="false">SUM(AA291:AA292)</f>
        <v>8.85904741273576</v>
      </c>
      <c r="AB293" s="148" t="n">
        <f aca="false">SUM(AB291:AB292)</f>
        <v>8.85904741273576</v>
      </c>
      <c r="AC293" s="148" t="n">
        <f aca="false">SUM(AC291:AC292)</f>
        <v>8.85904741273576</v>
      </c>
    </row>
    <row r="294" customFormat="false" ht="12.8" hidden="false" customHeight="false" outlineLevel="0" collapsed="false">
      <c r="A294" s="51" t="s">
        <v>342</v>
      </c>
      <c r="B294" s="1" t="n">
        <f aca="false">($B293-B293)</f>
        <v>0</v>
      </c>
      <c r="C294" s="1" t="n">
        <f aca="false">($B293-C293)</f>
        <v>0</v>
      </c>
      <c r="D294" s="1" t="n">
        <f aca="false">($B293-D293)</f>
        <v>61.7733993852549</v>
      </c>
      <c r="E294" s="4" t="n">
        <f aca="false">($B293-E293)</f>
        <v>89.0541774019214</v>
      </c>
      <c r="F294" s="4" t="n">
        <f aca="false">($B293-F293)</f>
        <v>170.896511451921</v>
      </c>
      <c r="G294" s="4" t="n">
        <f aca="false">($B293-G293)</f>
        <v>170.896511451921</v>
      </c>
      <c r="H294" s="4" t="n">
        <f aca="false">($B293-H293)</f>
        <v>170.896511451921</v>
      </c>
      <c r="I294" s="148" t="n">
        <f aca="false">($B293-I293)</f>
        <v>170.896511451921</v>
      </c>
      <c r="J294" s="148" t="n">
        <f aca="false">($B293-J293)</f>
        <v>170.896511451921</v>
      </c>
      <c r="K294" s="148" t="n">
        <f aca="false">($B293-K293)</f>
        <v>170.896511451921</v>
      </c>
      <c r="L294" s="148" t="n">
        <f aca="false">($B293-L293)</f>
        <v>171.377752379137</v>
      </c>
      <c r="M294" s="148" t="n">
        <f aca="false">($B293-M293)</f>
        <v>171.377752379137</v>
      </c>
      <c r="N294" s="148" t="n">
        <f aca="false">($B293-N293)</f>
        <v>171.377752379137</v>
      </c>
      <c r="O294" s="148" t="n">
        <f aca="false">($B293-O293)</f>
        <v>171.377752379137</v>
      </c>
      <c r="P294" s="148" t="n">
        <f aca="false">($B293-P293)</f>
        <v>171.377752379137</v>
      </c>
      <c r="Q294" s="148" t="n">
        <f aca="false">($B293-Q293)</f>
        <v>171.377752379137</v>
      </c>
      <c r="R294" s="148" t="n">
        <f aca="false">($B293-R293)</f>
        <v>171.377752379137</v>
      </c>
      <c r="S294" s="148" t="n">
        <f aca="false">($B293-S293)</f>
        <v>171.810869213631</v>
      </c>
      <c r="T294" s="148" t="n">
        <f aca="false">($B293-T293)</f>
        <v>171.810869213631</v>
      </c>
      <c r="U294" s="148" t="n">
        <f aca="false">($B293-U293)</f>
        <v>171.810869213631</v>
      </c>
      <c r="V294" s="148" t="n">
        <f aca="false">($B293-V293)</f>
        <v>171.810869213631</v>
      </c>
      <c r="W294" s="148" t="n">
        <f aca="false">($B293-W293)</f>
        <v>171.810869213631</v>
      </c>
      <c r="X294" s="148" t="n">
        <f aca="false">($B293-X293)</f>
        <v>171.810869213631</v>
      </c>
      <c r="Y294" s="148" t="n">
        <f aca="false">($B293-Y293)</f>
        <v>171.810869213631</v>
      </c>
      <c r="Z294" s="148" t="n">
        <f aca="false">($B293-Z293)</f>
        <v>172.200674364675</v>
      </c>
      <c r="AA294" s="148" t="n">
        <f aca="false">($B293-AA293)</f>
        <v>172.200674364675</v>
      </c>
      <c r="AB294" s="148" t="n">
        <f aca="false">($B293-AB293)</f>
        <v>172.200674364675</v>
      </c>
      <c r="AC294" s="148" t="n">
        <f aca="false">($B293-AC293)</f>
        <v>172.200674364675</v>
      </c>
    </row>
    <row r="295" customFormat="false" ht="12.8" hidden="false" customHeight="false" outlineLevel="0" collapsed="false">
      <c r="A295" s="51" t="s">
        <v>343</v>
      </c>
      <c r="B295" s="130" t="n">
        <f aca="false">($B293-B293)/$B293</f>
        <v>0</v>
      </c>
      <c r="C295" s="130" t="n">
        <f aca="false">($B293-C293)/$B293</f>
        <v>0</v>
      </c>
      <c r="D295" s="130" t="n">
        <f aca="false">($B293-D293)/$B293</f>
        <v>0.341176926479524</v>
      </c>
      <c r="E295" s="130" t="n">
        <f aca="false">($B293-E293)/$B293</f>
        <v>0.491849741774163</v>
      </c>
      <c r="F295" s="130" t="n">
        <f aca="false">($B293-F293)/$B293</f>
        <v>0.943868187658079</v>
      </c>
      <c r="G295" s="130" t="n">
        <f aca="false">($B293-G293)/$B293</f>
        <v>0.943868187658079</v>
      </c>
      <c r="H295" s="130" t="n">
        <f aca="false">($B293-H293)/$B293</f>
        <v>0.943868187658079</v>
      </c>
      <c r="I295" s="145" t="n">
        <f aca="false">($B293-I293)/$B293</f>
        <v>0.943868187658079</v>
      </c>
      <c r="J295" s="145" t="n">
        <f aca="false">($B293-J293)/$B293</f>
        <v>0.943868187658079</v>
      </c>
      <c r="K295" s="145" t="n">
        <f aca="false">($B293-K293)/$B293</f>
        <v>0.943868187658079</v>
      </c>
      <c r="L295" s="145" t="n">
        <f aca="false">($B293-L293)/$B293</f>
        <v>0.946526100320771</v>
      </c>
      <c r="M295" s="145" t="n">
        <f aca="false">($B293-M293)/$B293</f>
        <v>0.946526100320771</v>
      </c>
      <c r="N295" s="145" t="n">
        <f aca="false">($B293-N293)/$B293</f>
        <v>0.946526100320771</v>
      </c>
      <c r="O295" s="145" t="n">
        <f aca="false">($B293-O293)/$B293</f>
        <v>0.946526100320771</v>
      </c>
      <c r="P295" s="145" t="n">
        <f aca="false">($B293-P293)/$B293</f>
        <v>0.946526100320771</v>
      </c>
      <c r="Q295" s="145" t="n">
        <f aca="false">($B293-Q293)/$B293</f>
        <v>0.946526100320771</v>
      </c>
      <c r="R295" s="145" t="n">
        <f aca="false">($B293-R293)/$B293</f>
        <v>0.946526100320771</v>
      </c>
      <c r="S295" s="145" t="n">
        <f aca="false">($B293-S293)/$B293</f>
        <v>0.948918221717193</v>
      </c>
      <c r="T295" s="145" t="n">
        <f aca="false">($B293-T293)/$B293</f>
        <v>0.948918221717193</v>
      </c>
      <c r="U295" s="145" t="n">
        <f aca="false">($B293-U293)/$B293</f>
        <v>0.948918221717193</v>
      </c>
      <c r="V295" s="145" t="n">
        <f aca="false">($B293-V293)/$B293</f>
        <v>0.948918221717193</v>
      </c>
      <c r="W295" s="145" t="n">
        <f aca="false">($B293-W293)/$B293</f>
        <v>0.948918221717193</v>
      </c>
      <c r="X295" s="145" t="n">
        <f aca="false">($B293-X293)/$B293</f>
        <v>0.948918221717193</v>
      </c>
      <c r="Y295" s="145" t="n">
        <f aca="false">($B293-Y293)/$B293</f>
        <v>0.948918221717193</v>
      </c>
      <c r="Z295" s="145" t="n">
        <f aca="false">($B293-Z293)/$B293</f>
        <v>0.951071130973973</v>
      </c>
      <c r="AA295" s="145" t="n">
        <f aca="false">($B293-AA293)/$B293</f>
        <v>0.951071130973973</v>
      </c>
      <c r="AB295" s="145" t="n">
        <f aca="false">($B293-AB293)/$B293</f>
        <v>0.951071130973973</v>
      </c>
      <c r="AC295" s="145" t="n">
        <f aca="false">($B293-AC293)/$B293</f>
        <v>0.951071130973973</v>
      </c>
    </row>
    <row r="296" customFormat="false" ht="12.8" hidden="false" customHeight="false" outlineLevel="0" collapsed="false">
      <c r="A296" s="51"/>
      <c r="B296" s="1" t="s">
        <v>1</v>
      </c>
      <c r="C296" s="1" t="s">
        <v>2</v>
      </c>
      <c r="D296" s="1" t="s">
        <v>331</v>
      </c>
      <c r="E296" s="1" t="s">
        <v>3</v>
      </c>
      <c r="F296" s="130"/>
      <c r="G296" s="130"/>
      <c r="H296" s="130"/>
      <c r="I296" s="145"/>
      <c r="J296" s="145"/>
      <c r="K296" s="145"/>
      <c r="L296" s="145"/>
      <c r="M296" s="145"/>
      <c r="N296" s="145"/>
      <c r="O296" s="145"/>
      <c r="P296" s="145"/>
      <c r="Q296" s="145"/>
      <c r="R296" s="145"/>
      <c r="S296" s="145"/>
      <c r="T296" s="145"/>
      <c r="U296" s="145"/>
      <c r="V296" s="145"/>
      <c r="W296" s="145"/>
      <c r="X296" s="145"/>
      <c r="Y296" s="145"/>
      <c r="Z296" s="145"/>
      <c r="AA296" s="145"/>
      <c r="AB296" s="145"/>
      <c r="AC296" s="145"/>
    </row>
    <row r="297" customFormat="false" ht="12.8" hidden="false" customHeight="false" outlineLevel="0" collapsed="false">
      <c r="A297" s="51" t="s">
        <v>20</v>
      </c>
      <c r="B297" s="4" t="n">
        <f aca="false">($B293*6)-(SUM(D293:I293))</f>
        <v>834.41362259486</v>
      </c>
      <c r="C297" s="4" t="n">
        <f aca="false">($B293*11)-(SUM(E293:N293))</f>
        <v>1809.62622502827</v>
      </c>
      <c r="D297" s="4" t="n">
        <f aca="false">($B293*26)-(SUM(D293:AC293))</f>
        <v>4267.32969410677</v>
      </c>
      <c r="E297" s="130"/>
      <c r="F297" s="130"/>
      <c r="G297" s="130"/>
      <c r="H297" s="130"/>
      <c r="I297" s="145"/>
      <c r="J297" s="145"/>
      <c r="K297" s="145"/>
      <c r="L297" s="145"/>
      <c r="M297" s="145"/>
      <c r="N297" s="145"/>
      <c r="O297" s="145"/>
      <c r="P297" s="145"/>
      <c r="Q297" s="145"/>
      <c r="R297" s="145"/>
      <c r="S297" s="145"/>
      <c r="T297" s="145"/>
      <c r="U297" s="145"/>
      <c r="V297" s="145"/>
      <c r="W297" s="145"/>
      <c r="X297" s="145"/>
      <c r="Y297" s="145"/>
      <c r="Z297" s="145"/>
      <c r="AA297" s="145"/>
      <c r="AB297" s="145"/>
      <c r="AC297" s="145"/>
    </row>
    <row r="298" customFormat="false" ht="12.8" hidden="false" customHeight="false" outlineLevel="0" collapsed="false">
      <c r="A298" s="51" t="s">
        <v>17</v>
      </c>
      <c r="B298" s="4" t="n">
        <f aca="false">$B291*6-SUM(D291:I291)</f>
        <v>370.640396311529</v>
      </c>
      <c r="C298" s="4" t="n">
        <f aca="false">$B291*11-SUM(E291:N291)</f>
        <v>685.763525291607</v>
      </c>
      <c r="D298" s="4" t="n">
        <f aca="false">$B291*26-SUM(D291:AC291)</f>
        <v>1621.09422649012</v>
      </c>
      <c r="E298" s="130"/>
      <c r="F298" s="130"/>
      <c r="G298" s="130"/>
      <c r="H298" s="130"/>
      <c r="I298" s="145"/>
      <c r="J298" s="145"/>
      <c r="K298" s="145"/>
      <c r="L298" s="145"/>
      <c r="M298" s="145"/>
      <c r="N298" s="145"/>
      <c r="O298" s="145"/>
      <c r="P298" s="145"/>
      <c r="Q298" s="145"/>
      <c r="R298" s="145"/>
      <c r="S298" s="145"/>
      <c r="T298" s="145"/>
      <c r="U298" s="145"/>
      <c r="V298" s="145"/>
      <c r="W298" s="145"/>
      <c r="X298" s="145"/>
      <c r="Y298" s="145"/>
      <c r="Z298" s="145"/>
      <c r="AA298" s="145"/>
      <c r="AB298" s="145"/>
      <c r="AC298" s="145"/>
    </row>
    <row r="299" customFormat="false" ht="12.8" hidden="false" customHeight="false" outlineLevel="0" collapsed="false">
      <c r="A299" s="51" t="s">
        <v>18</v>
      </c>
      <c r="B299" s="4" t="n">
        <f aca="false">$B292*6-SUM(D292:I292)</f>
        <v>463.773226283331</v>
      </c>
      <c r="C299" s="4" t="n">
        <f aca="false">$B292*11-SUM(E292:N292)</f>
        <v>1123.86269973666</v>
      </c>
      <c r="D299" s="4" t="n">
        <f aca="false">$B292*26-SUM(D292:AC292)</f>
        <v>2646.23546761665</v>
      </c>
      <c r="E299" s="130"/>
      <c r="F299" s="130"/>
      <c r="G299" s="130"/>
      <c r="H299" s="130"/>
      <c r="I299" s="145"/>
      <c r="J299" s="145"/>
      <c r="K299" s="145"/>
      <c r="L299" s="145"/>
      <c r="M299" s="145"/>
      <c r="N299" s="145"/>
      <c r="O299" s="145"/>
      <c r="P299" s="145"/>
      <c r="Q299" s="145"/>
      <c r="R299" s="145"/>
      <c r="S299" s="145"/>
      <c r="T299" s="145"/>
      <c r="U299" s="145"/>
      <c r="V299" s="145"/>
      <c r="W299" s="145"/>
      <c r="X299" s="145"/>
      <c r="Y299" s="145"/>
      <c r="Z299" s="145"/>
      <c r="AA299" s="145"/>
      <c r="AB299" s="145"/>
      <c r="AC299" s="145"/>
    </row>
    <row r="300" customFormat="false" ht="12.8" hidden="false" customHeight="false" outlineLevel="0" collapsed="false">
      <c r="A300" s="51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  <c r="AA300" s="57"/>
      <c r="AB300" s="57"/>
      <c r="AC300" s="57"/>
    </row>
    <row r="301" customFormat="false" ht="12.8" hidden="false" customHeight="false" outlineLevel="0" collapsed="false">
      <c r="A301" s="51" t="s">
        <v>346</v>
      </c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  <c r="AA301" s="57"/>
      <c r="AB301" s="57"/>
      <c r="AC301" s="57"/>
    </row>
    <row r="302" customFormat="false" ht="12.8" hidden="false" customHeight="false" outlineLevel="0" collapsed="false">
      <c r="A302" s="51" t="s">
        <v>345</v>
      </c>
      <c r="B302" s="1" t="s">
        <v>43</v>
      </c>
      <c r="C302" s="1" t="n">
        <v>2024</v>
      </c>
      <c r="D302" s="1" t="n">
        <v>2025</v>
      </c>
      <c r="E302" s="1" t="n">
        <v>2026</v>
      </c>
      <c r="F302" s="1" t="n">
        <v>2027</v>
      </c>
      <c r="G302" s="1" t="n">
        <v>2028</v>
      </c>
      <c r="H302" s="1" t="n">
        <v>2029</v>
      </c>
      <c r="I302" s="52" t="n">
        <v>2030</v>
      </c>
      <c r="J302" s="52" t="n">
        <v>2031</v>
      </c>
      <c r="K302" s="52" t="n">
        <v>2032</v>
      </c>
      <c r="L302" s="52" t="n">
        <v>2033</v>
      </c>
      <c r="M302" s="52" t="n">
        <v>2034</v>
      </c>
      <c r="N302" s="52" t="n">
        <v>2035</v>
      </c>
      <c r="O302" s="52" t="n">
        <v>2036</v>
      </c>
      <c r="P302" s="52" t="n">
        <v>2037</v>
      </c>
      <c r="Q302" s="52" t="n">
        <v>2038</v>
      </c>
      <c r="R302" s="52" t="n">
        <v>2039</v>
      </c>
      <c r="S302" s="52" t="n">
        <v>2040</v>
      </c>
      <c r="T302" s="52" t="n">
        <v>2041</v>
      </c>
      <c r="U302" s="52" t="n">
        <v>2042</v>
      </c>
      <c r="V302" s="52" t="n">
        <v>2043</v>
      </c>
      <c r="W302" s="52" t="n">
        <v>2044</v>
      </c>
      <c r="X302" s="52" t="n">
        <v>2045</v>
      </c>
      <c r="Y302" s="52" t="n">
        <v>2046</v>
      </c>
      <c r="Z302" s="52" t="n">
        <v>2047</v>
      </c>
      <c r="AA302" s="52" t="n">
        <v>2048</v>
      </c>
      <c r="AB302" s="52" t="n">
        <v>2049</v>
      </c>
      <c r="AC302" s="52" t="n">
        <v>2050</v>
      </c>
    </row>
    <row r="303" customFormat="false" ht="12.8" hidden="false" customHeight="false" outlineLevel="0" collapsed="false">
      <c r="A303" s="51" t="s">
        <v>341</v>
      </c>
      <c r="B303" s="1" t="n">
        <f aca="false">($B$30*$B$28)+($B$40*$B$44)</f>
        <v>66.585808657411</v>
      </c>
      <c r="C303" s="1" t="n">
        <f aca="false">($B$30*$B$28)+($B$40*$B$44)</f>
        <v>66.585808657411</v>
      </c>
      <c r="D303" s="1" t="n">
        <f aca="false">($B$30*$B$33)+($B$46*$B$49)</f>
        <v>4.81240927215614</v>
      </c>
      <c r="E303" s="1" t="n">
        <f aca="false">($B$30*$B$33)+($B$46*$B$49)</f>
        <v>4.81240927215614</v>
      </c>
      <c r="F303" s="1" t="n">
        <f aca="false">($B$30*$B$33)+($B$46*$B$49)</f>
        <v>4.81240927215614</v>
      </c>
      <c r="G303" s="1" t="n">
        <f aca="false">($B$30*$B$33)+($B$46*$B$49)</f>
        <v>4.81240927215614</v>
      </c>
      <c r="H303" s="1" t="n">
        <f aca="false">($B$30*$B$33)+($B$46*$B$49)</f>
        <v>4.81240927215614</v>
      </c>
      <c r="I303" s="52" t="n">
        <f aca="false">($B$30*$B$33)+($B$46*$B$49)</f>
        <v>4.81240927215614</v>
      </c>
      <c r="J303" s="52" t="n">
        <f aca="false">($B$30*$B$33)+($B$46*$B$49)</f>
        <v>4.81240927215614</v>
      </c>
      <c r="K303" s="52" t="n">
        <f aca="false">($B$30*$B$33)+($B$46*$B$49)</f>
        <v>4.81240927215614</v>
      </c>
      <c r="L303" s="52" t="n">
        <f aca="false">L$183</f>
        <v>4.33116834494052</v>
      </c>
      <c r="M303" s="52" t="n">
        <f aca="false">M$183</f>
        <v>4.33116834494052</v>
      </c>
      <c r="N303" s="52" t="n">
        <f aca="false">N$183</f>
        <v>4.33116834494052</v>
      </c>
      <c r="O303" s="52" t="n">
        <f aca="false">O$183</f>
        <v>4.33116834494052</v>
      </c>
      <c r="P303" s="52" t="n">
        <f aca="false">P$183</f>
        <v>4.33116834494052</v>
      </c>
      <c r="Q303" s="52" t="n">
        <f aca="false">Q$183</f>
        <v>4.33116834494052</v>
      </c>
      <c r="R303" s="52" t="n">
        <f aca="false">R$183</f>
        <v>4.33116834494052</v>
      </c>
      <c r="S303" s="52" t="n">
        <f aca="false">S$183</f>
        <v>3.89805151044647</v>
      </c>
      <c r="T303" s="52" t="n">
        <f aca="false">T$183</f>
        <v>3.89805151044647</v>
      </c>
      <c r="U303" s="52" t="n">
        <f aca="false">U$183</f>
        <v>3.89805151044647</v>
      </c>
      <c r="V303" s="52" t="n">
        <f aca="false">V$183</f>
        <v>3.89805151044647</v>
      </c>
      <c r="W303" s="52" t="n">
        <f aca="false">W$183</f>
        <v>3.89805151044647</v>
      </c>
      <c r="X303" s="52" t="n">
        <f aca="false">X$183</f>
        <v>3.89805151044647</v>
      </c>
      <c r="Y303" s="52" t="n">
        <f aca="false">Y$183</f>
        <v>3.89805151044647</v>
      </c>
      <c r="Z303" s="52" t="n">
        <f aca="false">Z$183</f>
        <v>3.50824635940183</v>
      </c>
      <c r="AA303" s="52" t="n">
        <f aca="false">AA$183</f>
        <v>3.50824635940183</v>
      </c>
      <c r="AB303" s="52" t="n">
        <f aca="false">AB$183</f>
        <v>3.50824635940183</v>
      </c>
      <c r="AC303" s="52" t="n">
        <f aca="false">AC$183</f>
        <v>3.50824635940183</v>
      </c>
    </row>
    <row r="304" customFormat="false" ht="12.8" hidden="false" customHeight="false" outlineLevel="0" collapsed="false">
      <c r="A304" s="51" t="s">
        <v>18</v>
      </c>
      <c r="B304" s="1" t="n">
        <f aca="false">$B$10</f>
        <v>114.47391312</v>
      </c>
      <c r="C304" s="1" t="n">
        <f aca="false">$B$10</f>
        <v>114.47391312</v>
      </c>
      <c r="D304" s="1" t="n">
        <f aca="false">$B$10</f>
        <v>114.47391312</v>
      </c>
      <c r="E304" s="1" t="n">
        <f aca="false">(0*0.25)+($B$10*0.75)</f>
        <v>85.85543484</v>
      </c>
      <c r="F304" s="141" t="n">
        <v>0</v>
      </c>
      <c r="G304" s="141" t="n">
        <v>0</v>
      </c>
      <c r="H304" s="141" t="n">
        <v>0</v>
      </c>
      <c r="I304" s="144" t="n">
        <v>0</v>
      </c>
      <c r="J304" s="141" t="n">
        <v>0</v>
      </c>
      <c r="K304" s="141" t="n">
        <v>0</v>
      </c>
      <c r="L304" s="144" t="n">
        <v>0</v>
      </c>
      <c r="M304" s="141" t="n">
        <v>0</v>
      </c>
      <c r="N304" s="141" t="n">
        <v>0</v>
      </c>
      <c r="O304" s="144" t="n">
        <v>0</v>
      </c>
      <c r="P304" s="141" t="n">
        <v>0</v>
      </c>
      <c r="Q304" s="141" t="n">
        <v>0</v>
      </c>
      <c r="R304" s="144" t="n">
        <v>0</v>
      </c>
      <c r="S304" s="141" t="n">
        <v>0</v>
      </c>
      <c r="T304" s="141" t="n">
        <v>0</v>
      </c>
      <c r="U304" s="144" t="n">
        <v>0</v>
      </c>
      <c r="V304" s="141" t="n">
        <v>0</v>
      </c>
      <c r="W304" s="141" t="n">
        <v>0</v>
      </c>
      <c r="X304" s="144" t="n">
        <v>0</v>
      </c>
      <c r="Y304" s="141" t="n">
        <v>0</v>
      </c>
      <c r="Z304" s="141" t="n">
        <v>0</v>
      </c>
      <c r="AA304" s="144" t="n">
        <v>0</v>
      </c>
      <c r="AB304" s="141" t="n">
        <v>0</v>
      </c>
      <c r="AC304" s="141" t="n">
        <v>0</v>
      </c>
    </row>
    <row r="305" customFormat="false" ht="12.8" hidden="false" customHeight="false" outlineLevel="0" collapsed="false">
      <c r="A305" s="49" t="s">
        <v>39</v>
      </c>
      <c r="B305" s="1" t="n">
        <f aca="false">SUM(B303:B304)</f>
        <v>181.059721777411</v>
      </c>
      <c r="C305" s="1" t="n">
        <f aca="false">SUM(C303:C304)</f>
        <v>181.059721777411</v>
      </c>
      <c r="D305" s="1" t="n">
        <f aca="false">SUM(D303:D304)</f>
        <v>119.286322392156</v>
      </c>
      <c r="E305" s="1" t="n">
        <f aca="false">SUM(E303:E304)</f>
        <v>90.6678441121561</v>
      </c>
      <c r="F305" s="1" t="n">
        <f aca="false">SUM(F303:F304)</f>
        <v>4.81240927215614</v>
      </c>
      <c r="G305" s="1" t="n">
        <f aca="false">SUM(G303:G304)</f>
        <v>4.81240927215614</v>
      </c>
      <c r="H305" s="1" t="n">
        <f aca="false">SUM(H303:H304)</f>
        <v>4.81240927215614</v>
      </c>
      <c r="I305" s="52" t="n">
        <f aca="false">SUM(I303:I304)</f>
        <v>4.81240927215614</v>
      </c>
      <c r="J305" s="52" t="n">
        <f aca="false">SUM(J303:J304)</f>
        <v>4.81240927215614</v>
      </c>
      <c r="K305" s="52" t="n">
        <f aca="false">SUM(K303:K304)</f>
        <v>4.81240927215614</v>
      </c>
      <c r="L305" s="52" t="n">
        <f aca="false">SUM(L303:L304)</f>
        <v>4.33116834494052</v>
      </c>
      <c r="M305" s="52" t="n">
        <f aca="false">SUM(M303:M304)</f>
        <v>4.33116834494052</v>
      </c>
      <c r="N305" s="52" t="n">
        <f aca="false">SUM(N303:N304)</f>
        <v>4.33116834494052</v>
      </c>
      <c r="O305" s="52" t="n">
        <f aca="false">SUM(O303:O304)</f>
        <v>4.33116834494052</v>
      </c>
      <c r="P305" s="52" t="n">
        <f aca="false">SUM(P303:P304)</f>
        <v>4.33116834494052</v>
      </c>
      <c r="Q305" s="52" t="n">
        <f aca="false">SUM(Q303:Q304)</f>
        <v>4.33116834494052</v>
      </c>
      <c r="R305" s="52" t="n">
        <f aca="false">SUM(R303:R304)</f>
        <v>4.33116834494052</v>
      </c>
      <c r="S305" s="52" t="n">
        <f aca="false">SUM(S303:S304)</f>
        <v>3.89805151044647</v>
      </c>
      <c r="T305" s="52" t="n">
        <f aca="false">SUM(T303:T304)</f>
        <v>3.89805151044647</v>
      </c>
      <c r="U305" s="52" t="n">
        <f aca="false">SUM(U303:U304)</f>
        <v>3.89805151044647</v>
      </c>
      <c r="V305" s="52" t="n">
        <f aca="false">SUM(V303:V304)</f>
        <v>3.89805151044647</v>
      </c>
      <c r="W305" s="52" t="n">
        <f aca="false">SUM(W303:W304)</f>
        <v>3.89805151044647</v>
      </c>
      <c r="X305" s="52" t="n">
        <f aca="false">SUM(X303:X304)</f>
        <v>3.89805151044647</v>
      </c>
      <c r="Y305" s="52" t="n">
        <f aca="false">SUM(Y303:Y304)</f>
        <v>3.89805151044647</v>
      </c>
      <c r="Z305" s="52" t="n">
        <f aca="false">SUM(Z303:Z304)</f>
        <v>3.50824635940183</v>
      </c>
      <c r="AA305" s="52" t="n">
        <f aca="false">SUM(AA303:AA304)</f>
        <v>3.50824635940183</v>
      </c>
      <c r="AB305" s="52" t="n">
        <f aca="false">SUM(AB303:AB304)</f>
        <v>3.50824635940183</v>
      </c>
      <c r="AC305" s="52" t="n">
        <f aca="false">SUM(AC303:AC304)</f>
        <v>3.50824635940183</v>
      </c>
    </row>
    <row r="306" customFormat="false" ht="12.8" hidden="false" customHeight="false" outlineLevel="0" collapsed="false">
      <c r="A306" s="51" t="s">
        <v>342</v>
      </c>
      <c r="B306" s="1" t="n">
        <f aca="false">($B305-B305)</f>
        <v>0</v>
      </c>
      <c r="C306" s="1" t="n">
        <f aca="false">($B305-C305)</f>
        <v>0</v>
      </c>
      <c r="D306" s="1" t="n">
        <f aca="false">($B305-D305)</f>
        <v>61.7733993852549</v>
      </c>
      <c r="E306" s="1" t="n">
        <f aca="false">($B305-E305)</f>
        <v>90.3918776652549</v>
      </c>
      <c r="F306" s="1" t="n">
        <f aca="false">($B305-F305)</f>
        <v>176.247312505255</v>
      </c>
      <c r="G306" s="1" t="n">
        <f aca="false">($B305-G305)</f>
        <v>176.247312505255</v>
      </c>
      <c r="H306" s="1" t="n">
        <f aca="false">($B305-H305)</f>
        <v>176.247312505255</v>
      </c>
      <c r="I306" s="52" t="n">
        <f aca="false">($B305-I305)</f>
        <v>176.247312505255</v>
      </c>
      <c r="J306" s="52" t="n">
        <f aca="false">($B305-J305)</f>
        <v>176.247312505255</v>
      </c>
      <c r="K306" s="52" t="n">
        <f aca="false">($B305-K305)</f>
        <v>176.247312505255</v>
      </c>
      <c r="L306" s="52" t="n">
        <f aca="false">($B305-L305)</f>
        <v>176.728553432471</v>
      </c>
      <c r="M306" s="52" t="n">
        <f aca="false">($B305-M305)</f>
        <v>176.728553432471</v>
      </c>
      <c r="N306" s="52" t="n">
        <f aca="false">($B305-N305)</f>
        <v>176.728553432471</v>
      </c>
      <c r="O306" s="52" t="n">
        <f aca="false">($B305-O305)</f>
        <v>176.728553432471</v>
      </c>
      <c r="P306" s="52" t="n">
        <f aca="false">($B305-P305)</f>
        <v>176.728553432471</v>
      </c>
      <c r="Q306" s="52" t="n">
        <f aca="false">($B305-Q305)</f>
        <v>176.728553432471</v>
      </c>
      <c r="R306" s="52" t="n">
        <f aca="false">($B305-R305)</f>
        <v>176.728553432471</v>
      </c>
      <c r="S306" s="52" t="n">
        <f aca="false">($B305-S305)</f>
        <v>177.161670266965</v>
      </c>
      <c r="T306" s="52" t="n">
        <f aca="false">($B305-T305)</f>
        <v>177.161670266965</v>
      </c>
      <c r="U306" s="52" t="n">
        <f aca="false">($B305-U305)</f>
        <v>177.161670266965</v>
      </c>
      <c r="V306" s="52" t="n">
        <f aca="false">($B305-V305)</f>
        <v>177.161670266965</v>
      </c>
      <c r="W306" s="52" t="n">
        <f aca="false">($B305-W305)</f>
        <v>177.161670266965</v>
      </c>
      <c r="X306" s="52" t="n">
        <f aca="false">($B305-X305)</f>
        <v>177.161670266965</v>
      </c>
      <c r="Y306" s="52" t="n">
        <f aca="false">($B305-Y305)</f>
        <v>177.161670266965</v>
      </c>
      <c r="Z306" s="52" t="n">
        <f aca="false">($B305-Z305)</f>
        <v>177.551475418009</v>
      </c>
      <c r="AA306" s="52" t="n">
        <f aca="false">($B305-AA305)</f>
        <v>177.551475418009</v>
      </c>
      <c r="AB306" s="52" t="n">
        <f aca="false">($B305-AB305)</f>
        <v>177.551475418009</v>
      </c>
      <c r="AC306" s="52" t="n">
        <f aca="false">($B305-AC305)</f>
        <v>177.551475418009</v>
      </c>
    </row>
    <row r="307" customFormat="false" ht="12.65" hidden="false" customHeight="true" outlineLevel="0" collapsed="false">
      <c r="A307" s="51" t="s">
        <v>343</v>
      </c>
      <c r="B307" s="149" t="n">
        <f aca="false">($B305-B305)/$B305</f>
        <v>0</v>
      </c>
      <c r="C307" s="149" t="n">
        <f aca="false">($B305-C305)/$B305</f>
        <v>0</v>
      </c>
      <c r="D307" s="149" t="n">
        <f aca="false">($B305-D305)/$B305</f>
        <v>0.341176926479524</v>
      </c>
      <c r="E307" s="149" t="n">
        <f aca="false">($B305-E305)/$B305</f>
        <v>0.499237913202914</v>
      </c>
      <c r="F307" s="149" t="n">
        <f aca="false">($B305-F305)/$B305</f>
        <v>0.973420873373083</v>
      </c>
      <c r="G307" s="149" t="n">
        <f aca="false">($B305-G305)/$B305</f>
        <v>0.973420873373083</v>
      </c>
      <c r="H307" s="149" t="n">
        <f aca="false">($B305-H305)/$B305</f>
        <v>0.973420873373083</v>
      </c>
      <c r="I307" s="145" t="n">
        <f aca="false">($B305-I305)/$B305</f>
        <v>0.973420873373083</v>
      </c>
      <c r="J307" s="145" t="n">
        <f aca="false">($B305-J305)/$B305</f>
        <v>0.973420873373083</v>
      </c>
      <c r="K307" s="145" t="n">
        <f aca="false">($B305-K305)/$B305</f>
        <v>0.973420873373083</v>
      </c>
      <c r="L307" s="145" t="n">
        <f aca="false">($B305-L305)/$B305</f>
        <v>0.976078786035775</v>
      </c>
      <c r="M307" s="145" t="n">
        <f aca="false">($B305-M305)/$B305</f>
        <v>0.976078786035775</v>
      </c>
      <c r="N307" s="145" t="n">
        <f aca="false">($B305-N305)/$B305</f>
        <v>0.976078786035775</v>
      </c>
      <c r="O307" s="145" t="n">
        <f aca="false">($B305-O305)/$B305</f>
        <v>0.976078786035775</v>
      </c>
      <c r="P307" s="145" t="n">
        <f aca="false">($B305-P305)/$B305</f>
        <v>0.976078786035775</v>
      </c>
      <c r="Q307" s="145" t="n">
        <f aca="false">($B305-Q305)/$B305</f>
        <v>0.976078786035775</v>
      </c>
      <c r="R307" s="145" t="n">
        <f aca="false">($B305-R305)/$B305</f>
        <v>0.976078786035775</v>
      </c>
      <c r="S307" s="145" t="n">
        <f aca="false">($B305-S305)/$B305</f>
        <v>0.978470907432197</v>
      </c>
      <c r="T307" s="145" t="n">
        <f aca="false">($B305-T305)/$B305</f>
        <v>0.978470907432197</v>
      </c>
      <c r="U307" s="145" t="n">
        <f aca="false">($B305-U305)/$B305</f>
        <v>0.978470907432197</v>
      </c>
      <c r="V307" s="145" t="n">
        <f aca="false">($B305-V305)/$B305</f>
        <v>0.978470907432197</v>
      </c>
      <c r="W307" s="145" t="n">
        <f aca="false">($B305-W305)/$B305</f>
        <v>0.978470907432197</v>
      </c>
      <c r="X307" s="145" t="n">
        <f aca="false">($B305-X305)/$B305</f>
        <v>0.978470907432197</v>
      </c>
      <c r="Y307" s="145" t="n">
        <f aca="false">($B305-Y305)/$B305</f>
        <v>0.978470907432197</v>
      </c>
      <c r="Z307" s="145" t="n">
        <f aca="false">($B305-Z305)/$B305</f>
        <v>0.980623816688978</v>
      </c>
      <c r="AA307" s="145" t="n">
        <f aca="false">($B305-AA305)/$B305</f>
        <v>0.980623816688978</v>
      </c>
      <c r="AB307" s="145" t="n">
        <f aca="false">($B305-AB305)/$B305</f>
        <v>0.980623816688978</v>
      </c>
      <c r="AC307" s="145" t="n">
        <f aca="false">($B305-AC305)/$B305</f>
        <v>0.980623816688978</v>
      </c>
    </row>
    <row r="308" customFormat="false" ht="12.65" hidden="false" customHeight="true" outlineLevel="0" collapsed="false">
      <c r="A308" s="51"/>
      <c r="B308" s="1" t="s">
        <v>1</v>
      </c>
      <c r="C308" s="1" t="s">
        <v>2</v>
      </c>
      <c r="D308" s="1" t="s">
        <v>331</v>
      </c>
      <c r="E308" s="1" t="s">
        <v>3</v>
      </c>
      <c r="F308" s="149"/>
      <c r="G308" s="149"/>
      <c r="H308" s="149"/>
      <c r="I308" s="145"/>
      <c r="J308" s="145"/>
      <c r="K308" s="145"/>
      <c r="L308" s="145"/>
      <c r="M308" s="145"/>
      <c r="N308" s="145"/>
      <c r="O308" s="145"/>
      <c r="P308" s="145"/>
      <c r="Q308" s="145"/>
      <c r="R308" s="145"/>
      <c r="S308" s="145"/>
      <c r="T308" s="145"/>
      <c r="U308" s="145"/>
      <c r="V308" s="145"/>
      <c r="W308" s="145"/>
      <c r="X308" s="145"/>
      <c r="Y308" s="145"/>
      <c r="Z308" s="145"/>
      <c r="AA308" s="145"/>
      <c r="AB308" s="145"/>
      <c r="AC308" s="145"/>
    </row>
    <row r="309" customFormat="false" ht="12.8" hidden="false" customHeight="false" outlineLevel="0" collapsed="false">
      <c r="A309" s="51" t="s">
        <v>20</v>
      </c>
      <c r="B309" s="4" t="n">
        <f aca="false">($B305*6)-(SUM(D305:I305))</f>
        <v>857.154527071529</v>
      </c>
      <c r="C309" s="4" t="n">
        <f aca="false">($B305*11)-(SUM(E305:N305))</f>
        <v>1859.12113477161</v>
      </c>
      <c r="D309" s="4" t="n">
        <f aca="false">($B305*26)-(SUM(D305:AC305))</f>
        <v>4397.08661965012</v>
      </c>
      <c r="E309" s="149"/>
      <c r="F309" s="149"/>
      <c r="G309" s="149"/>
      <c r="H309" s="149"/>
      <c r="I309" s="145"/>
    </row>
    <row r="310" customFormat="false" ht="12.8" hidden="false" customHeight="false" outlineLevel="0" collapsed="false">
      <c r="A310" s="51" t="s">
        <v>17</v>
      </c>
      <c r="B310" s="4" t="n">
        <f aca="false">$B303*6-SUM(D303:I303)</f>
        <v>370.640396311529</v>
      </c>
      <c r="C310" s="4" t="n">
        <f aca="false">$B303*11-SUM(E303:N303)</f>
        <v>685.763525291607</v>
      </c>
      <c r="D310" s="4" t="n">
        <f aca="false">$B303*26-SUM(D303:AC303)</f>
        <v>1621.09422649012</v>
      </c>
      <c r="E310" s="149"/>
      <c r="F310" s="149"/>
      <c r="G310" s="149"/>
      <c r="H310" s="149"/>
      <c r="I310" s="145"/>
    </row>
    <row r="311" customFormat="false" ht="12.8" hidden="false" customHeight="false" outlineLevel="0" collapsed="false">
      <c r="A311" s="83" t="s">
        <v>18</v>
      </c>
      <c r="B311" s="4" t="n">
        <f aca="false">$B304*6-SUM(D304:I304)</f>
        <v>486.51413076</v>
      </c>
      <c r="C311" s="4" t="n">
        <f aca="false">$B304*11-SUM(E304:N304)</f>
        <v>1173.35760948</v>
      </c>
      <c r="D311" s="4" t="n">
        <f aca="false">$B304*26-SUM(D304:AC304)</f>
        <v>2775.99239316</v>
      </c>
      <c r="E311" s="150"/>
      <c r="F311" s="150"/>
      <c r="G311" s="150"/>
      <c r="H311" s="150"/>
      <c r="I311" s="151"/>
    </row>
    <row r="313" customFormat="false" ht="12.8" hidden="false" customHeight="false" outlineLevel="0" collapsed="false">
      <c r="A313" s="1" t="s">
        <v>347</v>
      </c>
    </row>
    <row r="314" customFormat="false" ht="12.8" hidden="false" customHeight="false" outlineLevel="0" collapsed="false">
      <c r="A314" s="1" t="s">
        <v>348</v>
      </c>
      <c r="B314" s="1" t="s">
        <v>1</v>
      </c>
      <c r="C314" s="1" t="s">
        <v>2</v>
      </c>
      <c r="D314" s="1" t="s">
        <v>331</v>
      </c>
      <c r="E314" s="1" t="s">
        <v>3</v>
      </c>
    </row>
    <row r="315" customFormat="false" ht="12.8" hidden="false" customHeight="false" outlineLevel="0" collapsed="false">
      <c r="A315" s="1" t="s">
        <v>334</v>
      </c>
      <c r="B315" s="4" t="n">
        <f aca="false">B256*6</f>
        <v>242.966525146527</v>
      </c>
      <c r="C315" s="4" t="n">
        <f aca="false">C256*11</f>
        <v>1069.82433786183</v>
      </c>
      <c r="D315" s="4" t="n">
        <f aca="false">D256*16</f>
        <v>13019.8147478988</v>
      </c>
    </row>
    <row r="316" customFormat="false" ht="12.8" hidden="false" customHeight="false" outlineLevel="0" collapsed="false">
      <c r="A316" s="1" t="s">
        <v>335</v>
      </c>
      <c r="B316" s="4" t="n">
        <f aca="false">B257*6</f>
        <v>1910.51682400273</v>
      </c>
      <c r="C316" s="4" t="n">
        <f aca="false">C257*11</f>
        <v>4365.56708960083</v>
      </c>
      <c r="D316" s="4" t="n">
        <f aca="false">D257*16</f>
        <v>17912.8991664322</v>
      </c>
    </row>
    <row r="317" customFormat="false" ht="12.8" hidden="false" customHeight="false" outlineLevel="0" collapsed="false">
      <c r="A317" s="1" t="s">
        <v>336</v>
      </c>
      <c r="B317" s="4" t="n">
        <f aca="false">B258*6</f>
        <v>2744.91698587869</v>
      </c>
      <c r="C317" s="4" t="n">
        <f aca="false">C258*11</f>
        <v>7900.88223106009</v>
      </c>
      <c r="D317" s="4" t="n">
        <f aca="false">D258*16</f>
        <v>48677.9960347212</v>
      </c>
    </row>
    <row r="318" customFormat="false" ht="12.8" hidden="false" customHeight="false" outlineLevel="0" collapsed="false">
      <c r="A318" s="1" t="s">
        <v>337</v>
      </c>
      <c r="B318" s="4" t="n">
        <f aca="false">B259*6</f>
        <v>4124.67317396686</v>
      </c>
      <c r="C318" s="4" t="n">
        <f aca="false">C259*11</f>
        <v>14594.6376918851</v>
      </c>
      <c r="D318" s="4" t="n">
        <f aca="false">D259*16</f>
        <v>75452.8774484835</v>
      </c>
    </row>
    <row r="319" customFormat="false" ht="12.8" hidden="false" customHeight="false" outlineLevel="0" collapsed="false">
      <c r="B319" s="4"/>
      <c r="C319" s="4"/>
      <c r="D319" s="4"/>
    </row>
    <row r="320" customFormat="false" ht="12.8" hidden="false" customHeight="false" outlineLevel="0" collapsed="false">
      <c r="A320" s="1" t="s">
        <v>349</v>
      </c>
      <c r="B320" s="4"/>
      <c r="C320" s="4"/>
      <c r="D320" s="4"/>
    </row>
    <row r="321" customFormat="false" ht="12.8" hidden="false" customHeight="false" outlineLevel="0" collapsed="false">
      <c r="A321" s="1" t="s">
        <v>334</v>
      </c>
      <c r="B321" s="4" t="n">
        <f aca="false">B230-(SUM(D230:I230)/6)</f>
        <v>0.106412194459836</v>
      </c>
      <c r="C321" s="4" t="n">
        <f aca="false">B230-SUM(D230:N230)/11</f>
        <v>0.643589326352526</v>
      </c>
      <c r="D321" s="4" t="n">
        <f aca="false">B230-(AVERAGE(N230:AC230))</f>
        <v>6.46685887327911</v>
      </c>
    </row>
    <row r="322" customFormat="false" ht="12.8" hidden="false" customHeight="false" outlineLevel="0" collapsed="false">
      <c r="A322" s="1" t="s">
        <v>350</v>
      </c>
      <c r="B322" s="4" t="n">
        <f aca="false">B254*6</f>
        <v>834.41362259486</v>
      </c>
      <c r="C322" s="4" t="n">
        <f aca="false">C254*11</f>
        <v>1654.95085845937</v>
      </c>
      <c r="D322" s="4" t="n">
        <f aca="false">D254*16</f>
        <v>2632.61756961998</v>
      </c>
    </row>
    <row r="324" customFormat="false" ht="14.65" hidden="false" customHeight="false" outlineLevel="0" collapsed="false"/>
    <row r="325" customFormat="false" ht="14.65" hidden="false" customHeight="false" outlineLevel="0" collapsed="false">
      <c r="C325" s="1"/>
      <c r="E325" s="1"/>
    </row>
    <row r="326" customFormat="false" ht="14.65" hidden="false" customHeight="false" outlineLevel="0" collapsed="false">
      <c r="B326" s="4"/>
      <c r="C326" s="4"/>
      <c r="D326" s="4"/>
    </row>
    <row r="327" customFormat="false" ht="14.65" hidden="false" customHeight="false" outlineLevel="0" collapsed="false">
      <c r="B327" s="4"/>
      <c r="C327" s="4"/>
      <c r="D327" s="4"/>
    </row>
    <row r="328" customFormat="false" ht="14.65" hidden="false" customHeight="false" outlineLevel="0" collapsed="false">
      <c r="B328" s="4"/>
      <c r="C328" s="4"/>
      <c r="D328" s="4"/>
    </row>
    <row r="329" customFormat="false" ht="14.65" hidden="false" customHeight="false" outlineLevel="0" collapsed="false">
      <c r="B329" s="4"/>
      <c r="C329" s="4"/>
      <c r="D329" s="4"/>
    </row>
    <row r="330" customFormat="false" ht="14.65" hidden="false" customHeight="false" outlineLevel="0" collapsed="false">
      <c r="B330" s="4"/>
      <c r="C330" s="4"/>
      <c r="D330" s="4"/>
    </row>
    <row r="331" customFormat="false" ht="14.65" hidden="false" customHeight="false" outlineLevel="0" collapsed="false">
      <c r="B331" s="4"/>
      <c r="C331" s="4"/>
      <c r="D331" s="4"/>
      <c r="E331" s="1"/>
    </row>
    <row r="332" customFormat="false" ht="14.65" hidden="false" customHeight="false" outlineLevel="0" collapsed="false">
      <c r="B332" s="4"/>
      <c r="C332" s="4"/>
      <c r="D332" s="4"/>
    </row>
    <row r="333" customFormat="false" ht="14.65" hidden="false" customHeight="false" outlineLevel="0" collapsed="false">
      <c r="B333" s="4"/>
      <c r="C333" s="4"/>
      <c r="D333" s="4"/>
    </row>
    <row r="336" customFormat="false" ht="12.8" hidden="false" customHeight="false" outlineLevel="0" collapsed="false">
      <c r="A336" s="4" t="s">
        <v>0</v>
      </c>
      <c r="B336" s="4" t="s">
        <v>1</v>
      </c>
      <c r="C336" s="4" t="s">
        <v>2</v>
      </c>
      <c r="D336" s="1" t="s">
        <v>3</v>
      </c>
    </row>
    <row r="337" customFormat="false" ht="12.8" hidden="false" customHeight="false" outlineLevel="0" collapsed="false">
      <c r="A337" s="4" t="s">
        <v>4</v>
      </c>
      <c r="B337" s="4" t="n">
        <f aca="false">$B$178*6-SUM(D178:I178)</f>
        <v>4.28841345276851</v>
      </c>
      <c r="C337" s="4" t="n">
        <f aca="false">$B$178*11-SUM(D178:N178)</f>
        <v>42.5836025129102</v>
      </c>
      <c r="D337" s="4" t="n">
        <f aca="false">$B$178*26-SUM(D178:AC178)</f>
        <v>384.090108432785</v>
      </c>
    </row>
    <row r="338" customFormat="false" ht="12.8" hidden="false" customHeight="false" outlineLevel="0" collapsed="false">
      <c r="A338" s="4" t="s">
        <v>5</v>
      </c>
      <c r="B338" s="4" t="n">
        <f aca="false">$B$179*6-SUM(D179:I179)</f>
        <v>237.401165360243</v>
      </c>
      <c r="C338" s="4" t="n">
        <f aca="false">$B$179*11-SUM(D179:N179)</f>
        <v>1013.08177016918</v>
      </c>
      <c r="D338" s="4" t="n">
        <f aca="false">$B$179*26-SUM(D179:AC179)</f>
        <v>13252.0943297183</v>
      </c>
    </row>
    <row r="339" customFormat="false" ht="14.65" hidden="false" customHeight="false" outlineLevel="0" collapsed="false">
      <c r="A339" s="4" t="s">
        <v>6</v>
      </c>
      <c r="B339" s="4" t="n">
        <f aca="false">B338+B337</f>
        <v>241.689578813011</v>
      </c>
      <c r="C339" s="4" t="n">
        <f aca="false">C338+C337</f>
        <v>1055.6653726821</v>
      </c>
      <c r="D339" s="4" t="n">
        <f aca="false">D338+D337</f>
        <v>13636.1844381511</v>
      </c>
    </row>
    <row r="340" customFormat="false" ht="12.8" hidden="false" customHeight="false" outlineLevel="0" collapsed="false">
      <c r="A340" s="4" t="s">
        <v>7</v>
      </c>
      <c r="B340" s="4" t="n">
        <f aca="false">$B$201*6-SUM(D201:I201)</f>
        <v>152.896412986576</v>
      </c>
      <c r="C340" s="4" t="n">
        <f aca="false">$B$201*11-SUM(D201:N201)</f>
        <v>793.546643622834</v>
      </c>
      <c r="D340" s="4" t="n">
        <f aca="false">$B$201*26-SUM(D201:AC201)</f>
        <v>14409.7068635467</v>
      </c>
    </row>
    <row r="341" customFormat="false" ht="12.8" hidden="false" customHeight="false" outlineLevel="0" collapsed="false">
      <c r="A341" s="4" t="s">
        <v>8</v>
      </c>
      <c r="B341" s="4" t="n">
        <f aca="false">$B$202*6-SUM(D202:I202)</f>
        <v>518.409018502163</v>
      </c>
      <c r="C341" s="4" t="n">
        <f aca="false">$B$202*11-SUM(D202:N202)</f>
        <v>2113.38428037868</v>
      </c>
      <c r="D341" s="4" t="n">
        <f aca="false">$B$202*26-SUM(D202:AC202)</f>
        <v>20523.9893698855</v>
      </c>
    </row>
    <row r="342" customFormat="false" ht="12.8" hidden="false" customHeight="false" outlineLevel="0" collapsed="false">
      <c r="A342" s="4" t="s">
        <v>9</v>
      </c>
      <c r="B342" s="5" t="n">
        <f aca="false">SUM(B340:B341)</f>
        <v>671.30543148874</v>
      </c>
      <c r="C342" s="5" t="n">
        <f aca="false">SUM(C340:C341)</f>
        <v>2906.93092400152</v>
      </c>
      <c r="D342" s="5" t="n">
        <f aca="false">SUM(D340:D341)</f>
        <v>34933.6962334322</v>
      </c>
    </row>
    <row r="343" customFormat="false" ht="12.8" hidden="false" customHeight="false" outlineLevel="0" collapsed="false">
      <c r="A343" s="4" t="s">
        <v>10</v>
      </c>
      <c r="B343" s="4" t="n">
        <f aca="false">$B$209*6-SUM(D209:I209)</f>
        <v>225.518617608934</v>
      </c>
      <c r="C343" s="4" t="n">
        <f aca="false">$B$209*11-SUM(D209:N209)</f>
        <v>1286.54816535399</v>
      </c>
      <c r="D343" s="4" t="n">
        <f aca="false">$B$209*26-SUM(D209:AC209)</f>
        <v>21091.2200860901</v>
      </c>
    </row>
    <row r="344" customFormat="false" ht="12.8" hidden="false" customHeight="false" outlineLevel="0" collapsed="false">
      <c r="A344" s="4" t="s">
        <v>11</v>
      </c>
      <c r="B344" s="4" t="n">
        <f aca="false">$B$210*6-SUM(D210:I210)</f>
        <v>850.571123080037</v>
      </c>
      <c r="C344" s="4" t="n">
        <f aca="false">$B$210*11-SUM(D210:N210)</f>
        <v>3304.43234878738</v>
      </c>
      <c r="D344" s="4" t="n">
        <f aca="false">$B$210*26-SUM(D210:AC210)</f>
        <v>26092.9282589692</v>
      </c>
    </row>
    <row r="345" customFormat="false" ht="12.8" hidden="false" customHeight="false" outlineLevel="0" collapsed="false">
      <c r="A345" s="4" t="s">
        <v>12</v>
      </c>
      <c r="B345" s="5" t="n">
        <f aca="false">SUM(B343:B344)</f>
        <v>1076.08974068897</v>
      </c>
      <c r="C345" s="5" t="n">
        <f aca="false">SUM(C343:C344)</f>
        <v>4590.98051414136</v>
      </c>
      <c r="D345" s="5" t="n">
        <f aca="false">SUM(D343:D344)</f>
        <v>47184.1483450593</v>
      </c>
    </row>
    <row r="346" customFormat="false" ht="12.8" hidden="false" customHeight="false" outlineLevel="0" collapsed="false">
      <c r="A346" s="4" t="s">
        <v>13</v>
      </c>
      <c r="B346" s="4" t="n">
        <f aca="false">$B$221*6-SUM(D221:I221)</f>
        <v>461.175982710654</v>
      </c>
      <c r="C346" s="4" t="n">
        <f aca="false">$B$221*11-SUM(D221:N221)</f>
        <v>3257.76475295264</v>
      </c>
      <c r="D346" s="4" t="n">
        <f aca="false">$B$221*26-SUM(D221:AC221)</f>
        <v>26741.8286969425</v>
      </c>
    </row>
    <row r="347" customFormat="false" ht="12.8" hidden="false" customHeight="false" outlineLevel="0" collapsed="false">
      <c r="A347" s="4" t="s">
        <v>14</v>
      </c>
      <c r="B347" s="4" t="n">
        <f aca="false">$B$222*6-SUM(D222:I222)</f>
        <v>1994.66994606648</v>
      </c>
      <c r="C347" s="4" t="n">
        <f aca="false">$B$222*11-SUM(D222:N222)</f>
        <v>8026.97122201376</v>
      </c>
      <c r="D347" s="4" t="n">
        <f aca="false">$B$222*26-SUM(D222:AC222)</f>
        <v>52442.5779499171</v>
      </c>
    </row>
    <row r="348" customFormat="false" ht="12.8" hidden="false" customHeight="false" outlineLevel="0" collapsed="false">
      <c r="A348" s="4" t="s">
        <v>15</v>
      </c>
      <c r="B348" s="5" t="n">
        <f aca="false">SUM(B346:B347)</f>
        <v>2455.84592877714</v>
      </c>
      <c r="C348" s="5" t="n">
        <f aca="false">SUM(C346:C347)</f>
        <v>11284.7359749664</v>
      </c>
      <c r="D348" s="5" t="n">
        <f aca="false">SUM(D346:D347)</f>
        <v>79184.4066468597</v>
      </c>
    </row>
    <row r="350" customFormat="false" ht="12.8" hidden="false" customHeight="false" outlineLevel="0" collapsed="false">
      <c r="A350" s="1" t="s">
        <v>351</v>
      </c>
    </row>
    <row r="351" customFormat="false" ht="15.8" hidden="false" customHeight="false" outlineLevel="0" collapsed="false">
      <c r="A351" s="9" t="s">
        <v>334</v>
      </c>
      <c r="B351" s="4" t="n">
        <f aca="false">$B$226*6-SUM(D226:I226)</f>
        <v>0.638473166759013</v>
      </c>
      <c r="C351" s="4" t="n">
        <f aca="false">$B$226*11-SUM(D226:N226)</f>
        <v>7.07948258987767</v>
      </c>
      <c r="D351" s="4" t="n">
        <f aca="false">$B$226*26-SUM(D226:AC226)</f>
        <v>108.708419470596</v>
      </c>
    </row>
    <row r="352" customFormat="false" ht="12.8" hidden="false" customHeight="false" outlineLevel="0" collapsed="false">
      <c r="A352" s="9" t="s">
        <v>17</v>
      </c>
      <c r="B352" s="4" t="n">
        <f aca="false">$B$198*6-SUM(D198:I198)</f>
        <v>370.640396311529</v>
      </c>
      <c r="C352" s="4" t="n">
        <f aca="false">$B$198*11-SUM(D198:O198)</f>
        <v>676.61994767451</v>
      </c>
      <c r="D352" s="4" t="n">
        <f aca="false">$B$198*26-(SUM(D198:AC198)+SUM(D426:AC426))</f>
        <v>-1748.86890028429</v>
      </c>
    </row>
    <row r="353" customFormat="false" ht="12.8" hidden="false" customHeight="false" outlineLevel="0" collapsed="false">
      <c r="A353" s="9" t="s">
        <v>18</v>
      </c>
      <c r="B353" s="4" t="n">
        <f aca="false">$B$199*6-(SUM(D199:I199)+SUM(D426:I426))</f>
        <v>-288.742811734256</v>
      </c>
      <c r="C353" s="4" t="n">
        <f aca="false">$B$199*11-(SUM(D199:N199)+SUM(D426:N426))</f>
        <v>-397.489023590131</v>
      </c>
      <c r="D353" s="4" t="n">
        <f aca="false">$B$219*26-SUM(D219:AC219)</f>
        <v>2646.23546761665</v>
      </c>
    </row>
    <row r="354" customFormat="false" ht="12.8" hidden="false" customHeight="false" outlineLevel="0" collapsed="false">
      <c r="A354" s="10" t="s">
        <v>20</v>
      </c>
      <c r="B354" s="5" t="n">
        <f aca="false">SUM(B352:B353)</f>
        <v>81.8975845772733</v>
      </c>
      <c r="C354" s="5" t="n">
        <f aca="false">SUM(C352:C353)</f>
        <v>279.130924084379</v>
      </c>
      <c r="D354" s="5" t="n">
        <f aca="false">SUM(D352:D353)</f>
        <v>897.366567332364</v>
      </c>
    </row>
    <row r="356" customFormat="false" ht="12.8" hidden="false" customHeight="false" outlineLevel="0" collapsed="false">
      <c r="A356" s="1" t="s">
        <v>21</v>
      </c>
      <c r="B356" s="1" t="n">
        <f aca="false">B342+B$354</f>
        <v>753.203016066013</v>
      </c>
      <c r="C356" s="1"/>
      <c r="D356" s="4" t="n">
        <f aca="false">D342+D$354</f>
        <v>35831.0628007646</v>
      </c>
    </row>
    <row r="357" customFormat="false" ht="12.8" hidden="false" customHeight="false" outlineLevel="0" collapsed="false">
      <c r="A357" s="1" t="s">
        <v>22</v>
      </c>
      <c r="B357" s="1" t="n">
        <f aca="false">B345+B$354</f>
        <v>1157.98732526624</v>
      </c>
      <c r="C357" s="1"/>
      <c r="D357" s="4" t="n">
        <f aca="false">D345+D$354</f>
        <v>48081.5149123917</v>
      </c>
    </row>
    <row r="358" customFormat="false" ht="12.8" hidden="false" customHeight="false" outlineLevel="0" collapsed="false">
      <c r="A358" s="1" t="s">
        <v>23</v>
      </c>
      <c r="B358" s="1" t="n">
        <f aca="false">B348+B$354</f>
        <v>2537.74351335441</v>
      </c>
      <c r="C358" s="1"/>
      <c r="D358" s="4" t="n">
        <f aca="false">D348+D$354</f>
        <v>80081.773214192</v>
      </c>
    </row>
    <row r="359" customFormat="false" ht="12.8" hidden="false" customHeight="false" outlineLevel="0" collapsed="false">
      <c r="C359" s="1"/>
      <c r="D359" s="4"/>
    </row>
    <row r="360" customFormat="false" ht="12.8" hidden="false" customHeight="false" outlineLevel="0" collapsed="false">
      <c r="A360" s="1" t="s">
        <v>352</v>
      </c>
      <c r="B360" s="1" t="s">
        <v>27</v>
      </c>
      <c r="C360" s="0" t="s">
        <v>353</v>
      </c>
    </row>
    <row r="361" customFormat="false" ht="12.8" hidden="false" customHeight="false" outlineLevel="0" collapsed="false">
      <c r="A361" s="4" t="n">
        <f aca="false">D358</f>
        <v>80081.773214192</v>
      </c>
      <c r="B361" s="2" t="n">
        <f aca="false">Budget_old!B9</f>
        <v>14039300</v>
      </c>
      <c r="C361" s="101" t="n">
        <f aca="false">B361/A361</f>
        <v>175.312052125139</v>
      </c>
    </row>
    <row r="363" customFormat="false" ht="12.8" hidden="false" customHeight="false" outlineLevel="0" collapsed="false">
      <c r="B363" s="1" t="s">
        <v>354</v>
      </c>
      <c r="C363" s="0" t="s">
        <v>355</v>
      </c>
    </row>
    <row r="364" customFormat="false" ht="12.8" hidden="false" customHeight="false" outlineLevel="0" collapsed="false">
      <c r="A364" s="1" t="s">
        <v>229</v>
      </c>
      <c r="B364" s="1" t="n">
        <v>82560</v>
      </c>
      <c r="C364" s="0" t="n">
        <f aca="false">(B364/1000)*B$371</f>
        <v>33.5715246306693</v>
      </c>
    </row>
    <row r="365" customFormat="false" ht="12.8" hidden="false" customHeight="false" outlineLevel="0" collapsed="false">
      <c r="A365" s="1" t="s">
        <v>231</v>
      </c>
      <c r="B365" s="1" t="n">
        <v>27000</v>
      </c>
      <c r="C365" s="0" t="n">
        <f aca="false">(B365/1000)*B$371</f>
        <v>10.9790596539253</v>
      </c>
    </row>
    <row r="366" customFormat="false" ht="12.8" hidden="false" customHeight="false" outlineLevel="0" collapsed="false">
      <c r="A366" s="1" t="s">
        <v>233</v>
      </c>
      <c r="B366" s="1" t="n">
        <v>32640</v>
      </c>
      <c r="C366" s="0" t="n">
        <f aca="false">(B366/1000)*B$371</f>
        <v>13.2724632260786</v>
      </c>
    </row>
    <row r="367" customFormat="false" ht="12.8" hidden="false" customHeight="false" outlineLevel="0" collapsed="false">
      <c r="A367" s="1" t="s">
        <v>235</v>
      </c>
      <c r="B367" s="1" t="n">
        <v>64404</v>
      </c>
      <c r="C367" s="0" t="n">
        <f aca="false">(B367/1000)*B$371</f>
        <v>26.1887169611631</v>
      </c>
    </row>
    <row r="368" customFormat="false" ht="12.8" hidden="false" customHeight="false" outlineLevel="0" collapsed="false">
      <c r="A368" s="1" t="s">
        <v>236</v>
      </c>
      <c r="B368" s="1" t="n">
        <v>74880</v>
      </c>
      <c r="C368" s="0" t="n">
        <f aca="false">(B368/1000)*B$371</f>
        <v>30.4485921068861</v>
      </c>
    </row>
    <row r="369" customFormat="false" ht="12.8" hidden="false" customHeight="false" outlineLevel="0" collapsed="false">
      <c r="A369" s="1" t="s">
        <v>20</v>
      </c>
      <c r="B369" s="1" t="n">
        <v>281484</v>
      </c>
      <c r="C369" s="0" t="n">
        <f aca="false">(B369/1000)*B$371</f>
        <v>114.460356578722</v>
      </c>
    </row>
    <row r="370" customFormat="false" ht="12.8" hidden="false" customHeight="false" outlineLevel="0" collapsed="false">
      <c r="A370" s="1" t="s">
        <v>237</v>
      </c>
      <c r="B370" s="0" t="n">
        <f aca="false">B369/1000</f>
        <v>281.484</v>
      </c>
    </row>
    <row r="371" customFormat="false" ht="12.8" hidden="false" customHeight="false" outlineLevel="0" collapsed="false">
      <c r="A371" s="1" t="s">
        <v>238</v>
      </c>
      <c r="B371" s="1" t="n">
        <v>0.406631839034269</v>
      </c>
    </row>
    <row r="372" customFormat="false" ht="12.8" hidden="false" customHeight="false" outlineLevel="0" collapsed="false">
      <c r="A372" s="1" t="s">
        <v>239</v>
      </c>
      <c r="B372" s="1" t="n">
        <f aca="false">B371*B370</f>
        <v>114.460356578722</v>
      </c>
    </row>
    <row r="373" customFormat="false" ht="12.8" hidden="false" customHeight="false" outlineLevel="0" collapsed="false">
      <c r="B373" s="0"/>
    </row>
    <row r="374" customFormat="false" ht="12.8" hidden="false" customHeight="false" outlineLevel="0" collapsed="false">
      <c r="B374" s="0"/>
    </row>
    <row r="375" customFormat="false" ht="12.8" hidden="false" customHeight="false" outlineLevel="0" collapsed="false">
      <c r="B375" s="0"/>
    </row>
    <row r="376" customFormat="false" ht="12.8" hidden="false" customHeight="false" outlineLevel="0" collapsed="false">
      <c r="B376" s="0"/>
    </row>
    <row r="377" customFormat="false" ht="12.8" hidden="false" customHeight="false" outlineLevel="0" collapsed="false">
      <c r="A377" s="1" t="s">
        <v>240</v>
      </c>
      <c r="B377" s="0" t="s">
        <v>354</v>
      </c>
    </row>
    <row r="378" customFormat="false" ht="14.65" hidden="false" customHeight="false" outlineLevel="0" collapsed="false">
      <c r="A378" s="1" t="s">
        <v>229</v>
      </c>
      <c r="B378" s="4" t="n">
        <v>24768</v>
      </c>
      <c r="C378" s="0" t="n">
        <f aca="false">(B378/1000)*B$382</f>
        <v>1.01549844826272</v>
      </c>
    </row>
    <row r="379" customFormat="false" ht="12.8" hidden="false" customHeight="false" outlineLevel="0" collapsed="false">
      <c r="A379" s="1" t="s">
        <v>231</v>
      </c>
      <c r="B379" s="4" t="n">
        <v>41280</v>
      </c>
      <c r="C379" s="0" t="n">
        <f aca="false">(B379/1000)*B$382</f>
        <v>1.69249741377121</v>
      </c>
    </row>
    <row r="380" customFormat="false" ht="12.8" hidden="false" customHeight="false" outlineLevel="0" collapsed="false">
      <c r="A380" s="1" t="s">
        <v>20</v>
      </c>
      <c r="B380" s="4" t="n">
        <v>66048</v>
      </c>
      <c r="C380" s="0" t="n">
        <f aca="false">C378+C379</f>
        <v>2.70799586203393</v>
      </c>
      <c r="D380" s="1" t="s">
        <v>356</v>
      </c>
      <c r="E380" s="134" t="n">
        <f aca="false">C379/C380</f>
        <v>0.625</v>
      </c>
    </row>
    <row r="381" customFormat="false" ht="14.65" hidden="false" customHeight="false" outlineLevel="0" collapsed="false">
      <c r="A381" s="1" t="s">
        <v>241</v>
      </c>
      <c r="B381" s="137" t="n">
        <f aca="false">B380/1000</f>
        <v>66.048</v>
      </c>
    </row>
    <row r="382" customFormat="false" ht="14.65" hidden="false" customHeight="false" outlineLevel="0" collapsed="false">
      <c r="A382" s="1" t="s">
        <v>238</v>
      </c>
      <c r="B382" s="10" t="n">
        <v>0.0410004218452327</v>
      </c>
    </row>
    <row r="387" customFormat="false" ht="12.8" hidden="false" customHeight="false" outlineLevel="0" collapsed="false">
      <c r="A387" s="1" t="s">
        <v>42</v>
      </c>
      <c r="B387" s="1" t="s">
        <v>43</v>
      </c>
      <c r="C387" s="0" t="n">
        <v>2024</v>
      </c>
      <c r="D387" s="0" t="n">
        <v>2025</v>
      </c>
      <c r="E387" s="0" t="n">
        <v>2026</v>
      </c>
      <c r="F387" s="0" t="n">
        <v>2027</v>
      </c>
      <c r="G387" s="0" t="n">
        <v>2028</v>
      </c>
      <c r="H387" s="0" t="n">
        <v>2029</v>
      </c>
      <c r="I387" s="0" t="n">
        <v>2030</v>
      </c>
      <c r="J387" s="0" t="n">
        <v>2031</v>
      </c>
      <c r="K387" s="0" t="n">
        <v>2032</v>
      </c>
      <c r="L387" s="0" t="n">
        <v>2033</v>
      </c>
      <c r="M387" s="0" t="n">
        <v>2034</v>
      </c>
      <c r="N387" s="0" t="n">
        <v>2035</v>
      </c>
      <c r="O387" s="0" t="n">
        <v>2036</v>
      </c>
      <c r="P387" s="0" t="n">
        <v>2037</v>
      </c>
      <c r="Q387" s="0" t="n">
        <v>2038</v>
      </c>
      <c r="R387" s="0" t="n">
        <v>2039</v>
      </c>
      <c r="S387" s="0" t="n">
        <v>2040</v>
      </c>
      <c r="T387" s="0" t="n">
        <v>2041</v>
      </c>
      <c r="U387" s="0" t="n">
        <v>2042</v>
      </c>
      <c r="V387" s="0" t="n">
        <v>2043</v>
      </c>
      <c r="W387" s="0" t="n">
        <v>2044</v>
      </c>
      <c r="X387" s="0" t="n">
        <v>2045</v>
      </c>
      <c r="Y387" s="0" t="n">
        <v>2046</v>
      </c>
      <c r="Z387" s="0" t="n">
        <v>2047</v>
      </c>
      <c r="AA387" s="0" t="n">
        <v>2048</v>
      </c>
      <c r="AB387" s="0" t="n">
        <v>2049</v>
      </c>
      <c r="AC387" s="0" t="n">
        <v>2050</v>
      </c>
    </row>
    <row r="388" customFormat="false" ht="14.65" hidden="false" customHeight="false" outlineLevel="0" collapsed="false">
      <c r="A388" s="1" t="s">
        <v>44</v>
      </c>
      <c r="B388" s="1" t="n">
        <f aca="false">($B$30*$B$28)+($B$40*$B$44)</f>
        <v>66.585808657411</v>
      </c>
      <c r="C388" s="0" t="n">
        <f aca="false">C424+C426</f>
        <v>0</v>
      </c>
      <c r="D388" s="0" t="n">
        <f aca="false">D424+D426</f>
        <v>139.285360613484</v>
      </c>
      <c r="E388" s="0" t="n">
        <f aca="false">E424+E426</f>
        <v>176.038101143103</v>
      </c>
      <c r="F388" s="0" t="n">
        <f aca="false">F424+F426</f>
        <v>195.648218436108</v>
      </c>
      <c r="G388" s="0" t="n">
        <f aca="false">G424+G426</f>
        <v>195.648218436108</v>
      </c>
      <c r="H388" s="0" t="n">
        <f aca="false">H424+H426</f>
        <v>195.648218436108</v>
      </c>
      <c r="I388" s="0" t="n">
        <f aca="false">I424+I426</f>
        <v>195.648218436108</v>
      </c>
      <c r="J388" s="0" t="n">
        <f aca="false">J424+J426</f>
        <v>195.648218436108</v>
      </c>
      <c r="K388" s="0" t="n">
        <f aca="false">K424+K426</f>
        <v>195.648218436108</v>
      </c>
      <c r="L388" s="0" t="n">
        <f aca="false">L424+L426</f>
        <v>195.648218436108</v>
      </c>
      <c r="M388" s="0" t="n">
        <f aca="false">M424+M426</f>
        <v>195.648218436108</v>
      </c>
      <c r="N388" s="0" t="n">
        <f aca="false">N424+N426</f>
        <v>195.648218436108</v>
      </c>
      <c r="O388" s="0" t="n">
        <f aca="false">O424+O426</f>
        <v>195.648218436108</v>
      </c>
      <c r="P388" s="0" t="n">
        <f aca="false">P424+P426</f>
        <v>195.648218436108</v>
      </c>
      <c r="Q388" s="0" t="n">
        <f aca="false">Q424+Q426</f>
        <v>195.648218436108</v>
      </c>
      <c r="R388" s="0" t="n">
        <f aca="false">R424+R426</f>
        <v>195.648218436108</v>
      </c>
      <c r="S388" s="0" t="n">
        <f aca="false">S424+S426</f>
        <v>195.648218436108</v>
      </c>
      <c r="T388" s="0" t="n">
        <f aca="false">T424+T426</f>
        <v>195.648218436108</v>
      </c>
      <c r="U388" s="0" t="n">
        <f aca="false">U424+U426</f>
        <v>195.648218436108</v>
      </c>
      <c r="V388" s="0" t="n">
        <f aca="false">V424+V426</f>
        <v>195.648218436108</v>
      </c>
      <c r="W388" s="0" t="n">
        <f aca="false">W424+W426</f>
        <v>195.648218436108</v>
      </c>
      <c r="X388" s="0" t="n">
        <f aca="false">X424+X426</f>
        <v>195.648218436108</v>
      </c>
      <c r="Y388" s="0" t="n">
        <f aca="false">Y424+Y426</f>
        <v>195.648218436108</v>
      </c>
      <c r="Z388" s="0" t="n">
        <f aca="false">Z424+Z426</f>
        <v>195.648218436108</v>
      </c>
      <c r="AA388" s="0" t="n">
        <f aca="false">AA424+AA426</f>
        <v>195.648218436108</v>
      </c>
      <c r="AB388" s="0" t="n">
        <f aca="false">AB424+AB426</f>
        <v>195.648218436108</v>
      </c>
      <c r="AC388" s="0" t="n">
        <f aca="false">AC424+AC426</f>
        <v>195.648218436108</v>
      </c>
    </row>
    <row r="389" customFormat="false" ht="14.65" hidden="false" customHeight="false" outlineLevel="0" collapsed="false">
      <c r="A389" s="1" t="s">
        <v>45</v>
      </c>
      <c r="B389" s="1" t="n">
        <f aca="false">B222</f>
        <v>8018.82390447805</v>
      </c>
      <c r="C389" s="1" t="n">
        <f aca="false">B389-C222</f>
        <v>0</v>
      </c>
      <c r="D389" s="1" t="n">
        <f aca="false">D429</f>
        <v>70.5009269950342</v>
      </c>
      <c r="E389" s="1" t="n">
        <f aca="false">E429</f>
        <v>153.765148386498</v>
      </c>
      <c r="F389" s="1" t="n">
        <f aca="false">F429</f>
        <v>251.665309770422</v>
      </c>
      <c r="G389" s="1" t="n">
        <f aca="false">G429</f>
        <v>366.183541898268</v>
      </c>
      <c r="H389" s="1" t="n">
        <f aca="false">H429</f>
        <v>499.356358411749</v>
      </c>
      <c r="I389" s="1" t="n">
        <f aca="false">I429</f>
        <v>653.198660604513</v>
      </c>
      <c r="J389" s="1" t="n">
        <f aca="false">J429</f>
        <v>829.607994844803</v>
      </c>
      <c r="K389" s="1" t="n">
        <f aca="false">K429</f>
        <v>1002.50464218582</v>
      </c>
      <c r="L389" s="1" t="n">
        <f aca="false">L429</f>
        <v>1191.76463584034</v>
      </c>
      <c r="M389" s="1" t="n">
        <f aca="false">M429</f>
        <v>1395.88881181241</v>
      </c>
      <c r="N389" s="1" t="n">
        <f aca="false">N429</f>
        <v>1612.53519126389</v>
      </c>
      <c r="O389" s="1" t="n">
        <f aca="false">O429</f>
        <v>1838.55330062263</v>
      </c>
      <c r="P389" s="1" t="n">
        <f aca="false">P429</f>
        <v>2070.11056715169</v>
      </c>
      <c r="Q389" s="1" t="n">
        <f aca="false">Q429</f>
        <v>2302.90735660553</v>
      </c>
      <c r="R389" s="1" t="n">
        <f aca="false">R429</f>
        <v>2500.71299124335</v>
      </c>
      <c r="S389" s="1" t="n">
        <f aca="false">S429</f>
        <v>2686.41671635256</v>
      </c>
      <c r="T389" s="1" t="n">
        <f aca="false">T429</f>
        <v>2856.45100375723</v>
      </c>
      <c r="U389" s="1" t="n">
        <f aca="false">U429</f>
        <v>3008.20937835185</v>
      </c>
      <c r="V389" s="1" t="n">
        <f aca="false">V429</f>
        <v>3140.19420728664</v>
      </c>
      <c r="W389" s="1" t="n">
        <f aca="false">W429</f>
        <v>3252.03436158457</v>
      </c>
      <c r="X389" s="1" t="n">
        <f aca="false">X429</f>
        <v>3344.38002416705</v>
      </c>
      <c r="Y389" s="1" t="n">
        <f aca="false">Y429</f>
        <v>3408.42367261616</v>
      </c>
      <c r="Z389" s="1" t="n">
        <f aca="false">Z429</f>
        <v>3457.23215739335</v>
      </c>
      <c r="AA389" s="1" t="n">
        <f aca="false">AA429</f>
        <v>3493.34063752662</v>
      </c>
      <c r="AB389" s="1" t="n">
        <f aca="false">AB429</f>
        <v>3519.27529517867</v>
      </c>
      <c r="AC389" s="1" t="n">
        <f aca="false">AC429</f>
        <v>3537.36505806545</v>
      </c>
    </row>
    <row r="390" customFormat="false" ht="14.65" hidden="false" customHeight="false" outlineLevel="0" collapsed="false">
      <c r="A390" s="1" t="s">
        <v>46</v>
      </c>
      <c r="B390" s="1" t="n">
        <f aca="false">B388+B389</f>
        <v>8085.40971313546</v>
      </c>
      <c r="C390" s="1" t="n">
        <f aca="false">C388+C389</f>
        <v>0</v>
      </c>
      <c r="D390" s="1" t="n">
        <f aca="false">D388+D389</f>
        <v>209.786287608519</v>
      </c>
      <c r="E390" s="1" t="n">
        <f aca="false">E388+E389</f>
        <v>329.803249529602</v>
      </c>
      <c r="F390" s="1" t="n">
        <f aca="false">F388+F389</f>
        <v>447.31352820653</v>
      </c>
      <c r="G390" s="1" t="n">
        <f aca="false">G388+G389</f>
        <v>561.831760334376</v>
      </c>
      <c r="H390" s="1" t="n">
        <f aca="false">H388+H389</f>
        <v>695.004576847857</v>
      </c>
      <c r="I390" s="1" t="n">
        <f aca="false">I388+I389</f>
        <v>848.846879040621</v>
      </c>
      <c r="J390" s="1" t="n">
        <f aca="false">J388+J389</f>
        <v>1025.25621328091</v>
      </c>
      <c r="K390" s="1" t="n">
        <f aca="false">K388+K389</f>
        <v>1198.15286062193</v>
      </c>
      <c r="L390" s="1" t="n">
        <f aca="false">L388+L389</f>
        <v>1387.41285427645</v>
      </c>
      <c r="M390" s="1" t="n">
        <f aca="false">M388+M389</f>
        <v>1591.53703024852</v>
      </c>
      <c r="N390" s="1" t="n">
        <f aca="false">N388+N389</f>
        <v>1808.1834097</v>
      </c>
      <c r="O390" s="1" t="n">
        <f aca="false">O388+O389</f>
        <v>2034.20151905874</v>
      </c>
      <c r="P390" s="1" t="n">
        <f aca="false">P388+P389</f>
        <v>2265.7587855878</v>
      </c>
      <c r="Q390" s="1" t="n">
        <f aca="false">Q388+Q389</f>
        <v>2498.55557504164</v>
      </c>
      <c r="R390" s="1" t="n">
        <f aca="false">R388+R389</f>
        <v>2696.36120967946</v>
      </c>
      <c r="S390" s="1" t="n">
        <f aca="false">S388+S389</f>
        <v>2882.06493478867</v>
      </c>
      <c r="T390" s="1" t="n">
        <f aca="false">T388+T389</f>
        <v>3052.09922219334</v>
      </c>
      <c r="U390" s="1" t="n">
        <f aca="false">U388+U389</f>
        <v>3203.85759678796</v>
      </c>
      <c r="V390" s="1" t="n">
        <f aca="false">V388+V389</f>
        <v>3335.84242572275</v>
      </c>
      <c r="W390" s="1" t="n">
        <f aca="false">W388+W389</f>
        <v>3447.68258002067</v>
      </c>
      <c r="X390" s="1" t="n">
        <f aca="false">X388+X389</f>
        <v>3540.02824260316</v>
      </c>
      <c r="Y390" s="1" t="n">
        <f aca="false">Y388+Y389</f>
        <v>3604.07189105227</v>
      </c>
      <c r="Z390" s="1" t="n">
        <f aca="false">Z388+Z389</f>
        <v>3652.88037582946</v>
      </c>
      <c r="AA390" s="1" t="n">
        <f aca="false">AA388+AA389</f>
        <v>3688.98885596273</v>
      </c>
      <c r="AB390" s="1" t="n">
        <f aca="false">AB388+AB389</f>
        <v>3714.92351361478</v>
      </c>
      <c r="AC390" s="1" t="n">
        <f aca="false">AC388+AC389</f>
        <v>3733.01327650156</v>
      </c>
    </row>
    <row r="391" customFormat="false" ht="14.65" hidden="false" customHeight="false" outlineLevel="0" collapsed="false">
      <c r="C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</row>
    <row r="392" customFormat="false" ht="14.65" hidden="false" customHeight="false" outlineLevel="0" collapsed="false">
      <c r="A392" s="1" t="s">
        <v>32</v>
      </c>
      <c r="B392" s="1" t="n">
        <f aca="false">(C367+C365)</f>
        <v>37.1677766150884</v>
      </c>
      <c r="C392" s="0" t="n">
        <f aca="false">B392-B392</f>
        <v>0</v>
      </c>
      <c r="D392" s="1" t="n">
        <f aca="false">B392-B392</f>
        <v>0</v>
      </c>
      <c r="E392" s="0" t="n">
        <f aca="false">B392-((C379*0.25)+(B392*0.75))</f>
        <v>8.86881980032928</v>
      </c>
      <c r="F392" s="0" t="n">
        <f aca="false">$B392-($C379)</f>
        <v>35.4752792013171</v>
      </c>
      <c r="G392" s="0" t="n">
        <f aca="false">$B392-($C379)</f>
        <v>35.4752792013171</v>
      </c>
      <c r="H392" s="0" t="n">
        <f aca="false">$B392-($C379)</f>
        <v>35.4752792013171</v>
      </c>
      <c r="I392" s="0" t="n">
        <f aca="false">$B392-($C379)</f>
        <v>35.4752792013171</v>
      </c>
      <c r="J392" s="0" t="n">
        <f aca="false">$B392-($C379)</f>
        <v>35.4752792013171</v>
      </c>
      <c r="K392" s="0" t="n">
        <f aca="false">$B392-($C379)</f>
        <v>35.4752792013171</v>
      </c>
      <c r="L392" s="0" t="n">
        <f aca="false">$B392-($C379)</f>
        <v>35.4752792013171</v>
      </c>
      <c r="M392" s="0" t="n">
        <f aca="false">$B392-($C379)</f>
        <v>35.4752792013171</v>
      </c>
      <c r="N392" s="0" t="n">
        <f aca="false">$B392-($C379)</f>
        <v>35.4752792013171</v>
      </c>
      <c r="O392" s="0" t="n">
        <f aca="false">$B392-($C379)</f>
        <v>35.4752792013171</v>
      </c>
      <c r="P392" s="0" t="n">
        <f aca="false">$B392-($C379)</f>
        <v>35.4752792013171</v>
      </c>
      <c r="Q392" s="0" t="n">
        <f aca="false">$B392-($C379)</f>
        <v>35.4752792013171</v>
      </c>
      <c r="R392" s="0" t="n">
        <f aca="false">$B392-($C379)</f>
        <v>35.4752792013171</v>
      </c>
      <c r="S392" s="0" t="n">
        <f aca="false">$B392-($C379)</f>
        <v>35.4752792013171</v>
      </c>
      <c r="T392" s="0" t="n">
        <f aca="false">$B392-($C379)</f>
        <v>35.4752792013171</v>
      </c>
      <c r="U392" s="0" t="n">
        <f aca="false">$B392-($C379)</f>
        <v>35.4752792013171</v>
      </c>
      <c r="V392" s="0" t="n">
        <f aca="false">$B392-($C379)</f>
        <v>35.4752792013171</v>
      </c>
      <c r="W392" s="0" t="n">
        <f aca="false">$B392-($C379)</f>
        <v>35.4752792013171</v>
      </c>
      <c r="X392" s="0" t="n">
        <f aca="false">$B392-($C379)</f>
        <v>35.4752792013171</v>
      </c>
      <c r="Y392" s="0" t="n">
        <f aca="false">$B392-($C379)</f>
        <v>35.4752792013171</v>
      </c>
      <c r="Z392" s="0" t="n">
        <f aca="false">$B392-($C379)</f>
        <v>35.4752792013171</v>
      </c>
      <c r="AA392" s="0" t="n">
        <f aca="false">$B392-($C379)</f>
        <v>35.4752792013171</v>
      </c>
      <c r="AB392" s="0" t="n">
        <f aca="false">$B392-($C379)</f>
        <v>35.4752792013171</v>
      </c>
      <c r="AC392" s="0" t="n">
        <f aca="false">$B392-($C379)</f>
        <v>35.4752792013171</v>
      </c>
    </row>
    <row r="393" customFormat="false" ht="14.65" hidden="false" customHeight="false" outlineLevel="0" collapsed="false">
      <c r="A393" s="1" t="s">
        <v>47</v>
      </c>
      <c r="B393" s="1" t="n">
        <f aca="false">B221*0.1</f>
        <v>190.77</v>
      </c>
      <c r="C393" s="1" t="n">
        <v>0</v>
      </c>
      <c r="D393" s="1" t="n">
        <f aca="false">D428/10</f>
        <v>0</v>
      </c>
      <c r="E393" s="1" t="n">
        <f aca="false">E428/10</f>
        <v>1.78683893865325</v>
      </c>
      <c r="F393" s="1" t="n">
        <f aca="false">F428/10</f>
        <v>4.28841345276785</v>
      </c>
      <c r="G393" s="1" t="n">
        <f aca="false">G428/10</f>
        <v>7.79061777252825</v>
      </c>
      <c r="H393" s="1" t="n">
        <f aca="false">H428/10</f>
        <v>12.6937038201928</v>
      </c>
      <c r="I393" s="1" t="n">
        <f aca="false">I428/10</f>
        <v>19.5580242869232</v>
      </c>
      <c r="J393" s="1" t="n">
        <f aca="false">J428/10</f>
        <v>29.1680729403458</v>
      </c>
      <c r="K393" s="1" t="n">
        <f aca="false">K428/10</f>
        <v>41.180633757124</v>
      </c>
      <c r="L393" s="1" t="n">
        <f aca="false">L428/10</f>
        <v>55.4753452663501</v>
      </c>
      <c r="M393" s="1" t="n">
        <f aca="false">M428/10</f>
        <v>69.7700567755763</v>
      </c>
      <c r="N393" s="1" t="n">
        <f aca="false">N428/10</f>
        <v>84.0647682848025</v>
      </c>
      <c r="O393" s="1" t="n">
        <f aca="false">O428/10</f>
        <v>98.3594797940286</v>
      </c>
      <c r="P393" s="1" t="n">
        <f aca="false">P428/10</f>
        <v>112.654191303255</v>
      </c>
      <c r="Q393" s="1" t="n">
        <f aca="false">Q428/10</f>
        <v>126.948902812481</v>
      </c>
      <c r="R393" s="1" t="n">
        <f aca="false">R428/10</f>
        <v>141.243614321707</v>
      </c>
      <c r="S393" s="1" t="n">
        <f aca="false">S428/10</f>
        <v>155.538325830933</v>
      </c>
      <c r="T393" s="1" t="n">
        <f aca="false">T428/10</f>
        <v>169.833037340159</v>
      </c>
      <c r="U393" s="1" t="n">
        <f aca="false">U428/10</f>
        <v>171.536538110714</v>
      </c>
      <c r="V393" s="1" t="n">
        <f aca="false">V428/10</f>
        <v>171.536538110714</v>
      </c>
      <c r="W393" s="1" t="n">
        <f aca="false">W428/10</f>
        <v>171.536538110714</v>
      </c>
      <c r="X393" s="1" t="n">
        <f aca="false">X428/10</f>
        <v>171.536538110714</v>
      </c>
      <c r="Y393" s="1" t="n">
        <f aca="false">Y428/10</f>
        <v>171.536538110714</v>
      </c>
      <c r="Z393" s="1" t="n">
        <f aca="false">Z428/10</f>
        <v>171.536538110714</v>
      </c>
      <c r="AA393" s="1" t="n">
        <f aca="false">AA428/10</f>
        <v>171.536538110714</v>
      </c>
      <c r="AB393" s="1" t="n">
        <f aca="false">AB428/10</f>
        <v>171.536538110714</v>
      </c>
      <c r="AC393" s="1" t="n">
        <f aca="false">AC428/10</f>
        <v>171.536538110714</v>
      </c>
    </row>
    <row r="394" customFormat="false" ht="14.65" hidden="false" customHeight="false" outlineLevel="0" collapsed="false">
      <c r="A394" s="1" t="s">
        <v>48</v>
      </c>
      <c r="B394" s="1" t="n">
        <f aca="false">SUM(B392:B393)</f>
        <v>227.937776615088</v>
      </c>
      <c r="C394" s="1" t="n">
        <f aca="false">SUM(C392:C393)</f>
        <v>0</v>
      </c>
      <c r="D394" s="1" t="n">
        <f aca="false">SUM(D392:D393)</f>
        <v>0</v>
      </c>
      <c r="E394" s="1" t="n">
        <f aca="false">SUM(E392:E393)</f>
        <v>10.6556587389825</v>
      </c>
      <c r="F394" s="1" t="n">
        <f aca="false">SUM(F392:F393)</f>
        <v>39.763692654085</v>
      </c>
      <c r="G394" s="1" t="n">
        <f aca="false">SUM(G392:G393)</f>
        <v>43.2658969738454</v>
      </c>
      <c r="H394" s="1" t="n">
        <f aca="false">SUM(H392:H393)</f>
        <v>48.16898302151</v>
      </c>
      <c r="I394" s="1" t="n">
        <f aca="false">SUM(I392:I393)</f>
        <v>55.0333034882404</v>
      </c>
      <c r="J394" s="1" t="n">
        <f aca="false">SUM(J392:J393)</f>
        <v>64.6433521416629</v>
      </c>
      <c r="K394" s="1" t="n">
        <f aca="false">SUM(K392:K393)</f>
        <v>76.6559129584412</v>
      </c>
      <c r="L394" s="1" t="n">
        <f aca="false">SUM(L392:L393)</f>
        <v>90.9506244676673</v>
      </c>
      <c r="M394" s="1" t="n">
        <f aca="false">SUM(M392:M393)</f>
        <v>105.245335976893</v>
      </c>
      <c r="N394" s="1" t="n">
        <f aca="false">SUM(N392:N393)</f>
        <v>119.54004748612</v>
      </c>
      <c r="O394" s="1" t="n">
        <f aca="false">SUM(O392:O393)</f>
        <v>133.834758995346</v>
      </c>
      <c r="P394" s="1" t="n">
        <f aca="false">SUM(P392:P393)</f>
        <v>148.129470504572</v>
      </c>
      <c r="Q394" s="1" t="n">
        <f aca="false">SUM(Q392:Q393)</f>
        <v>162.424182013798</v>
      </c>
      <c r="R394" s="1" t="n">
        <f aca="false">SUM(R392:R393)</f>
        <v>176.718893523024</v>
      </c>
      <c r="S394" s="1" t="n">
        <f aca="false">SUM(S392:S393)</f>
        <v>191.01360503225</v>
      </c>
      <c r="T394" s="1" t="n">
        <f aca="false">SUM(T392:T393)</f>
        <v>205.308316541477</v>
      </c>
      <c r="U394" s="1" t="n">
        <f aca="false">SUM(U392:U393)</f>
        <v>207.011817312031</v>
      </c>
      <c r="V394" s="1" t="n">
        <f aca="false">SUM(V392:V393)</f>
        <v>207.011817312031</v>
      </c>
      <c r="W394" s="1" t="n">
        <f aca="false">SUM(W392:W393)</f>
        <v>207.011817312031</v>
      </c>
      <c r="X394" s="1" t="n">
        <f aca="false">SUM(X392:X393)</f>
        <v>207.011817312031</v>
      </c>
      <c r="Y394" s="1" t="n">
        <f aca="false">SUM(Y392:Y393)</f>
        <v>207.011817312031</v>
      </c>
      <c r="Z394" s="1" t="n">
        <f aca="false">SUM(Z392:Z393)</f>
        <v>207.011817312031</v>
      </c>
      <c r="AA394" s="1" t="n">
        <f aca="false">SUM(AA392:AA393)</f>
        <v>207.011817312031</v>
      </c>
      <c r="AB394" s="1" t="n">
        <f aca="false">SUM(AB392:AB393)</f>
        <v>207.011817312031</v>
      </c>
      <c r="AC394" s="1" t="n">
        <f aca="false">SUM(AC392:AC393)</f>
        <v>207.011817312031</v>
      </c>
    </row>
    <row r="395" customFormat="false" ht="14.65" hidden="false" customHeight="false" outlineLevel="0" collapsed="false"/>
    <row r="396" customFormat="false" ht="14.65" hidden="false" customHeight="false" outlineLevel="0" collapsed="false">
      <c r="A396" s="1" t="s">
        <v>33</v>
      </c>
      <c r="B396" s="1" t="n">
        <f aca="false">C368+C366+C364</f>
        <v>77.2925799636339</v>
      </c>
      <c r="C396" s="0" t="n">
        <f aca="false">$B396-B396</f>
        <v>0</v>
      </c>
      <c r="D396" s="0" t="n">
        <f aca="false">C396</f>
        <v>0</v>
      </c>
      <c r="E396" s="0" t="n">
        <f aca="false">E425-E392</f>
        <v>18.4119582163372</v>
      </c>
      <c r="F396" s="0" t="n">
        <f aca="false">F425-F392</f>
        <v>73.6478328653489</v>
      </c>
      <c r="G396" s="0" t="n">
        <f aca="false">G425-G392</f>
        <v>73.6478328653489</v>
      </c>
      <c r="H396" s="0" t="n">
        <f aca="false">H425-H392</f>
        <v>73.6478328653489</v>
      </c>
      <c r="I396" s="0" t="n">
        <f aca="false">I425-I392</f>
        <v>73.6478328653489</v>
      </c>
      <c r="J396" s="0" t="n">
        <f aca="false">J425-J392</f>
        <v>73.6478328653489</v>
      </c>
      <c r="K396" s="0" t="n">
        <f aca="false">K425-K392</f>
        <v>73.6478328653489</v>
      </c>
      <c r="L396" s="0" t="n">
        <f aca="false">L425-L392</f>
        <v>73.6478328653489</v>
      </c>
      <c r="M396" s="0" t="n">
        <f aca="false">M425-M392</f>
        <v>73.6478328653489</v>
      </c>
      <c r="N396" s="0" t="n">
        <f aca="false">N425-N392</f>
        <v>73.6478328653489</v>
      </c>
      <c r="O396" s="0" t="n">
        <f aca="false">O425-O392</f>
        <v>73.6478328653489</v>
      </c>
      <c r="P396" s="0" t="n">
        <f aca="false">P425-P392</f>
        <v>73.6478328653489</v>
      </c>
      <c r="Q396" s="0" t="n">
        <f aca="false">Q425-Q392</f>
        <v>73.6478328653489</v>
      </c>
      <c r="R396" s="0" t="n">
        <f aca="false">R425-R392</f>
        <v>73.6478328653489</v>
      </c>
      <c r="S396" s="0" t="n">
        <f aca="false">S425-S392</f>
        <v>73.6478328653489</v>
      </c>
      <c r="T396" s="0" t="n">
        <f aca="false">T425-T392</f>
        <v>73.6478328653489</v>
      </c>
      <c r="U396" s="0" t="n">
        <f aca="false">U425-U392</f>
        <v>73.6478328653489</v>
      </c>
      <c r="V396" s="0" t="n">
        <f aca="false">V425-V392</f>
        <v>73.6478328653489</v>
      </c>
      <c r="W396" s="0" t="n">
        <f aca="false">W425-W392</f>
        <v>73.6478328653489</v>
      </c>
      <c r="X396" s="0" t="n">
        <f aca="false">X425-X392</f>
        <v>73.6478328653489</v>
      </c>
      <c r="Y396" s="0" t="n">
        <f aca="false">Y425-Y392</f>
        <v>73.6478328653489</v>
      </c>
      <c r="Z396" s="0" t="n">
        <f aca="false">Z425-Z392</f>
        <v>73.6478328653489</v>
      </c>
      <c r="AA396" s="0" t="n">
        <f aca="false">AA425-AA392</f>
        <v>73.6478328653489</v>
      </c>
      <c r="AB396" s="0" t="n">
        <f aca="false">AB425-AB392</f>
        <v>73.6478328653489</v>
      </c>
      <c r="AC396" s="0" t="n">
        <f aca="false">AC425-AC392</f>
        <v>73.6478328653489</v>
      </c>
    </row>
    <row r="397" customFormat="false" ht="14.65" hidden="false" customHeight="false" outlineLevel="0" collapsed="false">
      <c r="A397" s="1" t="s">
        <v>49</v>
      </c>
      <c r="B397" s="1" t="n">
        <f aca="false">B221*0.9</f>
        <v>1716.93</v>
      </c>
      <c r="C397" s="0" t="n">
        <f aca="false">$B397-B397</f>
        <v>0</v>
      </c>
      <c r="D397" s="1" t="n">
        <f aca="false">D428-D393</f>
        <v>0</v>
      </c>
      <c r="E397" s="1" t="n">
        <f aca="false">E428-E393</f>
        <v>16.0815504478793</v>
      </c>
      <c r="F397" s="1" t="n">
        <f aca="false">F428-F393</f>
        <v>38.5957210749107</v>
      </c>
      <c r="G397" s="1" t="n">
        <f aca="false">G428-G393</f>
        <v>70.1155599527543</v>
      </c>
      <c r="H397" s="1" t="n">
        <f aca="false">H428-H393</f>
        <v>114.243334381735</v>
      </c>
      <c r="I397" s="1" t="n">
        <f aca="false">I428-I393</f>
        <v>176.022218582309</v>
      </c>
      <c r="J397" s="1" t="n">
        <f aca="false">J428-J393</f>
        <v>262.512656463112</v>
      </c>
      <c r="K397" s="1" t="n">
        <f aca="false">K428-K393</f>
        <v>370.625703814116</v>
      </c>
      <c r="L397" s="1" t="n">
        <f aca="false">L428-L393</f>
        <v>499.278107397151</v>
      </c>
      <c r="M397" s="1" t="n">
        <f aca="false">M428-M393</f>
        <v>627.930510980187</v>
      </c>
      <c r="N397" s="1" t="n">
        <f aca="false">N428-N393</f>
        <v>756.582914563222</v>
      </c>
      <c r="O397" s="1" t="n">
        <f aca="false">O428-O393</f>
        <v>885.235318146258</v>
      </c>
      <c r="P397" s="1" t="n">
        <f aca="false">P428-P393</f>
        <v>1013.88772172929</v>
      </c>
      <c r="Q397" s="1" t="n">
        <f aca="false">Q428-Q393</f>
        <v>1142.54012531233</v>
      </c>
      <c r="R397" s="1" t="n">
        <f aca="false">R428-R393</f>
        <v>1271.19252889536</v>
      </c>
      <c r="S397" s="1" t="n">
        <f aca="false">S428-S393</f>
        <v>1399.8449324784</v>
      </c>
      <c r="T397" s="1" t="n">
        <f aca="false">T428-T393</f>
        <v>1528.49733606144</v>
      </c>
      <c r="U397" s="1" t="n">
        <f aca="false">U428-U393</f>
        <v>1543.82884299643</v>
      </c>
      <c r="V397" s="1" t="n">
        <f aca="false">V428-V393</f>
        <v>1543.82884299643</v>
      </c>
      <c r="W397" s="1" t="n">
        <f aca="false">W428-W393</f>
        <v>1543.82884299643</v>
      </c>
      <c r="X397" s="1" t="n">
        <f aca="false">X428-X393</f>
        <v>1543.82884299643</v>
      </c>
      <c r="Y397" s="1" t="n">
        <f aca="false">Y428-Y393</f>
        <v>1543.82884299643</v>
      </c>
      <c r="Z397" s="1" t="n">
        <f aca="false">Z428-Z393</f>
        <v>1543.82884299643</v>
      </c>
      <c r="AA397" s="1" t="n">
        <f aca="false">AA428-AA393</f>
        <v>1543.82884299643</v>
      </c>
      <c r="AB397" s="1" t="n">
        <f aca="false">AB428-AB393</f>
        <v>1543.82884299643</v>
      </c>
      <c r="AC397" s="1" t="n">
        <f aca="false">AC428-AC393</f>
        <v>1543.82884299643</v>
      </c>
    </row>
    <row r="398" customFormat="false" ht="14.65" hidden="false" customHeight="false" outlineLevel="0" collapsed="false">
      <c r="A398" s="1" t="s">
        <v>50</v>
      </c>
      <c r="B398" s="1" t="n">
        <f aca="false">SUM(B396:B397)</f>
        <v>1794.22257996363</v>
      </c>
      <c r="C398" s="1" t="n">
        <f aca="false">SUM(C396:C397)</f>
        <v>0</v>
      </c>
      <c r="D398" s="1" t="n">
        <f aca="false">SUM(D396:D397)</f>
        <v>0</v>
      </c>
      <c r="E398" s="1" t="n">
        <f aca="false">SUM(E396:E397)</f>
        <v>34.4935086642165</v>
      </c>
      <c r="F398" s="1" t="n">
        <f aca="false">SUM(F396:F397)</f>
        <v>112.24355394026</v>
      </c>
      <c r="G398" s="1" t="n">
        <f aca="false">SUM(G396:G397)</f>
        <v>143.763392818103</v>
      </c>
      <c r="H398" s="1" t="n">
        <f aca="false">SUM(H396:H397)</f>
        <v>187.891167247084</v>
      </c>
      <c r="I398" s="1" t="n">
        <f aca="false">SUM(I396:I397)</f>
        <v>249.670051447658</v>
      </c>
      <c r="J398" s="1" t="n">
        <f aca="false">SUM(J396:J397)</f>
        <v>336.160489328461</v>
      </c>
      <c r="K398" s="1" t="n">
        <f aca="false">SUM(K396:K397)</f>
        <v>444.273536679465</v>
      </c>
      <c r="L398" s="1" t="n">
        <f aca="false">SUM(L396:L397)</f>
        <v>572.9259402625</v>
      </c>
      <c r="M398" s="1" t="n">
        <f aca="false">SUM(M396:M397)</f>
        <v>701.578343845536</v>
      </c>
      <c r="N398" s="1" t="n">
        <f aca="false">SUM(N396:N397)</f>
        <v>830.230747428571</v>
      </c>
      <c r="O398" s="1" t="n">
        <f aca="false">SUM(O396:O397)</f>
        <v>958.883151011607</v>
      </c>
      <c r="P398" s="1" t="n">
        <f aca="false">SUM(P396:P397)</f>
        <v>1087.53555459464</v>
      </c>
      <c r="Q398" s="1" t="n">
        <f aca="false">SUM(Q396:Q397)</f>
        <v>1216.18795817768</v>
      </c>
      <c r="R398" s="1" t="n">
        <f aca="false">SUM(R396:R397)</f>
        <v>1344.84036176071</v>
      </c>
      <c r="S398" s="1" t="n">
        <f aca="false">SUM(S396:S397)</f>
        <v>1473.49276534375</v>
      </c>
      <c r="T398" s="1" t="n">
        <f aca="false">SUM(T396:T397)</f>
        <v>1602.14516892678</v>
      </c>
      <c r="U398" s="1" t="n">
        <f aca="false">SUM(U396:U397)</f>
        <v>1617.47667586177</v>
      </c>
      <c r="V398" s="1" t="n">
        <f aca="false">SUM(V396:V397)</f>
        <v>1617.47667586177</v>
      </c>
      <c r="W398" s="1" t="n">
        <f aca="false">SUM(W396:W397)</f>
        <v>1617.47667586177</v>
      </c>
      <c r="X398" s="1" t="n">
        <f aca="false">SUM(X396:X397)</f>
        <v>1617.47667586177</v>
      </c>
      <c r="Y398" s="1" t="n">
        <f aca="false">SUM(Y396:Y397)</f>
        <v>1617.47667586177</v>
      </c>
      <c r="Z398" s="1" t="n">
        <f aca="false">SUM(Z396:Z397)</f>
        <v>1617.47667586177</v>
      </c>
      <c r="AA398" s="1" t="n">
        <f aca="false">SUM(AA396:AA397)</f>
        <v>1617.47667586177</v>
      </c>
      <c r="AB398" s="1" t="n">
        <f aca="false">SUM(AB396:AB397)</f>
        <v>1617.47667586177</v>
      </c>
      <c r="AC398" s="1" t="n">
        <f aca="false">SUM(AC396:AC397)</f>
        <v>1617.47667586177</v>
      </c>
    </row>
    <row r="399" customFormat="false" ht="14.65" hidden="false" customHeight="false" outlineLevel="0" collapsed="false"/>
    <row r="400" customFormat="false" ht="14.65" hidden="false" customHeight="false" outlineLevel="0" collapsed="false">
      <c r="A400" s="1" t="s">
        <v>51</v>
      </c>
      <c r="B400" s="1" t="n">
        <f aca="false">B390+B394+B398</f>
        <v>10107.5700697142</v>
      </c>
      <c r="C400" s="1" t="n">
        <f aca="false">C390+C394+C398</f>
        <v>0</v>
      </c>
      <c r="D400" s="1" t="n">
        <f aca="false">D390+D394+D398</f>
        <v>209.786287608519</v>
      </c>
      <c r="E400" s="1" t="n">
        <f aca="false">E390+E394+E398</f>
        <v>374.952416932801</v>
      </c>
      <c r="F400" s="1" t="n">
        <f aca="false">F390+F394+F398</f>
        <v>599.320774800874</v>
      </c>
      <c r="G400" s="1" t="n">
        <f aca="false">G390+G394+G398</f>
        <v>748.861050126324</v>
      </c>
      <c r="H400" s="1" t="n">
        <f aca="false">H390+H394+H398</f>
        <v>931.064727116451</v>
      </c>
      <c r="I400" s="1" t="n">
        <f aca="false">I390+I394+I398</f>
        <v>1153.55023397652</v>
      </c>
      <c r="J400" s="1" t="n">
        <f aca="false">J390+J394+J398</f>
        <v>1426.06005475103</v>
      </c>
      <c r="K400" s="1" t="n">
        <f aca="false">K390+K394+K398</f>
        <v>1719.08231025984</v>
      </c>
      <c r="L400" s="1" t="n">
        <f aca="false">L390+L394+L398</f>
        <v>2051.28941900662</v>
      </c>
      <c r="M400" s="1" t="n">
        <f aca="false">M390+M394+M398</f>
        <v>2398.36071007095</v>
      </c>
      <c r="N400" s="1" t="n">
        <f aca="false">N390+N394+N398</f>
        <v>2757.95420461469</v>
      </c>
      <c r="O400" s="1" t="n">
        <f aca="false">O390+O394+O398</f>
        <v>3126.91942906569</v>
      </c>
      <c r="P400" s="1" t="n">
        <f aca="false">P390+P394+P398</f>
        <v>3501.42381068701</v>
      </c>
      <c r="Q400" s="1" t="n">
        <f aca="false">Q390+Q394+Q398</f>
        <v>3877.16771523311</v>
      </c>
      <c r="R400" s="1" t="n">
        <f aca="false">R390+R394+R398</f>
        <v>4217.9204649632</v>
      </c>
      <c r="S400" s="1" t="n">
        <f aca="false">S390+S394+S398</f>
        <v>4546.57130516467</v>
      </c>
      <c r="T400" s="1" t="n">
        <f aca="false">T390+T394+T398</f>
        <v>4859.5527076616</v>
      </c>
      <c r="U400" s="1" t="n">
        <f aca="false">U390+U394+U398</f>
        <v>5028.34608996176</v>
      </c>
      <c r="V400" s="1" t="n">
        <f aca="false">V390+V394+V398</f>
        <v>5160.33091889656</v>
      </c>
      <c r="W400" s="1" t="n">
        <f aca="false">W390+W394+W398</f>
        <v>5272.17107319448</v>
      </c>
      <c r="X400" s="1" t="n">
        <f aca="false">X390+X394+X398</f>
        <v>5364.51673577696</v>
      </c>
      <c r="Y400" s="1" t="n">
        <f aca="false">Y390+Y394+Y398</f>
        <v>5428.56038422607</v>
      </c>
      <c r="Z400" s="1" t="n">
        <f aca="false">Z390+Z394+Z398</f>
        <v>5477.36886900327</v>
      </c>
      <c r="AA400" s="1" t="n">
        <f aca="false">AA390+AA394+AA398</f>
        <v>5513.47734913653</v>
      </c>
      <c r="AB400" s="1" t="n">
        <f aca="false">AB390+AB394+AB398</f>
        <v>5539.41200678859</v>
      </c>
      <c r="AC400" s="1" t="n">
        <f aca="false">AC390+AC394+AC398</f>
        <v>5557.50176967536</v>
      </c>
    </row>
    <row r="402" customFormat="false" ht="14.65" hidden="false" customHeight="false" outlineLevel="0" collapsed="false">
      <c r="A402" s="1" t="s">
        <v>271</v>
      </c>
      <c r="B402" s="1" t="s">
        <v>357</v>
      </c>
      <c r="D402" s="1" t="n">
        <f aca="false">(D397+D393)-D428</f>
        <v>0</v>
      </c>
      <c r="E402" s="1" t="n">
        <f aca="false">(E397+E393)-E428</f>
        <v>0</v>
      </c>
      <c r="F402" s="1" t="n">
        <f aca="false">(F397+F393)-F428</f>
        <v>0</v>
      </c>
      <c r="G402" s="1" t="n">
        <f aca="false">(G397+G393)-G428</f>
        <v>0</v>
      </c>
      <c r="H402" s="1" t="n">
        <f aca="false">(H397+H393)-H428</f>
        <v>0</v>
      </c>
      <c r="I402" s="1" t="n">
        <f aca="false">(I397+I393)-I428</f>
        <v>0</v>
      </c>
      <c r="J402" s="1" t="n">
        <f aca="false">(J397+J393)-J428</f>
        <v>0</v>
      </c>
      <c r="K402" s="1" t="n">
        <f aca="false">(K397+K393)-K428</f>
        <v>0</v>
      </c>
      <c r="L402" s="1" t="n">
        <f aca="false">(L397+L393)-L428</f>
        <v>0</v>
      </c>
      <c r="M402" s="1" t="n">
        <f aca="false">(M397+M393)-M428</f>
        <v>0</v>
      </c>
      <c r="N402" s="1" t="n">
        <f aca="false">(N397+N393)-N428</f>
        <v>0</v>
      </c>
      <c r="O402" s="1" t="n">
        <f aca="false">(O397+O393)-O428</f>
        <v>0</v>
      </c>
      <c r="P402" s="1" t="n">
        <f aca="false">(P397+P393)-P428</f>
        <v>0</v>
      </c>
      <c r="Q402" s="1" t="n">
        <f aca="false">(Q397+Q393)-Q428</f>
        <v>0</v>
      </c>
      <c r="R402" s="1" t="n">
        <f aca="false">(R397+R393)-R428</f>
        <v>0</v>
      </c>
      <c r="S402" s="1" t="n">
        <f aca="false">(S397+S393)-S428</f>
        <v>0</v>
      </c>
      <c r="T402" s="1" t="n">
        <f aca="false">(T397+T393)-T428</f>
        <v>0</v>
      </c>
      <c r="U402" s="1" t="n">
        <f aca="false">(U397+U393)-U428</f>
        <v>0</v>
      </c>
      <c r="V402" s="1" t="n">
        <f aca="false">(V397+V393)-V428</f>
        <v>0</v>
      </c>
      <c r="W402" s="1" t="n">
        <f aca="false">(W397+W393)-W428</f>
        <v>0</v>
      </c>
      <c r="X402" s="1" t="n">
        <f aca="false">(X397+X393)-X428</f>
        <v>0</v>
      </c>
      <c r="Y402" s="1" t="n">
        <f aca="false">(Y397+Y393)-Y428</f>
        <v>0</v>
      </c>
      <c r="Z402" s="1" t="n">
        <f aca="false">(Z397+Z393)-Z428</f>
        <v>0</v>
      </c>
      <c r="AA402" s="1" t="n">
        <f aca="false">(AA397+AA393)-AA428</f>
        <v>0</v>
      </c>
      <c r="AB402" s="1" t="n">
        <f aca="false">(AB397+AB393)-AB428</f>
        <v>0</v>
      </c>
      <c r="AC402" s="1" t="n">
        <f aca="false">(AC397+AC393)-AC428</f>
        <v>0</v>
      </c>
    </row>
    <row r="403" customFormat="false" ht="14.65" hidden="false" customHeight="false" outlineLevel="0" collapsed="false">
      <c r="B403" s="1" t="s">
        <v>358</v>
      </c>
      <c r="D403" s="1" t="n">
        <f aca="false">D392+D396</f>
        <v>0</v>
      </c>
      <c r="E403" s="1" t="n">
        <f aca="false">(E392+E396)-E425</f>
        <v>0</v>
      </c>
      <c r="F403" s="1" t="n">
        <f aca="false">(F392+F396)-F425</f>
        <v>0</v>
      </c>
      <c r="G403" s="1" t="n">
        <f aca="false">(G392+G396)-G425</f>
        <v>0</v>
      </c>
      <c r="H403" s="1" t="n">
        <f aca="false">(H392+H396)-H425</f>
        <v>0</v>
      </c>
      <c r="I403" s="1" t="n">
        <f aca="false">(I392+I396)-I425</f>
        <v>0</v>
      </c>
      <c r="J403" s="1" t="n">
        <f aca="false">(J392+J396)-J425</f>
        <v>0</v>
      </c>
      <c r="K403" s="1" t="n">
        <f aca="false">(K392+K396)-K425</f>
        <v>0</v>
      </c>
      <c r="L403" s="1" t="n">
        <f aca="false">(L392+L396)-L425</f>
        <v>0</v>
      </c>
      <c r="M403" s="1" t="n">
        <f aca="false">(M392+M396)-M425</f>
        <v>0</v>
      </c>
      <c r="N403" s="1" t="n">
        <f aca="false">(N392+N396)-N425</f>
        <v>0</v>
      </c>
      <c r="O403" s="1" t="n">
        <f aca="false">(O392+O396)-O425</f>
        <v>0</v>
      </c>
      <c r="P403" s="1" t="n">
        <f aca="false">(P392+P396)-P425</f>
        <v>0</v>
      </c>
      <c r="Q403" s="1" t="n">
        <f aca="false">(Q392+Q396)-Q425</f>
        <v>0</v>
      </c>
      <c r="R403" s="1" t="n">
        <f aca="false">(R392+R396)-R425</f>
        <v>0</v>
      </c>
      <c r="S403" s="1" t="n">
        <f aca="false">(S392+S396)-S425</f>
        <v>0</v>
      </c>
      <c r="T403" s="1" t="n">
        <f aca="false">(T392+T396)-T425</f>
        <v>0</v>
      </c>
      <c r="U403" s="1" t="n">
        <f aca="false">(U392+U396)-U425</f>
        <v>0</v>
      </c>
      <c r="V403" s="1" t="n">
        <f aca="false">(V392+V396)-V425</f>
        <v>0</v>
      </c>
      <c r="W403" s="1" t="n">
        <f aca="false">(W392+W396)-W425</f>
        <v>0</v>
      </c>
      <c r="X403" s="1" t="n">
        <f aca="false">(X392+X396)-X425</f>
        <v>0</v>
      </c>
      <c r="Y403" s="1" t="n">
        <f aca="false">(Y392+Y396)-Y425</f>
        <v>0</v>
      </c>
      <c r="Z403" s="1" t="n">
        <f aca="false">(Z392+Z396)-Z425</f>
        <v>0</v>
      </c>
      <c r="AA403" s="1" t="n">
        <f aca="false">(AA392+AA396)-AA425</f>
        <v>0</v>
      </c>
      <c r="AB403" s="1" t="n">
        <f aca="false">(AB392+AB396)-AB425</f>
        <v>0</v>
      </c>
      <c r="AC403" s="1" t="n">
        <f aca="false">(AC392+AC396)-AC425</f>
        <v>0</v>
      </c>
    </row>
    <row r="404" customFormat="false" ht="14.65" hidden="false" customHeight="false" outlineLevel="0" collapsed="false">
      <c r="B404" s="1" t="s">
        <v>359</v>
      </c>
      <c r="D404" s="1" t="n">
        <f aca="false">(D388-(D424+D426))</f>
        <v>0</v>
      </c>
      <c r="E404" s="1" t="n">
        <f aca="false">(E388-(E424+E426))</f>
        <v>0</v>
      </c>
      <c r="F404" s="1" t="n">
        <f aca="false">(F388-(F424+F426))</f>
        <v>0</v>
      </c>
      <c r="G404" s="1" t="n">
        <f aca="false">(G388-(G424+G426))</f>
        <v>0</v>
      </c>
      <c r="H404" s="1" t="n">
        <f aca="false">(H388-(H424+H426))</f>
        <v>0</v>
      </c>
      <c r="I404" s="1" t="n">
        <f aca="false">(I388-(I424+I426))</f>
        <v>0</v>
      </c>
      <c r="J404" s="1" t="n">
        <f aca="false">(J388-(J424+J426))</f>
        <v>0</v>
      </c>
      <c r="K404" s="1" t="n">
        <f aca="false">(K388-(K424+K426))</f>
        <v>0</v>
      </c>
      <c r="L404" s="1" t="n">
        <f aca="false">(L388-(L424+L426))</f>
        <v>0</v>
      </c>
      <c r="M404" s="1" t="n">
        <f aca="false">(M388-(M424+M426))</f>
        <v>0</v>
      </c>
      <c r="N404" s="1" t="n">
        <f aca="false">(N388-(N424+N426))</f>
        <v>0</v>
      </c>
      <c r="O404" s="1" t="n">
        <f aca="false">(O388-(O424+O426))</f>
        <v>0</v>
      </c>
      <c r="P404" s="1" t="n">
        <f aca="false">(P388-(P424+P426))</f>
        <v>0</v>
      </c>
      <c r="Q404" s="1" t="n">
        <f aca="false">(Q388-(Q424+Q426))</f>
        <v>0</v>
      </c>
      <c r="R404" s="1" t="n">
        <f aca="false">(R388-(R424+R426))</f>
        <v>0</v>
      </c>
      <c r="S404" s="1" t="n">
        <f aca="false">(S388-(S424+S426))</f>
        <v>0</v>
      </c>
      <c r="T404" s="1" t="n">
        <f aca="false">(T388-(T424+T426))</f>
        <v>0</v>
      </c>
      <c r="U404" s="1" t="n">
        <f aca="false">(U388-(U424+U426))</f>
        <v>0</v>
      </c>
      <c r="V404" s="1" t="n">
        <f aca="false">(V388-(V424+V426))</f>
        <v>0</v>
      </c>
      <c r="W404" s="1" t="n">
        <f aca="false">(W388-(W424+W426))</f>
        <v>0</v>
      </c>
      <c r="X404" s="1" t="n">
        <f aca="false">(X388-(X424+X426))</f>
        <v>0</v>
      </c>
      <c r="Y404" s="1" t="n">
        <f aca="false">(Y388-(Y424+Y426))</f>
        <v>0</v>
      </c>
      <c r="Z404" s="1" t="n">
        <f aca="false">(Z388-(Z424+Z426))</f>
        <v>0</v>
      </c>
      <c r="AA404" s="1" t="n">
        <f aca="false">(AA388-(AA424+AA426))</f>
        <v>0</v>
      </c>
      <c r="AB404" s="1" t="n">
        <f aca="false">(AB388-(AB424+AB426))</f>
        <v>0</v>
      </c>
      <c r="AC404" s="1" t="n">
        <f aca="false">(AC388-(AC424+AC426))</f>
        <v>0</v>
      </c>
    </row>
    <row r="405" customFormat="false" ht="14.65" hidden="false" customHeight="false" outlineLevel="0" collapsed="false">
      <c r="B405" s="1" t="s">
        <v>360</v>
      </c>
      <c r="D405" s="1" t="n">
        <f aca="false">D389-D429</f>
        <v>0</v>
      </c>
      <c r="E405" s="1" t="n">
        <f aca="false">E389-E429</f>
        <v>0</v>
      </c>
      <c r="F405" s="1" t="n">
        <f aca="false">F389-F429</f>
        <v>0</v>
      </c>
      <c r="G405" s="1" t="n">
        <f aca="false">G389-G429</f>
        <v>0</v>
      </c>
      <c r="H405" s="1" t="n">
        <f aca="false">H389-H429</f>
        <v>0</v>
      </c>
      <c r="I405" s="1" t="n">
        <f aca="false">I389-I429</f>
        <v>0</v>
      </c>
      <c r="J405" s="1" t="n">
        <f aca="false">J389-J429</f>
        <v>0</v>
      </c>
      <c r="K405" s="1" t="n">
        <f aca="false">K389-K429</f>
        <v>0</v>
      </c>
      <c r="L405" s="1" t="n">
        <f aca="false">L389-L429</f>
        <v>0</v>
      </c>
      <c r="M405" s="1" t="n">
        <f aca="false">M389-M429</f>
        <v>0</v>
      </c>
      <c r="N405" s="1" t="n">
        <f aca="false">N389-N429</f>
        <v>0</v>
      </c>
      <c r="O405" s="1" t="n">
        <f aca="false">O389-O429</f>
        <v>0</v>
      </c>
      <c r="P405" s="1" t="n">
        <f aca="false">P389-P429</f>
        <v>0</v>
      </c>
      <c r="Q405" s="1" t="n">
        <f aca="false">Q389-Q429</f>
        <v>0</v>
      </c>
      <c r="R405" s="1" t="n">
        <f aca="false">R389-R429</f>
        <v>0</v>
      </c>
      <c r="S405" s="1" t="n">
        <f aca="false">S389-S429</f>
        <v>0</v>
      </c>
      <c r="T405" s="1" t="n">
        <f aca="false">T389-T429</f>
        <v>0</v>
      </c>
      <c r="U405" s="1" t="n">
        <f aca="false">U389-U429</f>
        <v>0</v>
      </c>
      <c r="V405" s="1" t="n">
        <f aca="false">V389-V429</f>
        <v>0</v>
      </c>
      <c r="W405" s="1" t="n">
        <f aca="false">W389-W429</f>
        <v>0</v>
      </c>
      <c r="X405" s="1" t="n">
        <f aca="false">X389-X429</f>
        <v>0</v>
      </c>
      <c r="Y405" s="1" t="n">
        <f aca="false">Y389-Y429</f>
        <v>0</v>
      </c>
      <c r="Z405" s="1" t="n">
        <f aca="false">Z389-Z429</f>
        <v>0</v>
      </c>
      <c r="AA405" s="1" t="n">
        <f aca="false">AA389-AA429</f>
        <v>0</v>
      </c>
      <c r="AB405" s="1" t="n">
        <f aca="false">AB389-AB429</f>
        <v>0</v>
      </c>
      <c r="AC405" s="1" t="n">
        <f aca="false">AC389-AC429</f>
        <v>0</v>
      </c>
    </row>
    <row r="406" customFormat="false" ht="14.65" hidden="false" customHeight="false" outlineLevel="0" collapsed="false"/>
    <row r="407" customFormat="false" ht="14.65" hidden="false" customHeight="false" outlineLevel="0" collapsed="false"/>
    <row r="409" customFormat="false" ht="15.8" hidden="false" customHeight="false" outlineLevel="0" collapsed="false">
      <c r="B409" s="1" t="s">
        <v>24</v>
      </c>
      <c r="C409" s="1" t="s">
        <v>25</v>
      </c>
      <c r="D409" s="1" t="s">
        <v>26</v>
      </c>
      <c r="E409" s="0" t="s">
        <v>27</v>
      </c>
      <c r="F409" s="1" t="s">
        <v>28</v>
      </c>
      <c r="G409" s="1" t="s">
        <v>29</v>
      </c>
      <c r="H409" s="1" t="s">
        <v>30</v>
      </c>
    </row>
    <row r="410" customFormat="false" ht="15.8" hidden="false" customHeight="false" outlineLevel="0" collapsed="false">
      <c r="A410" s="1" t="s">
        <v>31</v>
      </c>
      <c r="B410" s="12" t="n">
        <f aca="false">SUM(D390:I390)</f>
        <v>3092.5862815675</v>
      </c>
      <c r="C410" s="12" t="n">
        <f aca="false">SUM(D390:N390)</f>
        <v>10103.1286496953</v>
      </c>
      <c r="D410" s="7" t="n">
        <f aca="false">SUM(C390:AD390)</f>
        <v>57453.4586541403</v>
      </c>
      <c r="E410" s="13" t="n">
        <f aca="false">Budget_old!H107+Budget_old!H106+Budget_old!H108+Budget_old!H116+Budget_old!H117</f>
        <v>1012225.76956254</v>
      </c>
      <c r="F410" s="2" t="n">
        <f aca="false">E410/B410</f>
        <v>327.307204198516</v>
      </c>
      <c r="G410" s="2" t="n">
        <f aca="false">E410/C410</f>
        <v>100.189337843686</v>
      </c>
      <c r="H410" s="2" t="n">
        <f aca="false">E410/D410</f>
        <v>17.6181868467826</v>
      </c>
    </row>
    <row r="411" customFormat="false" ht="15.8" hidden="false" customHeight="false" outlineLevel="0" collapsed="false">
      <c r="A411" s="1" t="s">
        <v>32</v>
      </c>
      <c r="B411" s="12" t="n">
        <f aca="false">SUM(D394:I394)</f>
        <v>196.887534876663</v>
      </c>
      <c r="C411" s="12" t="n">
        <f aca="false">SUM(D394:N394)</f>
        <v>653.922807907448</v>
      </c>
      <c r="D411" s="7" t="n">
        <f aca="false">SUM(C394:AD394)</f>
        <v>3534.45839032619</v>
      </c>
      <c r="E411" s="13" t="n">
        <f aca="false">'Budget Calculations'!H104+'Cost Efficency'!G14+'Cost Efficency'!D14+(('Budget Calculations'!H109+'Budget Calculations'!H124)*0.5)</f>
        <v>2272196.12809553</v>
      </c>
      <c r="F411" s="2" t="n">
        <f aca="false">E411/B411</f>
        <v>11540.5788869209</v>
      </c>
      <c r="G411" s="2" t="n">
        <f aca="false">E411/C411</f>
        <v>3474.71612951772</v>
      </c>
      <c r="H411" s="2" t="n">
        <f aca="false">E411/D411</f>
        <v>642.869678226945</v>
      </c>
    </row>
    <row r="412" customFormat="false" ht="15.8" hidden="false" customHeight="false" outlineLevel="0" collapsed="false">
      <c r="A412" s="1" t="s">
        <v>33</v>
      </c>
      <c r="B412" s="12" t="n">
        <f aca="false">SUM(D398:I398)</f>
        <v>728.061674117321</v>
      </c>
      <c r="C412" s="12" t="n">
        <f aca="false">SUM(D398:N398)</f>
        <v>3613.23073166185</v>
      </c>
      <c r="D412" s="7" t="n">
        <f aca="false">SUM(C398:AD398)</f>
        <v>25853.605774233</v>
      </c>
      <c r="E412" s="13" t="n">
        <f aca="false">'Budget Calculations'!H127-(E411+E410)</f>
        <v>11073265.1711858</v>
      </c>
      <c r="F412" s="2" t="n">
        <f aca="false">E412/B412</f>
        <v>15209.2405971111</v>
      </c>
      <c r="G412" s="2" t="n">
        <f aca="false">E412/C412</f>
        <v>3064.64380316306</v>
      </c>
      <c r="H412" s="2" t="n">
        <f aca="false">E412/D412</f>
        <v>428.306413731349</v>
      </c>
    </row>
    <row r="413" customFormat="false" ht="15.8" hidden="false" customHeight="false" outlineLevel="0" collapsed="false">
      <c r="A413" s="1" t="s">
        <v>20</v>
      </c>
      <c r="B413" s="12" t="n">
        <f aca="false">SUM(B410:B412)</f>
        <v>4017.53549056149</v>
      </c>
      <c r="C413" s="12" t="n">
        <f aca="false">SUM(C410:C412)</f>
        <v>14370.2821892646</v>
      </c>
      <c r="D413" s="7" t="n">
        <f aca="false">SUM(D410:D412)</f>
        <v>86841.5228186995</v>
      </c>
      <c r="E413" s="152" t="n">
        <f aca="false">SUM(E410:E412)</f>
        <v>14357687.0688439</v>
      </c>
      <c r="F413" s="2" t="n">
        <f aca="false">E413/B413</f>
        <v>3573.75488096492</v>
      </c>
      <c r="G413" s="2" t="n">
        <f aca="false">E413/C413</f>
        <v>999.123530056346</v>
      </c>
      <c r="H413" s="2" t="n">
        <f aca="false">E413/D413</f>
        <v>165.332050876384</v>
      </c>
    </row>
    <row r="414" customFormat="false" ht="15.8" hidden="false" customHeight="false" outlineLevel="0" collapsed="false">
      <c r="B414" s="0"/>
      <c r="C414" s="1"/>
    </row>
    <row r="415" customFormat="false" ht="15.8" hidden="false" customHeight="false" outlineLevel="0" collapsed="false">
      <c r="A415" s="1" t="s">
        <v>271</v>
      </c>
      <c r="B415" s="0"/>
      <c r="C415" s="1" t="n">
        <f aca="false">D471-D413</f>
        <v>0</v>
      </c>
    </row>
    <row r="416" customFormat="false" ht="15.8" hidden="false" customHeight="false" outlineLevel="0" collapsed="false">
      <c r="B416" s="0"/>
      <c r="C416" s="1" t="n">
        <f aca="false">F417-D459</f>
        <v>0</v>
      </c>
      <c r="E416" s="0" t="s">
        <v>361</v>
      </c>
      <c r="F416" s="0" t="n">
        <f aca="false">SUM(D392:AC392)+SUM(D396:AC396)</f>
        <v>2646.23546761665</v>
      </c>
    </row>
    <row r="417" customFormat="false" ht="12.8" hidden="false" customHeight="false" outlineLevel="0" collapsed="false">
      <c r="E417" s="0" t="s">
        <v>362</v>
      </c>
      <c r="F417" s="137" t="n">
        <f aca="false">SUM(D393:AC393)+SUM(D397:AC397)</f>
        <v>26741.8286969425</v>
      </c>
    </row>
    <row r="422" customFormat="false" ht="12.8" hidden="false" customHeight="false" outlineLevel="0" collapsed="false">
      <c r="A422" s="1" t="s">
        <v>363</v>
      </c>
    </row>
    <row r="423" s="12" customFormat="true" ht="14.65" hidden="false" customHeight="false" outlineLevel="0" collapsed="false">
      <c r="A423" s="7" t="s">
        <v>35</v>
      </c>
      <c r="B423" s="7" t="s">
        <v>36</v>
      </c>
      <c r="C423" s="7" t="n">
        <v>2024</v>
      </c>
      <c r="D423" s="7" t="n">
        <v>2025</v>
      </c>
      <c r="E423" s="7" t="n">
        <v>2026</v>
      </c>
      <c r="F423" s="7" t="n">
        <v>2027</v>
      </c>
      <c r="G423" s="7" t="n">
        <v>2028</v>
      </c>
      <c r="H423" s="7" t="n">
        <v>2029</v>
      </c>
      <c r="I423" s="7" t="n">
        <v>2030</v>
      </c>
      <c r="J423" s="7" t="n">
        <v>2031</v>
      </c>
      <c r="K423" s="7" t="n">
        <v>2032</v>
      </c>
      <c r="L423" s="7" t="n">
        <v>2033</v>
      </c>
      <c r="M423" s="7" t="n">
        <v>2034</v>
      </c>
      <c r="N423" s="7" t="n">
        <v>2035</v>
      </c>
      <c r="O423" s="7" t="n">
        <v>2036</v>
      </c>
      <c r="P423" s="7" t="n">
        <v>2037</v>
      </c>
      <c r="Q423" s="7" t="n">
        <v>2038</v>
      </c>
      <c r="R423" s="7" t="n">
        <v>2039</v>
      </c>
      <c r="S423" s="7" t="n">
        <v>2040</v>
      </c>
      <c r="T423" s="7" t="n">
        <v>2041</v>
      </c>
      <c r="U423" s="7" t="n">
        <v>2042</v>
      </c>
      <c r="V423" s="7" t="n">
        <v>2043</v>
      </c>
      <c r="W423" s="7" t="n">
        <v>2044</v>
      </c>
      <c r="X423" s="7" t="n">
        <v>2045</v>
      </c>
      <c r="Y423" s="7" t="n">
        <v>2046</v>
      </c>
      <c r="Z423" s="7" t="n">
        <v>2047</v>
      </c>
      <c r="AA423" s="7" t="n">
        <v>2048</v>
      </c>
      <c r="AB423" s="7" t="n">
        <v>2049</v>
      </c>
      <c r="AC423" s="7" t="n">
        <v>2050</v>
      </c>
    </row>
    <row r="424" s="12" customFormat="true" ht="15.8" hidden="false" customHeight="false" outlineLevel="0" collapsed="false">
      <c r="A424" s="7" t="s">
        <v>37</v>
      </c>
      <c r="B424" s="7" t="n">
        <f aca="false">($B$30*$B$28)+($B$40*$B$44)</f>
        <v>66.585808657411</v>
      </c>
      <c r="C424" s="7" t="n">
        <v>0</v>
      </c>
      <c r="D424" s="7" t="n">
        <f aca="false">$B$424-(($B$30*$B$34)+($B$46*$B$50))</f>
        <v>41.1310947851035</v>
      </c>
      <c r="E424" s="7" t="n">
        <f aca="false">$B$424-(((($B$30*$B$34)+($B$46*$B$50))*0.75)+(0.25*($B$30*$B$33)+($B$46*$B$49)))</f>
        <v>45.165746705262</v>
      </c>
      <c r="F424" s="7" t="n">
        <f aca="false">$B424-($B$30*$B$33)+($B$46*$B$49)</f>
        <v>64.7758639982664</v>
      </c>
      <c r="G424" s="7" t="n">
        <f aca="false">$B424-($B$30*$B$33)+($B$46*$B$49)</f>
        <v>64.7758639982664</v>
      </c>
      <c r="H424" s="7" t="n">
        <f aca="false">$B424-($B$30*$B$33)+($B$46*$B$49)</f>
        <v>64.7758639982664</v>
      </c>
      <c r="I424" s="7" t="n">
        <f aca="false">$B424-($B$30*$B$33)+($B$46*$B$49)</f>
        <v>64.7758639982664</v>
      </c>
      <c r="J424" s="7" t="n">
        <f aca="false">$B424-($B$30*$B$33)+($B$46*$B$49)</f>
        <v>64.7758639982664</v>
      </c>
      <c r="K424" s="7" t="n">
        <f aca="false">$B424-($B$30*$B$33)+($B$46*$B$49)</f>
        <v>64.7758639982664</v>
      </c>
      <c r="L424" s="7" t="n">
        <f aca="false">$B424-($B$30*$B$33)+($B$46*$B$49)</f>
        <v>64.7758639982664</v>
      </c>
      <c r="M424" s="7" t="n">
        <f aca="false">$B424-($B$30*$B$33)+($B$46*$B$49)</f>
        <v>64.7758639982664</v>
      </c>
      <c r="N424" s="7" t="n">
        <f aca="false">$B424-($B$30*$B$33)+($B$46*$B$49)</f>
        <v>64.7758639982664</v>
      </c>
      <c r="O424" s="7" t="n">
        <f aca="false">$B424-($B$30*$B$33)+($B$46*$B$49)</f>
        <v>64.7758639982664</v>
      </c>
      <c r="P424" s="7" t="n">
        <f aca="false">$B424-($B$30*$B$33)+($B$46*$B$49)</f>
        <v>64.7758639982664</v>
      </c>
      <c r="Q424" s="7" t="n">
        <f aca="false">$B424-($B$30*$B$33)+($B$46*$B$49)</f>
        <v>64.7758639982664</v>
      </c>
      <c r="R424" s="7" t="n">
        <f aca="false">$B424-($B$30*$B$33)+($B$46*$B$49)</f>
        <v>64.7758639982664</v>
      </c>
      <c r="S424" s="7" t="n">
        <f aca="false">$B424-($B$30*$B$33)+($B$46*$B$49)</f>
        <v>64.7758639982664</v>
      </c>
      <c r="T424" s="7" t="n">
        <f aca="false">$B424-($B$30*$B$33)+($B$46*$B$49)</f>
        <v>64.7758639982664</v>
      </c>
      <c r="U424" s="7" t="n">
        <f aca="false">$B424-($B$30*$B$33)+($B$46*$B$49)</f>
        <v>64.7758639982664</v>
      </c>
      <c r="V424" s="7" t="n">
        <f aca="false">$B424-($B$30*$B$33)+($B$46*$B$49)</f>
        <v>64.7758639982664</v>
      </c>
      <c r="W424" s="7" t="n">
        <f aca="false">$B424-($B$30*$B$33)+($B$46*$B$49)</f>
        <v>64.7758639982664</v>
      </c>
      <c r="X424" s="7" t="n">
        <f aca="false">$B424-($B$30*$B$33)+($B$46*$B$49)</f>
        <v>64.7758639982664</v>
      </c>
      <c r="Y424" s="7" t="n">
        <f aca="false">$B424-($B$30*$B$33)+($B$46*$B$49)</f>
        <v>64.7758639982664</v>
      </c>
      <c r="Z424" s="7" t="n">
        <f aca="false">$B424-($B$30*$B$33)+($B$46*$B$49)</f>
        <v>64.7758639982664</v>
      </c>
      <c r="AA424" s="7" t="n">
        <f aca="false">$B424-($B$30*$B$33)+($B$46*$B$49)</f>
        <v>64.7758639982664</v>
      </c>
      <c r="AB424" s="7" t="n">
        <f aca="false">$B424-($B$30*$B$33)+($B$46*$B$49)</f>
        <v>64.7758639982664</v>
      </c>
      <c r="AC424" s="7" t="n">
        <f aca="false">$B424-($B$30*$B$33)+($B$46*$B$49)</f>
        <v>64.7758639982664</v>
      </c>
    </row>
    <row r="425" s="12" customFormat="true" ht="14.65" hidden="false" customHeight="false" outlineLevel="0" collapsed="false">
      <c r="A425" s="7" t="s">
        <v>18</v>
      </c>
      <c r="B425" s="7" t="n">
        <f aca="false">$B$10</f>
        <v>114.47391312</v>
      </c>
      <c r="C425" s="7" t="n">
        <v>0</v>
      </c>
      <c r="D425" s="7" t="n">
        <v>0</v>
      </c>
      <c r="E425" s="7" t="n">
        <f aca="false">B425-(($B$18*0.25)+($B$10*0.75))</f>
        <v>27.2807780166665</v>
      </c>
      <c r="F425" s="153" t="n">
        <f aca="false">$B$425-$B$18</f>
        <v>109.123112066666</v>
      </c>
      <c r="G425" s="153" t="n">
        <f aca="false">$B$425-$B$18</f>
        <v>109.123112066666</v>
      </c>
      <c r="H425" s="153" t="n">
        <f aca="false">$B$425-$B$18</f>
        <v>109.123112066666</v>
      </c>
      <c r="I425" s="153" t="n">
        <f aca="false">$B$425-$B$18</f>
        <v>109.123112066666</v>
      </c>
      <c r="J425" s="153" t="n">
        <f aca="false">$B$425-$B$18</f>
        <v>109.123112066666</v>
      </c>
      <c r="K425" s="153" t="n">
        <f aca="false">$B$425-$B$18</f>
        <v>109.123112066666</v>
      </c>
      <c r="L425" s="153" t="n">
        <f aca="false">$B$425-$B$18</f>
        <v>109.123112066666</v>
      </c>
      <c r="M425" s="153" t="n">
        <f aca="false">$B$425-$B$18</f>
        <v>109.123112066666</v>
      </c>
      <c r="N425" s="153" t="n">
        <f aca="false">$B$425-$B$18</f>
        <v>109.123112066666</v>
      </c>
      <c r="O425" s="153" t="n">
        <f aca="false">$B$425-$B$18</f>
        <v>109.123112066666</v>
      </c>
      <c r="P425" s="153" t="n">
        <f aca="false">$B$425-$B$18</f>
        <v>109.123112066666</v>
      </c>
      <c r="Q425" s="153" t="n">
        <f aca="false">$B$425-$B$18</f>
        <v>109.123112066666</v>
      </c>
      <c r="R425" s="153" t="n">
        <f aca="false">$B$425-$B$18</f>
        <v>109.123112066666</v>
      </c>
      <c r="S425" s="153" t="n">
        <f aca="false">$B$425-$B$18</f>
        <v>109.123112066666</v>
      </c>
      <c r="T425" s="153" t="n">
        <f aca="false">$B$425-$B$18</f>
        <v>109.123112066666</v>
      </c>
      <c r="U425" s="153" t="n">
        <f aca="false">$B$425-$B$18</f>
        <v>109.123112066666</v>
      </c>
      <c r="V425" s="153" t="n">
        <f aca="false">$B$425-$B$18</f>
        <v>109.123112066666</v>
      </c>
      <c r="W425" s="153" t="n">
        <f aca="false">$B$425-$B$18</f>
        <v>109.123112066666</v>
      </c>
      <c r="X425" s="153" t="n">
        <f aca="false">$B$425-$B$18</f>
        <v>109.123112066666</v>
      </c>
      <c r="Y425" s="153" t="n">
        <f aca="false">$B$425-$B$18</f>
        <v>109.123112066666</v>
      </c>
      <c r="Z425" s="153" t="n">
        <f aca="false">$B$425-$B$18</f>
        <v>109.123112066666</v>
      </c>
      <c r="AA425" s="153" t="n">
        <f aca="false">$B$425-$B$18</f>
        <v>109.123112066666</v>
      </c>
      <c r="AB425" s="153" t="n">
        <f aca="false">$B$425-$B$18</f>
        <v>109.123112066666</v>
      </c>
      <c r="AC425" s="153" t="n">
        <f aca="false">$B$425-$B$18</f>
        <v>109.123112066666</v>
      </c>
      <c r="AD425" s="7"/>
    </row>
    <row r="426" s="12" customFormat="true" ht="14.65" hidden="false" customHeight="false" outlineLevel="0" collapsed="false">
      <c r="A426" s="7" t="s">
        <v>38</v>
      </c>
      <c r="B426" s="7" t="n">
        <v>0</v>
      </c>
      <c r="C426" s="7" t="n">
        <v>0</v>
      </c>
      <c r="D426" s="7" t="n">
        <f aca="false">'Electric Cars'!H6*0.75</f>
        <v>98.1542658283809</v>
      </c>
      <c r="E426" s="7" t="n">
        <f aca="false">'Electric Cars'!$H6</f>
        <v>130.872354437841</v>
      </c>
      <c r="F426" s="7" t="n">
        <f aca="false">'Electric Cars'!$H6</f>
        <v>130.872354437841</v>
      </c>
      <c r="G426" s="7" t="n">
        <f aca="false">'Electric Cars'!$H6</f>
        <v>130.872354437841</v>
      </c>
      <c r="H426" s="7" t="n">
        <f aca="false">'Electric Cars'!$H6</f>
        <v>130.872354437841</v>
      </c>
      <c r="I426" s="7" t="n">
        <f aca="false">'Electric Cars'!$H6</f>
        <v>130.872354437841</v>
      </c>
      <c r="J426" s="7" t="n">
        <f aca="false">'Electric Cars'!$H6</f>
        <v>130.872354437841</v>
      </c>
      <c r="K426" s="7" t="n">
        <f aca="false">'Electric Cars'!$H6</f>
        <v>130.872354437841</v>
      </c>
      <c r="L426" s="7" t="n">
        <f aca="false">'Electric Cars'!$H6</f>
        <v>130.872354437841</v>
      </c>
      <c r="M426" s="7" t="n">
        <f aca="false">'Electric Cars'!$H6</f>
        <v>130.872354437841</v>
      </c>
      <c r="N426" s="7" t="n">
        <f aca="false">'Electric Cars'!$H6</f>
        <v>130.872354437841</v>
      </c>
      <c r="O426" s="7" t="n">
        <f aca="false">'Electric Cars'!$H6</f>
        <v>130.872354437841</v>
      </c>
      <c r="P426" s="7" t="n">
        <f aca="false">'Electric Cars'!$H6</f>
        <v>130.872354437841</v>
      </c>
      <c r="Q426" s="7" t="n">
        <f aca="false">'Electric Cars'!$H6</f>
        <v>130.872354437841</v>
      </c>
      <c r="R426" s="7" t="n">
        <f aca="false">'Electric Cars'!$H6</f>
        <v>130.872354437841</v>
      </c>
      <c r="S426" s="7" t="n">
        <f aca="false">'Electric Cars'!$H6</f>
        <v>130.872354437841</v>
      </c>
      <c r="T426" s="7" t="n">
        <f aca="false">'Electric Cars'!$H6</f>
        <v>130.872354437841</v>
      </c>
      <c r="U426" s="7" t="n">
        <f aca="false">'Electric Cars'!$H6</f>
        <v>130.872354437841</v>
      </c>
      <c r="V426" s="7" t="n">
        <f aca="false">'Electric Cars'!$H6</f>
        <v>130.872354437841</v>
      </c>
      <c r="W426" s="7" t="n">
        <f aca="false">'Electric Cars'!$H6</f>
        <v>130.872354437841</v>
      </c>
      <c r="X426" s="7" t="n">
        <f aca="false">'Electric Cars'!$H6</f>
        <v>130.872354437841</v>
      </c>
      <c r="Y426" s="7" t="n">
        <f aca="false">'Electric Cars'!$H6</f>
        <v>130.872354437841</v>
      </c>
      <c r="Z426" s="7" t="n">
        <f aca="false">'Electric Cars'!$H6</f>
        <v>130.872354437841</v>
      </c>
      <c r="AA426" s="7" t="n">
        <f aca="false">'Electric Cars'!$H6</f>
        <v>130.872354437841</v>
      </c>
      <c r="AB426" s="7" t="n">
        <f aca="false">'Electric Cars'!$H6</f>
        <v>130.872354437841</v>
      </c>
      <c r="AC426" s="7" t="n">
        <f aca="false">'Electric Cars'!$H6</f>
        <v>130.872354437841</v>
      </c>
      <c r="AD426" s="7"/>
    </row>
    <row r="427" s="12" customFormat="true" ht="14.65" hidden="false" customHeight="false" outlineLevel="0" collapsed="false">
      <c r="A427" s="154" t="s">
        <v>39</v>
      </c>
      <c r="B427" s="7" t="n">
        <f aca="false">SUM(B424:B425)</f>
        <v>181.059721777411</v>
      </c>
      <c r="C427" s="7" t="n">
        <f aca="false">SUM(C424:C425)</f>
        <v>0</v>
      </c>
      <c r="D427" s="7" t="n">
        <f aca="false">SUM(D424:D425)</f>
        <v>41.1310947851035</v>
      </c>
      <c r="E427" s="7" t="n">
        <f aca="false">SUM(E424:E425)</f>
        <v>72.4465247219286</v>
      </c>
      <c r="F427" s="7" t="n">
        <f aca="false">SUM(F424:F425)</f>
        <v>173.898976064932</v>
      </c>
      <c r="G427" s="7" t="n">
        <f aca="false">SUM(G424:G425)</f>
        <v>173.898976064932</v>
      </c>
      <c r="H427" s="7" t="n">
        <f aca="false">SUM(H424:H425)</f>
        <v>173.898976064932</v>
      </c>
      <c r="I427" s="7" t="n">
        <f aca="false">SUM(I424:I425)</f>
        <v>173.898976064932</v>
      </c>
      <c r="J427" s="7" t="n">
        <f aca="false">SUM(J424:J425)</f>
        <v>173.898976064932</v>
      </c>
      <c r="K427" s="7" t="n">
        <f aca="false">SUM(K424:K425)</f>
        <v>173.898976064932</v>
      </c>
      <c r="L427" s="7" t="n">
        <f aca="false">SUM(L424:L425)</f>
        <v>173.898976064932</v>
      </c>
      <c r="M427" s="7" t="n">
        <f aca="false">SUM(M424:M425)</f>
        <v>173.898976064932</v>
      </c>
      <c r="N427" s="7" t="n">
        <f aca="false">SUM(N424:N425)</f>
        <v>173.898976064932</v>
      </c>
      <c r="O427" s="7" t="n">
        <f aca="false">SUM(O424:O425)</f>
        <v>173.898976064932</v>
      </c>
      <c r="P427" s="7" t="n">
        <f aca="false">SUM(P424:P425)</f>
        <v>173.898976064932</v>
      </c>
      <c r="Q427" s="7" t="n">
        <f aca="false">SUM(Q424:Q425)</f>
        <v>173.898976064932</v>
      </c>
      <c r="R427" s="7" t="n">
        <f aca="false">SUM(R424:R425)</f>
        <v>173.898976064932</v>
      </c>
      <c r="S427" s="7" t="n">
        <f aca="false">SUM(S424:S425)</f>
        <v>173.898976064932</v>
      </c>
      <c r="T427" s="7" t="n">
        <f aca="false">SUM(T424:T425)</f>
        <v>173.898976064932</v>
      </c>
      <c r="U427" s="7" t="n">
        <f aca="false">SUM(U424:U425)</f>
        <v>173.898976064932</v>
      </c>
      <c r="V427" s="7" t="n">
        <f aca="false">SUM(V424:V425)</f>
        <v>173.898976064932</v>
      </c>
      <c r="W427" s="7" t="n">
        <f aca="false">SUM(W424:W425)</f>
        <v>173.898976064932</v>
      </c>
      <c r="X427" s="7" t="n">
        <f aca="false">SUM(X424:X425)</f>
        <v>173.898976064932</v>
      </c>
      <c r="Y427" s="7" t="n">
        <f aca="false">SUM(Y424:Y425)</f>
        <v>173.898976064932</v>
      </c>
      <c r="Z427" s="7" t="n">
        <f aca="false">SUM(Z424:Z425)</f>
        <v>173.898976064932</v>
      </c>
      <c r="AA427" s="7" t="n">
        <f aca="false">SUM(AA424:AA425)</f>
        <v>173.898976064932</v>
      </c>
      <c r="AB427" s="7" t="n">
        <f aca="false">SUM(AB424:AB425)</f>
        <v>173.898976064932</v>
      </c>
      <c r="AC427" s="7" t="n">
        <f aca="false">SUM(AC424:AC425)</f>
        <v>173.898976064932</v>
      </c>
      <c r="AD427" s="139"/>
    </row>
    <row r="428" s="12" customFormat="true" ht="14.65" hidden="false" customHeight="false" outlineLevel="0" collapsed="false">
      <c r="A428" s="7" t="s">
        <v>40</v>
      </c>
      <c r="B428" s="7" t="n">
        <f aca="false">$B$76</f>
        <v>1907.7</v>
      </c>
      <c r="C428" s="7" t="n">
        <v>0</v>
      </c>
      <c r="D428" s="7" t="n">
        <f aca="false">$C221-D221</f>
        <v>0</v>
      </c>
      <c r="E428" s="7" t="n">
        <f aca="false">$C221-E221</f>
        <v>17.8683893865325</v>
      </c>
      <c r="F428" s="7" t="n">
        <f aca="false">$C221-F221</f>
        <v>42.8841345276785</v>
      </c>
      <c r="G428" s="7" t="n">
        <f aca="false">$C221-G221</f>
        <v>77.9061777252825</v>
      </c>
      <c r="H428" s="7" t="n">
        <f aca="false">$C221-H221</f>
        <v>126.937038201928</v>
      </c>
      <c r="I428" s="7" t="n">
        <f aca="false">$C221-I221</f>
        <v>195.580242869232</v>
      </c>
      <c r="J428" s="7" t="n">
        <f aca="false">$C221-J221</f>
        <v>291.680729403458</v>
      </c>
      <c r="K428" s="7" t="n">
        <f aca="false">$C221-K221</f>
        <v>411.80633757124</v>
      </c>
      <c r="L428" s="7" t="n">
        <f aca="false">$C221-L221</f>
        <v>554.753452663501</v>
      </c>
      <c r="M428" s="7" t="n">
        <f aca="false">$C221-M221</f>
        <v>697.700567755763</v>
      </c>
      <c r="N428" s="7" t="n">
        <f aca="false">$C221-N221</f>
        <v>840.647682848025</v>
      </c>
      <c r="O428" s="7" t="n">
        <f aca="false">$C221-O221</f>
        <v>983.594797940286</v>
      </c>
      <c r="P428" s="7" t="n">
        <f aca="false">$C221-P221</f>
        <v>1126.54191303255</v>
      </c>
      <c r="Q428" s="7" t="n">
        <f aca="false">$C221-Q221</f>
        <v>1269.48902812481</v>
      </c>
      <c r="R428" s="7" t="n">
        <f aca="false">$C221-R221</f>
        <v>1412.43614321707</v>
      </c>
      <c r="S428" s="7" t="n">
        <f aca="false">$C221-S221</f>
        <v>1555.38325830933</v>
      </c>
      <c r="T428" s="7" t="n">
        <f aca="false">$C221-T221</f>
        <v>1698.3303734016</v>
      </c>
      <c r="U428" s="7" t="n">
        <f aca="false">$C221-U221</f>
        <v>1715.36538110714</v>
      </c>
      <c r="V428" s="7" t="n">
        <f aca="false">$C221-V221</f>
        <v>1715.36538110714</v>
      </c>
      <c r="W428" s="7" t="n">
        <f aca="false">$C221-W221</f>
        <v>1715.36538110714</v>
      </c>
      <c r="X428" s="7" t="n">
        <f aca="false">$C221-X221</f>
        <v>1715.36538110714</v>
      </c>
      <c r="Y428" s="7" t="n">
        <f aca="false">$C221-Y221</f>
        <v>1715.36538110714</v>
      </c>
      <c r="Z428" s="7" t="n">
        <f aca="false">$C221-Z221</f>
        <v>1715.36538110714</v>
      </c>
      <c r="AA428" s="7" t="n">
        <f aca="false">$C221-AA221</f>
        <v>1715.36538110714</v>
      </c>
      <c r="AB428" s="7" t="n">
        <f aca="false">$C221-AB221</f>
        <v>1715.36538110714</v>
      </c>
      <c r="AC428" s="7" t="n">
        <f aca="false">$C221-AC221</f>
        <v>1715.36538110714</v>
      </c>
    </row>
    <row r="429" s="12" customFormat="true" ht="14.65" hidden="false" customHeight="false" outlineLevel="0" collapsed="false">
      <c r="A429" s="7" t="s">
        <v>41</v>
      </c>
      <c r="B429" s="7" t="n">
        <f aca="false">($C$60*(1-B$112))+(($C$61*B$112))</f>
        <v>8018.82390447805</v>
      </c>
      <c r="C429" s="7" t="n">
        <v>0</v>
      </c>
      <c r="D429" s="7" t="n">
        <f aca="false">$C222-D222</f>
        <v>70.5009269950342</v>
      </c>
      <c r="E429" s="7" t="n">
        <f aca="false">$C222-E222</f>
        <v>153.765148386498</v>
      </c>
      <c r="F429" s="7" t="n">
        <f aca="false">$C222-F222</f>
        <v>251.665309770422</v>
      </c>
      <c r="G429" s="7" t="n">
        <f aca="false">$C222-G222</f>
        <v>366.183541898268</v>
      </c>
      <c r="H429" s="7" t="n">
        <f aca="false">$C222-H222</f>
        <v>499.356358411749</v>
      </c>
      <c r="I429" s="7" t="n">
        <f aca="false">$C222-I222</f>
        <v>653.198660604513</v>
      </c>
      <c r="J429" s="7" t="n">
        <f aca="false">$C222-J222</f>
        <v>829.607994844803</v>
      </c>
      <c r="K429" s="7" t="n">
        <f aca="false">$C222-K222</f>
        <v>1002.50464218582</v>
      </c>
      <c r="L429" s="7" t="n">
        <f aca="false">$C222-L222</f>
        <v>1191.76463584034</v>
      </c>
      <c r="M429" s="7" t="n">
        <f aca="false">$C222-M222</f>
        <v>1395.88881181241</v>
      </c>
      <c r="N429" s="7" t="n">
        <f aca="false">$C222-N222</f>
        <v>1612.53519126389</v>
      </c>
      <c r="O429" s="7" t="n">
        <f aca="false">$C222-O222</f>
        <v>1838.55330062263</v>
      </c>
      <c r="P429" s="7" t="n">
        <f aca="false">$C222-P222</f>
        <v>2070.11056715169</v>
      </c>
      <c r="Q429" s="7" t="n">
        <f aca="false">$C222-Q222</f>
        <v>2302.90735660553</v>
      </c>
      <c r="R429" s="7" t="n">
        <f aca="false">$C222-R222</f>
        <v>2500.71299124335</v>
      </c>
      <c r="S429" s="7" t="n">
        <f aca="false">$C222-S222</f>
        <v>2686.41671635256</v>
      </c>
      <c r="T429" s="7" t="n">
        <f aca="false">$C222-T222</f>
        <v>2856.45100375723</v>
      </c>
      <c r="U429" s="7" t="n">
        <f aca="false">$C222-U222</f>
        <v>3008.20937835185</v>
      </c>
      <c r="V429" s="7" t="n">
        <f aca="false">$C222-V222</f>
        <v>3140.19420728664</v>
      </c>
      <c r="W429" s="7" t="n">
        <f aca="false">$C222-W222</f>
        <v>3252.03436158457</v>
      </c>
      <c r="X429" s="7" t="n">
        <f aca="false">$C222-X222</f>
        <v>3344.38002416705</v>
      </c>
      <c r="Y429" s="7" t="n">
        <f aca="false">$C222-Y222</f>
        <v>3408.42367261616</v>
      </c>
      <c r="Z429" s="7" t="n">
        <f aca="false">$C222-Z222</f>
        <v>3457.23215739335</v>
      </c>
      <c r="AA429" s="7" t="n">
        <f aca="false">$C222-AA222</f>
        <v>3493.34063752662</v>
      </c>
      <c r="AB429" s="7" t="n">
        <f aca="false">$C222-AB222</f>
        <v>3519.27529517867</v>
      </c>
      <c r="AC429" s="7" t="n">
        <f aca="false">$C222-AC222</f>
        <v>3537.36505806545</v>
      </c>
    </row>
    <row r="430" s="12" customFormat="true" ht="14.65" hidden="false" customHeight="false" outlineLevel="0" collapsed="false">
      <c r="A430" s="7" t="s">
        <v>20</v>
      </c>
      <c r="B430" s="7" t="n">
        <f aca="false">SUM(B424:B429)</f>
        <v>10288.6433480329</v>
      </c>
      <c r="C430" s="7" t="n">
        <f aca="false">SUM(C424:C429)</f>
        <v>0</v>
      </c>
      <c r="D430" s="7" t="n">
        <f aca="false">SUM(D427:D429)</f>
        <v>111.632021780138</v>
      </c>
      <c r="E430" s="7" t="n">
        <f aca="false">SUM(E427:E429)</f>
        <v>244.080062494959</v>
      </c>
      <c r="F430" s="7" t="n">
        <f aca="false">SUM(F427:F429)</f>
        <v>468.448420363033</v>
      </c>
      <c r="G430" s="7" t="n">
        <f aca="false">SUM(G427:G429)</f>
        <v>617.988695688483</v>
      </c>
      <c r="H430" s="7" t="n">
        <f aca="false">SUM(H427:H429)</f>
        <v>800.19237267861</v>
      </c>
      <c r="I430" s="7" t="n">
        <f aca="false">SUM(I427:I429)</f>
        <v>1022.67787953868</v>
      </c>
      <c r="J430" s="7" t="n">
        <f aca="false">SUM(J427:J429)</f>
        <v>1295.18770031319</v>
      </c>
      <c r="K430" s="7" t="n">
        <f aca="false">SUM(K427:K429)</f>
        <v>1588.20995582199</v>
      </c>
      <c r="L430" s="7" t="n">
        <f aca="false">SUM(L427:L429)</f>
        <v>1920.41706456878</v>
      </c>
      <c r="M430" s="7" t="n">
        <f aca="false">SUM(M427:M429)</f>
        <v>2267.4883556331</v>
      </c>
      <c r="N430" s="7" t="n">
        <f aca="false">SUM(N427:N429)</f>
        <v>2627.08185017685</v>
      </c>
      <c r="O430" s="7" t="n">
        <f aca="false">SUM(O427:O429)</f>
        <v>2996.04707462785</v>
      </c>
      <c r="P430" s="7" t="n">
        <f aca="false">SUM(P427:P429)</f>
        <v>3370.55145624917</v>
      </c>
      <c r="Q430" s="7" t="n">
        <f aca="false">SUM(Q427:Q429)</f>
        <v>3746.29536079527</v>
      </c>
      <c r="R430" s="7" t="n">
        <f aca="false">SUM(R427:R429)</f>
        <v>4087.04811052536</v>
      </c>
      <c r="S430" s="7" t="n">
        <f aca="false">SUM(S427:S429)</f>
        <v>4415.69895072683</v>
      </c>
      <c r="T430" s="7" t="n">
        <f aca="false">SUM(T427:T429)</f>
        <v>4728.68035322376</v>
      </c>
      <c r="U430" s="7" t="n">
        <f aca="false">SUM(U427:U429)</f>
        <v>4897.47373552392</v>
      </c>
      <c r="V430" s="7" t="n">
        <f aca="false">SUM(V427:V429)</f>
        <v>5029.45856445872</v>
      </c>
      <c r="W430" s="7" t="n">
        <f aca="false">SUM(W427:W429)</f>
        <v>5141.29871875664</v>
      </c>
      <c r="X430" s="7" t="n">
        <f aca="false">SUM(X427:X429)</f>
        <v>5233.64438133912</v>
      </c>
      <c r="Y430" s="7" t="n">
        <f aca="false">SUM(Y427:Y429)</f>
        <v>5297.68802978823</v>
      </c>
      <c r="Z430" s="7" t="n">
        <f aca="false">SUM(Z427:Z429)</f>
        <v>5346.49651456542</v>
      </c>
      <c r="AA430" s="7" t="n">
        <f aca="false">SUM(AA427:AA429)</f>
        <v>5382.60499469869</v>
      </c>
      <c r="AB430" s="7" t="n">
        <f aca="false">SUM(AB427:AB429)</f>
        <v>5408.53965235075</v>
      </c>
      <c r="AC430" s="7" t="n">
        <f aca="false">SUM(AC427:AC429)</f>
        <v>5426.62941523752</v>
      </c>
    </row>
    <row r="431" s="12" customFormat="true" ht="12.8" hidden="false" customHeight="false" outlineLevel="0" collapsed="false">
      <c r="A431" s="7"/>
      <c r="B431" s="7"/>
      <c r="D431" s="7"/>
      <c r="G431" s="21"/>
    </row>
    <row r="432" s="12" customFormat="true" ht="14.65" hidden="false" customHeight="false" outlineLevel="0" collapsed="false">
      <c r="A432" s="7" t="s">
        <v>52</v>
      </c>
      <c r="B432" s="7" t="s">
        <v>36</v>
      </c>
      <c r="C432" s="7" t="n">
        <v>2024</v>
      </c>
      <c r="D432" s="7" t="n">
        <v>2025</v>
      </c>
      <c r="E432" s="7" t="n">
        <v>2026</v>
      </c>
      <c r="F432" s="7" t="n">
        <v>2027</v>
      </c>
      <c r="G432" s="7" t="n">
        <v>2028</v>
      </c>
      <c r="H432" s="7" t="n">
        <v>2029</v>
      </c>
      <c r="I432" s="7" t="n">
        <v>2030</v>
      </c>
      <c r="J432" s="7" t="n">
        <v>2031</v>
      </c>
      <c r="K432" s="7" t="n">
        <v>2032</v>
      </c>
      <c r="L432" s="7" t="n">
        <v>2033</v>
      </c>
      <c r="M432" s="7" t="n">
        <v>2034</v>
      </c>
      <c r="N432" s="7" t="n">
        <v>2035</v>
      </c>
      <c r="O432" s="7" t="n">
        <v>2036</v>
      </c>
      <c r="P432" s="7" t="n">
        <v>2037</v>
      </c>
      <c r="Q432" s="7" t="n">
        <v>2038</v>
      </c>
      <c r="R432" s="7" t="n">
        <v>2039</v>
      </c>
      <c r="S432" s="7" t="n">
        <v>2040</v>
      </c>
      <c r="T432" s="7" t="n">
        <v>2041</v>
      </c>
      <c r="U432" s="7" t="n">
        <v>2042</v>
      </c>
      <c r="V432" s="7" t="n">
        <v>2043</v>
      </c>
      <c r="W432" s="7" t="n">
        <v>2044</v>
      </c>
      <c r="X432" s="7" t="n">
        <v>2045</v>
      </c>
      <c r="Y432" s="7" t="n">
        <v>2046</v>
      </c>
      <c r="Z432" s="7" t="n">
        <v>2047</v>
      </c>
      <c r="AA432" s="7" t="n">
        <v>2048</v>
      </c>
      <c r="AB432" s="7" t="n">
        <v>2049</v>
      </c>
      <c r="AC432" s="7" t="n">
        <v>2050</v>
      </c>
    </row>
    <row r="433" s="12" customFormat="true" ht="14.65" hidden="false" customHeight="false" outlineLevel="0" collapsed="false">
      <c r="A433" s="7" t="s">
        <v>37</v>
      </c>
      <c r="B433" s="7" t="n">
        <f aca="false">B424</f>
        <v>66.585808657411</v>
      </c>
      <c r="C433" s="7" t="n">
        <f aca="false">C424</f>
        <v>0</v>
      </c>
      <c r="D433" s="7" t="n">
        <f aca="false">D424</f>
        <v>41.1310947851035</v>
      </c>
      <c r="E433" s="7" t="n">
        <f aca="false">E424</f>
        <v>45.165746705262</v>
      </c>
      <c r="F433" s="7" t="n">
        <f aca="false">F424</f>
        <v>64.7758639982664</v>
      </c>
      <c r="G433" s="7" t="n">
        <f aca="false">G424</f>
        <v>64.7758639982664</v>
      </c>
      <c r="H433" s="7" t="n">
        <f aca="false">H424</f>
        <v>64.7758639982664</v>
      </c>
      <c r="I433" s="7" t="n">
        <f aca="false">I424</f>
        <v>64.7758639982664</v>
      </c>
      <c r="J433" s="7" t="n">
        <f aca="false">J424</f>
        <v>64.7758639982664</v>
      </c>
      <c r="K433" s="7" t="n">
        <f aca="false">K424</f>
        <v>64.7758639982664</v>
      </c>
      <c r="L433" s="7" t="n">
        <f aca="false">L424</f>
        <v>64.7758639982664</v>
      </c>
      <c r="M433" s="7" t="n">
        <f aca="false">M424</f>
        <v>64.7758639982664</v>
      </c>
      <c r="N433" s="7" t="n">
        <f aca="false">N424</f>
        <v>64.7758639982664</v>
      </c>
      <c r="O433" s="7" t="n">
        <f aca="false">O424</f>
        <v>64.7758639982664</v>
      </c>
      <c r="P433" s="7" t="n">
        <f aca="false">P424</f>
        <v>64.7758639982664</v>
      </c>
      <c r="Q433" s="7" t="n">
        <f aca="false">Q424</f>
        <v>64.7758639982664</v>
      </c>
      <c r="R433" s="7" t="n">
        <f aca="false">R424</f>
        <v>64.7758639982664</v>
      </c>
      <c r="S433" s="7" t="n">
        <f aca="false">S424</f>
        <v>64.7758639982664</v>
      </c>
      <c r="T433" s="7" t="n">
        <f aca="false">T424</f>
        <v>64.7758639982664</v>
      </c>
      <c r="U433" s="7" t="n">
        <f aca="false">U424</f>
        <v>64.7758639982664</v>
      </c>
      <c r="V433" s="7" t="n">
        <f aca="false">V424</f>
        <v>64.7758639982664</v>
      </c>
      <c r="W433" s="7" t="n">
        <f aca="false">W424</f>
        <v>64.7758639982664</v>
      </c>
      <c r="X433" s="7" t="n">
        <f aca="false">X424</f>
        <v>64.7758639982664</v>
      </c>
      <c r="Y433" s="7" t="n">
        <f aca="false">Y424</f>
        <v>64.7758639982664</v>
      </c>
      <c r="Z433" s="7" t="n">
        <f aca="false">Z424</f>
        <v>64.7758639982664</v>
      </c>
      <c r="AA433" s="7" t="n">
        <f aca="false">AA424</f>
        <v>64.7758639982664</v>
      </c>
      <c r="AB433" s="7" t="n">
        <f aca="false">AB424</f>
        <v>64.7758639982664</v>
      </c>
      <c r="AC433" s="7" t="n">
        <f aca="false">AC424</f>
        <v>64.7758639982664</v>
      </c>
    </row>
    <row r="434" s="12" customFormat="true" ht="14.65" hidden="false" customHeight="false" outlineLevel="0" collapsed="false">
      <c r="A434" s="7" t="s">
        <v>18</v>
      </c>
      <c r="B434" s="7" t="n">
        <f aca="false">B425</f>
        <v>114.47391312</v>
      </c>
      <c r="C434" s="7" t="n">
        <f aca="false">C425</f>
        <v>0</v>
      </c>
      <c r="D434" s="7" t="n">
        <f aca="false">D425</f>
        <v>0</v>
      </c>
      <c r="E434" s="7" t="n">
        <f aca="false">E425</f>
        <v>27.2807780166665</v>
      </c>
      <c r="F434" s="7" t="n">
        <f aca="false">F425</f>
        <v>109.123112066666</v>
      </c>
      <c r="G434" s="7" t="n">
        <f aca="false">G425</f>
        <v>109.123112066666</v>
      </c>
      <c r="H434" s="7" t="n">
        <f aca="false">H425</f>
        <v>109.123112066666</v>
      </c>
      <c r="I434" s="7" t="n">
        <f aca="false">I425</f>
        <v>109.123112066666</v>
      </c>
      <c r="J434" s="7" t="n">
        <f aca="false">J425</f>
        <v>109.123112066666</v>
      </c>
      <c r="K434" s="7" t="n">
        <f aca="false">K425</f>
        <v>109.123112066666</v>
      </c>
      <c r="L434" s="7" t="n">
        <f aca="false">L425</f>
        <v>109.123112066666</v>
      </c>
      <c r="M434" s="7" t="n">
        <f aca="false">M425</f>
        <v>109.123112066666</v>
      </c>
      <c r="N434" s="7" t="n">
        <f aca="false">N425</f>
        <v>109.123112066666</v>
      </c>
      <c r="O434" s="7" t="n">
        <f aca="false">O425</f>
        <v>109.123112066666</v>
      </c>
      <c r="P434" s="7" t="n">
        <f aca="false">P425</f>
        <v>109.123112066666</v>
      </c>
      <c r="Q434" s="7" t="n">
        <f aca="false">Q425</f>
        <v>109.123112066666</v>
      </c>
      <c r="R434" s="7" t="n">
        <f aca="false">R425</f>
        <v>109.123112066666</v>
      </c>
      <c r="S434" s="7" t="n">
        <f aca="false">S425</f>
        <v>109.123112066666</v>
      </c>
      <c r="T434" s="7" t="n">
        <f aca="false">T425</f>
        <v>109.123112066666</v>
      </c>
      <c r="U434" s="7" t="n">
        <f aca="false">U425</f>
        <v>109.123112066666</v>
      </c>
      <c r="V434" s="7" t="n">
        <f aca="false">V425</f>
        <v>109.123112066666</v>
      </c>
      <c r="W434" s="7" t="n">
        <f aca="false">W425</f>
        <v>109.123112066666</v>
      </c>
      <c r="X434" s="7" t="n">
        <f aca="false">X425</f>
        <v>109.123112066666</v>
      </c>
      <c r="Y434" s="7" t="n">
        <f aca="false">Y425</f>
        <v>109.123112066666</v>
      </c>
      <c r="Z434" s="7" t="n">
        <f aca="false">Z425</f>
        <v>109.123112066666</v>
      </c>
      <c r="AA434" s="7" t="n">
        <f aca="false">AA425</f>
        <v>109.123112066666</v>
      </c>
      <c r="AB434" s="7" t="n">
        <f aca="false">AB425</f>
        <v>109.123112066666</v>
      </c>
      <c r="AC434" s="7" t="n">
        <f aca="false">AC425</f>
        <v>109.123112066666</v>
      </c>
      <c r="AD434" s="7"/>
    </row>
    <row r="435" s="12" customFormat="true" ht="14.65" hidden="false" customHeight="false" outlineLevel="0" collapsed="false">
      <c r="A435" s="7" t="s">
        <v>38</v>
      </c>
      <c r="B435" s="7" t="n">
        <f aca="false">B426</f>
        <v>0</v>
      </c>
      <c r="C435" s="7" t="n">
        <f aca="false">C426</f>
        <v>0</v>
      </c>
      <c r="D435" s="7" t="n">
        <f aca="false">D426</f>
        <v>98.1542658283809</v>
      </c>
      <c r="E435" s="7" t="n">
        <f aca="false">E426</f>
        <v>130.872354437841</v>
      </c>
      <c r="F435" s="7" t="n">
        <f aca="false">F426</f>
        <v>130.872354437841</v>
      </c>
      <c r="G435" s="7" t="n">
        <f aca="false">G426</f>
        <v>130.872354437841</v>
      </c>
      <c r="H435" s="7" t="n">
        <f aca="false">H426</f>
        <v>130.872354437841</v>
      </c>
      <c r="I435" s="7" t="n">
        <f aca="false">I426</f>
        <v>130.872354437841</v>
      </c>
      <c r="J435" s="7" t="n">
        <f aca="false">J426</f>
        <v>130.872354437841</v>
      </c>
      <c r="K435" s="7" t="n">
        <f aca="false">K426</f>
        <v>130.872354437841</v>
      </c>
      <c r="L435" s="7" t="n">
        <f aca="false">L426</f>
        <v>130.872354437841</v>
      </c>
      <c r="M435" s="7" t="n">
        <f aca="false">M426</f>
        <v>130.872354437841</v>
      </c>
      <c r="N435" s="7" t="n">
        <f aca="false">N426</f>
        <v>130.872354437841</v>
      </c>
      <c r="O435" s="7" t="n">
        <f aca="false">O426</f>
        <v>130.872354437841</v>
      </c>
      <c r="P435" s="7" t="n">
        <f aca="false">P426</f>
        <v>130.872354437841</v>
      </c>
      <c r="Q435" s="7" t="n">
        <f aca="false">Q426</f>
        <v>130.872354437841</v>
      </c>
      <c r="R435" s="7" t="n">
        <f aca="false">R426</f>
        <v>130.872354437841</v>
      </c>
      <c r="S435" s="7" t="n">
        <f aca="false">S426</f>
        <v>130.872354437841</v>
      </c>
      <c r="T435" s="7" t="n">
        <f aca="false">T426</f>
        <v>130.872354437841</v>
      </c>
      <c r="U435" s="7" t="n">
        <f aca="false">U426</f>
        <v>130.872354437841</v>
      </c>
      <c r="V435" s="7" t="n">
        <f aca="false">V426</f>
        <v>130.872354437841</v>
      </c>
      <c r="W435" s="7" t="n">
        <f aca="false">W426</f>
        <v>130.872354437841</v>
      </c>
      <c r="X435" s="7" t="n">
        <f aca="false">X426</f>
        <v>130.872354437841</v>
      </c>
      <c r="Y435" s="7" t="n">
        <f aca="false">Y426</f>
        <v>130.872354437841</v>
      </c>
      <c r="Z435" s="7" t="n">
        <f aca="false">Z426</f>
        <v>130.872354437841</v>
      </c>
      <c r="AA435" s="7" t="n">
        <f aca="false">AA426</f>
        <v>130.872354437841</v>
      </c>
      <c r="AB435" s="7" t="n">
        <f aca="false">AB426</f>
        <v>130.872354437841</v>
      </c>
      <c r="AC435" s="7" t="n">
        <f aca="false">AC426</f>
        <v>130.872354437841</v>
      </c>
      <c r="AD435" s="7"/>
    </row>
    <row r="436" s="12" customFormat="true" ht="14.65" hidden="false" customHeight="false" outlineLevel="0" collapsed="false">
      <c r="A436" s="154" t="s">
        <v>39</v>
      </c>
      <c r="B436" s="7" t="n">
        <f aca="false">B427</f>
        <v>181.059721777411</v>
      </c>
      <c r="C436" s="7" t="n">
        <f aca="false">C427</f>
        <v>0</v>
      </c>
      <c r="D436" s="7" t="n">
        <f aca="false">D427</f>
        <v>41.1310947851035</v>
      </c>
      <c r="E436" s="7" t="n">
        <f aca="false">E427</f>
        <v>72.4465247219286</v>
      </c>
      <c r="F436" s="7" t="n">
        <f aca="false">F427</f>
        <v>173.898976064932</v>
      </c>
      <c r="G436" s="7" t="n">
        <f aca="false">G427</f>
        <v>173.898976064932</v>
      </c>
      <c r="H436" s="7" t="n">
        <f aca="false">H427</f>
        <v>173.898976064932</v>
      </c>
      <c r="I436" s="7" t="n">
        <f aca="false">I427</f>
        <v>173.898976064932</v>
      </c>
      <c r="J436" s="7" t="n">
        <f aca="false">J427</f>
        <v>173.898976064932</v>
      </c>
      <c r="K436" s="7" t="n">
        <f aca="false">K427</f>
        <v>173.898976064932</v>
      </c>
      <c r="L436" s="7" t="n">
        <f aca="false">L427</f>
        <v>173.898976064932</v>
      </c>
      <c r="M436" s="7" t="n">
        <f aca="false">M427</f>
        <v>173.898976064932</v>
      </c>
      <c r="N436" s="7" t="n">
        <f aca="false">N427</f>
        <v>173.898976064932</v>
      </c>
      <c r="O436" s="7" t="n">
        <f aca="false">O427</f>
        <v>173.898976064932</v>
      </c>
      <c r="P436" s="7" t="n">
        <f aca="false">P427</f>
        <v>173.898976064932</v>
      </c>
      <c r="Q436" s="7" t="n">
        <f aca="false">Q427</f>
        <v>173.898976064932</v>
      </c>
      <c r="R436" s="7" t="n">
        <f aca="false">R427</f>
        <v>173.898976064932</v>
      </c>
      <c r="S436" s="7" t="n">
        <f aca="false">S427</f>
        <v>173.898976064932</v>
      </c>
      <c r="T436" s="7" t="n">
        <f aca="false">T427</f>
        <v>173.898976064932</v>
      </c>
      <c r="U436" s="7" t="n">
        <f aca="false">U427</f>
        <v>173.898976064932</v>
      </c>
      <c r="V436" s="7" t="n">
        <f aca="false">V427</f>
        <v>173.898976064932</v>
      </c>
      <c r="W436" s="7" t="n">
        <f aca="false">W427</f>
        <v>173.898976064932</v>
      </c>
      <c r="X436" s="7" t="n">
        <f aca="false">X427</f>
        <v>173.898976064932</v>
      </c>
      <c r="Y436" s="7" t="n">
        <f aca="false">Y427</f>
        <v>173.898976064932</v>
      </c>
      <c r="Z436" s="7" t="n">
        <f aca="false">Z427</f>
        <v>173.898976064932</v>
      </c>
      <c r="AA436" s="7" t="n">
        <f aca="false">AA427</f>
        <v>173.898976064932</v>
      </c>
      <c r="AB436" s="7" t="n">
        <f aca="false">AB427</f>
        <v>173.898976064932</v>
      </c>
      <c r="AC436" s="7" t="n">
        <f aca="false">AC427</f>
        <v>173.898976064932</v>
      </c>
      <c r="AD436" s="139"/>
    </row>
    <row r="437" s="12" customFormat="true" ht="14.65" hidden="false" customHeight="false" outlineLevel="0" collapsed="false">
      <c r="A437" s="7" t="s">
        <v>40</v>
      </c>
      <c r="B437" s="7" t="n">
        <f aca="false">$B$76</f>
        <v>1907.7</v>
      </c>
      <c r="C437" s="7" t="n">
        <v>0</v>
      </c>
      <c r="D437" s="7" t="n">
        <f aca="false">$C209-D209</f>
        <v>0</v>
      </c>
      <c r="E437" s="7" t="n">
        <f aca="false">$C209-E209</f>
        <v>10.7210336319197</v>
      </c>
      <c r="F437" s="7" t="n">
        <f aca="false">$C209-F209</f>
        <v>24.122325671819</v>
      </c>
      <c r="G437" s="7" t="n">
        <f aca="false">$C209-G209</f>
        <v>40.8739407216935</v>
      </c>
      <c r="H437" s="7" t="n">
        <f aca="false">$C209-H209</f>
        <v>61.8134595340364</v>
      </c>
      <c r="I437" s="7" t="n">
        <f aca="false">$C209-I209</f>
        <v>87.9878580494653</v>
      </c>
      <c r="J437" s="7" t="n">
        <f aca="false">$C209-J209</f>
        <v>120.705856193751</v>
      </c>
      <c r="K437" s="7" t="n">
        <f aca="false">$C209-K209</f>
        <v>158.33155405968</v>
      </c>
      <c r="L437" s="7" t="n">
        <f aca="false">$C209-L209</f>
        <v>201.601106605498</v>
      </c>
      <c r="M437" s="7" t="n">
        <f aca="false">$C209-M209</f>
        <v>257.851524915062</v>
      </c>
      <c r="N437" s="7" t="n">
        <f aca="false">$C209-N209</f>
        <v>322.53950597106</v>
      </c>
      <c r="O437" s="7" t="n">
        <f aca="false">$C209-O209</f>
        <v>396.930684185458</v>
      </c>
      <c r="P437" s="7" t="n">
        <f aca="false">$C209-P209</f>
        <v>482.480539132016</v>
      </c>
      <c r="Q437" s="7" t="n">
        <f aca="false">$C209-Q209</f>
        <v>580.862872320557</v>
      </c>
      <c r="R437" s="7" t="n">
        <f aca="false">$C209-R209</f>
        <v>694.002555487379</v>
      </c>
      <c r="S437" s="7" t="n">
        <f aca="false">$C209-S209</f>
        <v>824.113191129225</v>
      </c>
      <c r="T437" s="7" t="n">
        <f aca="false">$C209-T209</f>
        <v>973.740422117347</v>
      </c>
      <c r="U437" s="7" t="n">
        <f aca="false">$C209-U209</f>
        <v>1145.81173775369</v>
      </c>
      <c r="V437" s="7" t="n">
        <f aca="false">$C209-V209</f>
        <v>1343.69375073548</v>
      </c>
      <c r="W437" s="7" t="n">
        <f aca="false">$C209-W209</f>
        <v>1571.25806566454</v>
      </c>
      <c r="X437" s="7" t="n">
        <f aca="false">$C209-X209</f>
        <v>1832.95702783296</v>
      </c>
      <c r="Y437" s="7" t="n">
        <f aca="false">$C209-Y209</f>
        <v>2004.49356594368</v>
      </c>
      <c r="Z437" s="7" t="n">
        <f aca="false">$C209-Z209</f>
        <v>2176.03010405439</v>
      </c>
      <c r="AA437" s="7" t="n">
        <f aca="false">$C209-AA209</f>
        <v>2347.5666421651</v>
      </c>
      <c r="AB437" s="7" t="n">
        <f aca="false">$C209-AB209</f>
        <v>1715.36538110714</v>
      </c>
      <c r="AC437" s="7" t="n">
        <f aca="false">$C209-AC209</f>
        <v>1715.36538110714</v>
      </c>
    </row>
    <row r="438" s="12" customFormat="true" ht="14.65" hidden="false" customHeight="false" outlineLevel="0" collapsed="false">
      <c r="A438" s="7" t="s">
        <v>41</v>
      </c>
      <c r="B438" s="7" t="n">
        <f aca="false">($C$60*(1-B$112))+(($C$61*B$112))</f>
        <v>8018.82390447805</v>
      </c>
      <c r="C438" s="7" t="n">
        <v>0</v>
      </c>
      <c r="D438" s="7" t="n">
        <f aca="false">$C210-D210</f>
        <v>33.1316852502614</v>
      </c>
      <c r="E438" s="7" t="n">
        <f aca="false">$C210-E210</f>
        <v>70.0716051042073</v>
      </c>
      <c r="F438" s="7" t="n">
        <f aca="false">$C210-F210</f>
        <v>111.436495818524</v>
      </c>
      <c r="G438" s="7" t="n">
        <f aca="false">$C210-G210</f>
        <v>157.849268191737</v>
      </c>
      <c r="H438" s="7" t="n">
        <f aca="false">$C210-H210</f>
        <v>209.911846275551</v>
      </c>
      <c r="I438" s="7" t="n">
        <f aca="false">$C210-I210</f>
        <v>268.170222439752</v>
      </c>
      <c r="J438" s="7" t="n">
        <f aca="false">$C210-J210</f>
        <v>333.073017950933</v>
      </c>
      <c r="K438" s="7" t="n">
        <f aca="false">$C210-K210</f>
        <v>404.926549313722</v>
      </c>
      <c r="L438" s="7" t="n">
        <f aca="false">$C210-L210</f>
        <v>483.851234897127</v>
      </c>
      <c r="M438" s="7" t="n">
        <f aca="false">$C210-M210</f>
        <v>569.745628191718</v>
      </c>
      <c r="N438" s="7" t="n">
        <f aca="false">$C210-N210</f>
        <v>662.264795353845</v>
      </c>
      <c r="O438" s="7" t="n">
        <f aca="false">$C210-O210</f>
        <v>760.818627649153</v>
      </c>
      <c r="P438" s="7" t="n">
        <f aca="false">$C210-P210</f>
        <v>864.592867775897</v>
      </c>
      <c r="Q438" s="7" t="n">
        <f aca="false">$C210-Q210</f>
        <v>972.591641038116</v>
      </c>
      <c r="R438" s="7" t="n">
        <f aca="false">$C210-R210</f>
        <v>1083.69620194871</v>
      </c>
      <c r="S438" s="7" t="n">
        <f aca="false">$C210-S210</f>
        <v>1196.73169384418</v>
      </c>
      <c r="T438" s="7" t="n">
        <f aca="false">$C210-T210</f>
        <v>1310.53284736765</v>
      </c>
      <c r="U438" s="7" t="n">
        <f aca="false">$C210-U210</f>
        <v>1424.00081118765</v>
      </c>
      <c r="V438" s="7" t="n">
        <f aca="false">$C210-V210</f>
        <v>1536.14605736749</v>
      </c>
      <c r="W438" s="7" t="n">
        <f aca="false">$C210-W210</f>
        <v>1646.11550720615</v>
      </c>
      <c r="X438" s="7" t="n">
        <f aca="false">$C210-X210</f>
        <v>1753.20476372548</v>
      </c>
      <c r="Y438" s="7" t="n">
        <f aca="false">$C210-Y210</f>
        <v>1856.85810799283</v>
      </c>
      <c r="Z438" s="7" t="n">
        <f aca="false">$C210-Z210</f>
        <v>1956.65965545135</v>
      </c>
      <c r="AA438" s="7" t="n">
        <f aca="false">$C210-AA210</f>
        <v>2052.31900526004</v>
      </c>
      <c r="AB438" s="7" t="n">
        <f aca="false">$C210-AB210</f>
        <v>2143.6541804163</v>
      </c>
      <c r="AC438" s="7" t="n">
        <f aca="false">$C210-AC210</f>
        <v>2230.57394195088</v>
      </c>
    </row>
    <row r="439" s="12" customFormat="true" ht="14.65" hidden="false" customHeight="false" outlineLevel="0" collapsed="false">
      <c r="A439" s="7" t="s">
        <v>20</v>
      </c>
      <c r="B439" s="7" t="n">
        <f aca="false">SUM(B433:B438)</f>
        <v>10288.6433480329</v>
      </c>
      <c r="C439" s="7" t="n">
        <f aca="false">SUM(C433:C438)</f>
        <v>0</v>
      </c>
      <c r="D439" s="7" t="n">
        <f aca="false">SUM(D433:D438)</f>
        <v>213.548140648849</v>
      </c>
      <c r="E439" s="7" t="n">
        <f aca="false">SUM(E433:E438)</f>
        <v>356.558042617825</v>
      </c>
      <c r="F439" s="7" t="n">
        <f aca="false">SUM(F433:F438)</f>
        <v>614.229128058049</v>
      </c>
      <c r="G439" s="7" t="n">
        <f aca="false">SUM(G433:G438)</f>
        <v>677.393515481136</v>
      </c>
      <c r="H439" s="7" t="n">
        <f aca="false">SUM(H433:H438)</f>
        <v>750.395612377293</v>
      </c>
      <c r="I439" s="7" t="n">
        <f aca="false">SUM(I433:I438)</f>
        <v>834.828387056924</v>
      </c>
      <c r="J439" s="7" t="n">
        <f aca="false">SUM(J433:J438)</f>
        <v>932.44918071239</v>
      </c>
      <c r="K439" s="7" t="n">
        <f aca="false">SUM(K433:K438)</f>
        <v>1041.92840994111</v>
      </c>
      <c r="L439" s="7" t="n">
        <f aca="false">SUM(L433:L438)</f>
        <v>1164.12264807033</v>
      </c>
      <c r="M439" s="7" t="n">
        <f aca="false">SUM(M433:M438)</f>
        <v>1306.26745967449</v>
      </c>
      <c r="N439" s="7" t="n">
        <f aca="false">SUM(N433:N438)</f>
        <v>1463.47460789261</v>
      </c>
      <c r="O439" s="7" t="n">
        <f aca="false">SUM(O433:O438)</f>
        <v>1636.41961840232</v>
      </c>
      <c r="P439" s="7" t="n">
        <f aca="false">SUM(P433:P438)</f>
        <v>1825.74371347562</v>
      </c>
      <c r="Q439" s="7" t="n">
        <f aca="false">SUM(Q433:Q438)</f>
        <v>2032.12481992638</v>
      </c>
      <c r="R439" s="7" t="n">
        <f aca="false">SUM(R433:R438)</f>
        <v>2256.3690640038</v>
      </c>
      <c r="S439" s="7" t="n">
        <f aca="false">SUM(S433:S438)</f>
        <v>2499.51519154111</v>
      </c>
      <c r="T439" s="7" t="n">
        <f aca="false">SUM(T433:T438)</f>
        <v>2762.9435760527</v>
      </c>
      <c r="U439" s="7" t="n">
        <f aca="false">SUM(U433:U438)</f>
        <v>3048.48285550904</v>
      </c>
      <c r="V439" s="7" t="n">
        <f aca="false">SUM(V433:V438)</f>
        <v>3358.51011467067</v>
      </c>
      <c r="W439" s="7" t="n">
        <f aca="false">SUM(W433:W438)</f>
        <v>3696.04387943839</v>
      </c>
      <c r="X439" s="7" t="n">
        <f aca="false">SUM(X433:X438)</f>
        <v>4064.83209812615</v>
      </c>
      <c r="Y439" s="7" t="n">
        <f aca="false">SUM(Y433:Y438)</f>
        <v>4340.02198050421</v>
      </c>
      <c r="Z439" s="7" t="n">
        <f aca="false">SUM(Z433:Z438)</f>
        <v>4611.36006607344</v>
      </c>
      <c r="AA439" s="7" t="n">
        <f aca="false">SUM(AA433:AA438)</f>
        <v>4878.55595399285</v>
      </c>
      <c r="AB439" s="7" t="n">
        <f aca="false">SUM(AB433:AB438)</f>
        <v>4337.68986809114</v>
      </c>
      <c r="AC439" s="7" t="n">
        <f aca="false">SUM(AC433:AC438)</f>
        <v>4424.60962962572</v>
      </c>
    </row>
    <row r="440" s="12" customFormat="true" ht="12.8" hidden="false" customHeight="false" outlineLevel="0" collapsed="false">
      <c r="A440" s="7"/>
      <c r="B440" s="7"/>
      <c r="D440" s="7"/>
      <c r="G440" s="21"/>
    </row>
    <row r="441" s="12" customFormat="true" ht="14.65" hidden="false" customHeight="false" outlineLevel="0" collapsed="false">
      <c r="A441" s="7" t="s">
        <v>53</v>
      </c>
      <c r="B441" s="7" t="s">
        <v>36</v>
      </c>
      <c r="C441" s="7" t="n">
        <v>2024</v>
      </c>
      <c r="D441" s="7" t="n">
        <v>2025</v>
      </c>
      <c r="E441" s="7" t="n">
        <v>2026</v>
      </c>
      <c r="F441" s="7" t="n">
        <v>2027</v>
      </c>
      <c r="G441" s="7" t="n">
        <v>2028</v>
      </c>
      <c r="H441" s="7" t="n">
        <v>2029</v>
      </c>
      <c r="I441" s="7" t="n">
        <v>2030</v>
      </c>
      <c r="J441" s="7" t="n">
        <v>2031</v>
      </c>
      <c r="K441" s="7" t="n">
        <v>2032</v>
      </c>
      <c r="L441" s="7" t="n">
        <v>2033</v>
      </c>
      <c r="M441" s="7" t="n">
        <v>2034</v>
      </c>
      <c r="N441" s="7" t="n">
        <v>2035</v>
      </c>
      <c r="O441" s="7" t="n">
        <v>2036</v>
      </c>
      <c r="P441" s="7" t="n">
        <v>2037</v>
      </c>
      <c r="Q441" s="7" t="n">
        <v>2038</v>
      </c>
      <c r="R441" s="7" t="n">
        <v>2039</v>
      </c>
      <c r="S441" s="7" t="n">
        <v>2040</v>
      </c>
      <c r="T441" s="7" t="n">
        <v>2041</v>
      </c>
      <c r="U441" s="7" t="n">
        <v>2042</v>
      </c>
      <c r="V441" s="7" t="n">
        <v>2043</v>
      </c>
      <c r="W441" s="7" t="n">
        <v>2044</v>
      </c>
      <c r="X441" s="7" t="n">
        <v>2045</v>
      </c>
      <c r="Y441" s="7" t="n">
        <v>2046</v>
      </c>
      <c r="Z441" s="7" t="n">
        <v>2047</v>
      </c>
      <c r="AA441" s="7" t="n">
        <v>2048</v>
      </c>
      <c r="AB441" s="7" t="n">
        <v>2049</v>
      </c>
      <c r="AC441" s="7" t="n">
        <v>2050</v>
      </c>
    </row>
    <row r="442" s="12" customFormat="true" ht="14.65" hidden="false" customHeight="false" outlineLevel="0" collapsed="false">
      <c r="A442" s="7" t="s">
        <v>37</v>
      </c>
      <c r="B442" s="7" t="n">
        <f aca="false">B424</f>
        <v>66.585808657411</v>
      </c>
      <c r="C442" s="7" t="n">
        <f aca="false">C424</f>
        <v>0</v>
      </c>
      <c r="D442" s="7" t="n">
        <f aca="false">D424</f>
        <v>41.1310947851035</v>
      </c>
      <c r="E442" s="7" t="n">
        <f aca="false">E424</f>
        <v>45.165746705262</v>
      </c>
      <c r="F442" s="7" t="n">
        <f aca="false">F424</f>
        <v>64.7758639982664</v>
      </c>
      <c r="G442" s="7" t="n">
        <f aca="false">G424</f>
        <v>64.7758639982664</v>
      </c>
      <c r="H442" s="7" t="n">
        <f aca="false">H424</f>
        <v>64.7758639982664</v>
      </c>
      <c r="I442" s="7" t="n">
        <f aca="false">I424</f>
        <v>64.7758639982664</v>
      </c>
      <c r="J442" s="7" t="n">
        <f aca="false">J424</f>
        <v>64.7758639982664</v>
      </c>
      <c r="K442" s="7" t="n">
        <f aca="false">K424</f>
        <v>64.7758639982664</v>
      </c>
      <c r="L442" s="7" t="n">
        <f aca="false">L424</f>
        <v>64.7758639982664</v>
      </c>
      <c r="M442" s="7" t="n">
        <f aca="false">M424</f>
        <v>64.7758639982664</v>
      </c>
      <c r="N442" s="7" t="n">
        <f aca="false">N424</f>
        <v>64.7758639982664</v>
      </c>
      <c r="O442" s="7" t="n">
        <f aca="false">O424</f>
        <v>64.7758639982664</v>
      </c>
      <c r="P442" s="7" t="n">
        <f aca="false">P424</f>
        <v>64.7758639982664</v>
      </c>
      <c r="Q442" s="7" t="n">
        <f aca="false">Q424</f>
        <v>64.7758639982664</v>
      </c>
      <c r="R442" s="7" t="n">
        <f aca="false">R424</f>
        <v>64.7758639982664</v>
      </c>
      <c r="S442" s="7" t="n">
        <f aca="false">S424</f>
        <v>64.7758639982664</v>
      </c>
      <c r="T442" s="7" t="n">
        <f aca="false">T424</f>
        <v>64.7758639982664</v>
      </c>
      <c r="U442" s="7" t="n">
        <f aca="false">U424</f>
        <v>64.7758639982664</v>
      </c>
      <c r="V442" s="7" t="n">
        <f aca="false">V424</f>
        <v>64.7758639982664</v>
      </c>
      <c r="W442" s="7" t="n">
        <f aca="false">W424</f>
        <v>64.7758639982664</v>
      </c>
      <c r="X442" s="7" t="n">
        <f aca="false">X424</f>
        <v>64.7758639982664</v>
      </c>
      <c r="Y442" s="7" t="n">
        <f aca="false">Y424</f>
        <v>64.7758639982664</v>
      </c>
      <c r="Z442" s="7" t="n">
        <f aca="false">Z424</f>
        <v>64.7758639982664</v>
      </c>
      <c r="AA442" s="7" t="n">
        <f aca="false">AA424</f>
        <v>64.7758639982664</v>
      </c>
      <c r="AB442" s="7" t="n">
        <f aca="false">AB424</f>
        <v>64.7758639982664</v>
      </c>
      <c r="AC442" s="7" t="n">
        <f aca="false">AC424</f>
        <v>64.7758639982664</v>
      </c>
    </row>
    <row r="443" s="12" customFormat="true" ht="14.65" hidden="false" customHeight="false" outlineLevel="0" collapsed="false">
      <c r="A443" s="7" t="s">
        <v>18</v>
      </c>
      <c r="B443" s="7" t="n">
        <f aca="false">B425</f>
        <v>114.47391312</v>
      </c>
      <c r="C443" s="7" t="n">
        <f aca="false">C425</f>
        <v>0</v>
      </c>
      <c r="D443" s="7" t="n">
        <f aca="false">D425</f>
        <v>0</v>
      </c>
      <c r="E443" s="7" t="n">
        <f aca="false">E425</f>
        <v>27.2807780166665</v>
      </c>
      <c r="F443" s="7" t="n">
        <f aca="false">F425</f>
        <v>109.123112066666</v>
      </c>
      <c r="G443" s="7" t="n">
        <f aca="false">G425</f>
        <v>109.123112066666</v>
      </c>
      <c r="H443" s="7" t="n">
        <f aca="false">H425</f>
        <v>109.123112066666</v>
      </c>
      <c r="I443" s="7" t="n">
        <f aca="false">I425</f>
        <v>109.123112066666</v>
      </c>
      <c r="J443" s="7" t="n">
        <f aca="false">J425</f>
        <v>109.123112066666</v>
      </c>
      <c r="K443" s="7" t="n">
        <f aca="false">K425</f>
        <v>109.123112066666</v>
      </c>
      <c r="L443" s="7" t="n">
        <f aca="false">L425</f>
        <v>109.123112066666</v>
      </c>
      <c r="M443" s="7" t="n">
        <f aca="false">M425</f>
        <v>109.123112066666</v>
      </c>
      <c r="N443" s="7" t="n">
        <f aca="false">N425</f>
        <v>109.123112066666</v>
      </c>
      <c r="O443" s="7" t="n">
        <f aca="false">O425</f>
        <v>109.123112066666</v>
      </c>
      <c r="P443" s="7" t="n">
        <f aca="false">P425</f>
        <v>109.123112066666</v>
      </c>
      <c r="Q443" s="7" t="n">
        <f aca="false">Q425</f>
        <v>109.123112066666</v>
      </c>
      <c r="R443" s="7" t="n">
        <f aca="false">R425</f>
        <v>109.123112066666</v>
      </c>
      <c r="S443" s="7" t="n">
        <f aca="false">S425</f>
        <v>109.123112066666</v>
      </c>
      <c r="T443" s="7" t="n">
        <f aca="false">T425</f>
        <v>109.123112066666</v>
      </c>
      <c r="U443" s="7" t="n">
        <f aca="false">U425</f>
        <v>109.123112066666</v>
      </c>
      <c r="V443" s="7" t="n">
        <f aca="false">V425</f>
        <v>109.123112066666</v>
      </c>
      <c r="W443" s="7" t="n">
        <f aca="false">W425</f>
        <v>109.123112066666</v>
      </c>
      <c r="X443" s="7" t="n">
        <f aca="false">X425</f>
        <v>109.123112066666</v>
      </c>
      <c r="Y443" s="7" t="n">
        <f aca="false">Y425</f>
        <v>109.123112066666</v>
      </c>
      <c r="Z443" s="7" t="n">
        <f aca="false">Z425</f>
        <v>109.123112066666</v>
      </c>
      <c r="AA443" s="7" t="n">
        <f aca="false">AA425</f>
        <v>109.123112066666</v>
      </c>
      <c r="AB443" s="7" t="n">
        <f aca="false">AB425</f>
        <v>109.123112066666</v>
      </c>
      <c r="AC443" s="7" t="n">
        <f aca="false">AC425</f>
        <v>109.123112066666</v>
      </c>
      <c r="AD443" s="7"/>
    </row>
    <row r="444" s="12" customFormat="true" ht="14.65" hidden="false" customHeight="false" outlineLevel="0" collapsed="false">
      <c r="A444" s="7" t="s">
        <v>38</v>
      </c>
      <c r="B444" s="7" t="n">
        <f aca="false">B426</f>
        <v>0</v>
      </c>
      <c r="C444" s="7" t="n">
        <f aca="false">C426</f>
        <v>0</v>
      </c>
      <c r="D444" s="7" t="n">
        <f aca="false">D426</f>
        <v>98.1542658283809</v>
      </c>
      <c r="E444" s="7" t="n">
        <f aca="false">E426</f>
        <v>130.872354437841</v>
      </c>
      <c r="F444" s="7" t="n">
        <f aca="false">F426</f>
        <v>130.872354437841</v>
      </c>
      <c r="G444" s="7" t="n">
        <f aca="false">G426</f>
        <v>130.872354437841</v>
      </c>
      <c r="H444" s="7" t="n">
        <f aca="false">H426</f>
        <v>130.872354437841</v>
      </c>
      <c r="I444" s="7" t="n">
        <f aca="false">I426</f>
        <v>130.872354437841</v>
      </c>
      <c r="J444" s="7" t="n">
        <f aca="false">J426</f>
        <v>130.872354437841</v>
      </c>
      <c r="K444" s="7" t="n">
        <f aca="false">K426</f>
        <v>130.872354437841</v>
      </c>
      <c r="L444" s="7" t="n">
        <f aca="false">L426</f>
        <v>130.872354437841</v>
      </c>
      <c r="M444" s="7" t="n">
        <f aca="false">M426</f>
        <v>130.872354437841</v>
      </c>
      <c r="N444" s="7" t="n">
        <f aca="false">N426</f>
        <v>130.872354437841</v>
      </c>
      <c r="O444" s="7" t="n">
        <f aca="false">O426</f>
        <v>130.872354437841</v>
      </c>
      <c r="P444" s="7" t="n">
        <f aca="false">P426</f>
        <v>130.872354437841</v>
      </c>
      <c r="Q444" s="7" t="n">
        <f aca="false">Q426</f>
        <v>130.872354437841</v>
      </c>
      <c r="R444" s="7" t="n">
        <f aca="false">R426</f>
        <v>130.872354437841</v>
      </c>
      <c r="S444" s="7" t="n">
        <f aca="false">S426</f>
        <v>130.872354437841</v>
      </c>
      <c r="T444" s="7" t="n">
        <f aca="false">T426</f>
        <v>130.872354437841</v>
      </c>
      <c r="U444" s="7" t="n">
        <f aca="false">U426</f>
        <v>130.872354437841</v>
      </c>
      <c r="V444" s="7" t="n">
        <f aca="false">V426</f>
        <v>130.872354437841</v>
      </c>
      <c r="W444" s="7" t="n">
        <f aca="false">W426</f>
        <v>130.872354437841</v>
      </c>
      <c r="X444" s="7" t="n">
        <f aca="false">X426</f>
        <v>130.872354437841</v>
      </c>
      <c r="Y444" s="7" t="n">
        <f aca="false">Y426</f>
        <v>130.872354437841</v>
      </c>
      <c r="Z444" s="7" t="n">
        <f aca="false">Z426</f>
        <v>130.872354437841</v>
      </c>
      <c r="AA444" s="7" t="n">
        <f aca="false">AA426</f>
        <v>130.872354437841</v>
      </c>
      <c r="AB444" s="7" t="n">
        <f aca="false">AB426</f>
        <v>130.872354437841</v>
      </c>
      <c r="AC444" s="7" t="n">
        <f aca="false">AC426</f>
        <v>130.872354437841</v>
      </c>
      <c r="AD444" s="7"/>
    </row>
    <row r="445" s="12" customFormat="true" ht="14.65" hidden="false" customHeight="false" outlineLevel="0" collapsed="false">
      <c r="A445" s="154" t="s">
        <v>39</v>
      </c>
      <c r="B445" s="7" t="n">
        <f aca="false">B427</f>
        <v>181.059721777411</v>
      </c>
      <c r="C445" s="7" t="n">
        <f aca="false">C427</f>
        <v>0</v>
      </c>
      <c r="D445" s="7" t="n">
        <f aca="false">D427</f>
        <v>41.1310947851035</v>
      </c>
      <c r="E445" s="7" t="n">
        <f aca="false">E427</f>
        <v>72.4465247219286</v>
      </c>
      <c r="F445" s="7" t="n">
        <f aca="false">F427</f>
        <v>173.898976064932</v>
      </c>
      <c r="G445" s="7" t="n">
        <f aca="false">G427</f>
        <v>173.898976064932</v>
      </c>
      <c r="H445" s="7" t="n">
        <f aca="false">H427</f>
        <v>173.898976064932</v>
      </c>
      <c r="I445" s="7" t="n">
        <f aca="false">I427</f>
        <v>173.898976064932</v>
      </c>
      <c r="J445" s="7" t="n">
        <f aca="false">J427</f>
        <v>173.898976064932</v>
      </c>
      <c r="K445" s="7" t="n">
        <f aca="false">K427</f>
        <v>173.898976064932</v>
      </c>
      <c r="L445" s="7" t="n">
        <f aca="false">L427</f>
        <v>173.898976064932</v>
      </c>
      <c r="M445" s="7" t="n">
        <f aca="false">M427</f>
        <v>173.898976064932</v>
      </c>
      <c r="N445" s="7" t="n">
        <f aca="false">N427</f>
        <v>173.898976064932</v>
      </c>
      <c r="O445" s="7" t="n">
        <f aca="false">O427</f>
        <v>173.898976064932</v>
      </c>
      <c r="P445" s="7" t="n">
        <f aca="false">P427</f>
        <v>173.898976064932</v>
      </c>
      <c r="Q445" s="7" t="n">
        <f aca="false">Q427</f>
        <v>173.898976064932</v>
      </c>
      <c r="R445" s="7" t="n">
        <f aca="false">R427</f>
        <v>173.898976064932</v>
      </c>
      <c r="S445" s="7" t="n">
        <f aca="false">S427</f>
        <v>173.898976064932</v>
      </c>
      <c r="T445" s="7" t="n">
        <f aca="false">T427</f>
        <v>173.898976064932</v>
      </c>
      <c r="U445" s="7" t="n">
        <f aca="false">U427</f>
        <v>173.898976064932</v>
      </c>
      <c r="V445" s="7" t="n">
        <f aca="false">V427</f>
        <v>173.898976064932</v>
      </c>
      <c r="W445" s="7" t="n">
        <f aca="false">W427</f>
        <v>173.898976064932</v>
      </c>
      <c r="X445" s="7" t="n">
        <f aca="false">X427</f>
        <v>173.898976064932</v>
      </c>
      <c r="Y445" s="7" t="n">
        <f aca="false">Y427</f>
        <v>173.898976064932</v>
      </c>
      <c r="Z445" s="7" t="n">
        <f aca="false">Z427</f>
        <v>173.898976064932</v>
      </c>
      <c r="AA445" s="7" t="n">
        <f aca="false">AA427</f>
        <v>173.898976064932</v>
      </c>
      <c r="AB445" s="7" t="n">
        <f aca="false">AB427</f>
        <v>173.898976064932</v>
      </c>
      <c r="AC445" s="7" t="n">
        <f aca="false">AC427</f>
        <v>173.898976064932</v>
      </c>
      <c r="AD445" s="139"/>
    </row>
    <row r="446" s="12" customFormat="true" ht="14.65" hidden="false" customHeight="false" outlineLevel="0" collapsed="false">
      <c r="A446" s="7" t="s">
        <v>40</v>
      </c>
      <c r="B446" s="7" t="n">
        <f aca="false">$B$76</f>
        <v>1907.7</v>
      </c>
      <c r="C446" s="7" t="n">
        <v>0</v>
      </c>
      <c r="D446" s="7" t="n">
        <f aca="false">$C201-D201</f>
        <v>0</v>
      </c>
      <c r="E446" s="7" t="n">
        <f aca="false">$C201-E201</f>
        <v>7.14735575461305</v>
      </c>
      <c r="F446" s="7" t="n">
        <f aca="false">$C201-F201</f>
        <v>16.4389182356101</v>
      </c>
      <c r="G446" s="7" t="n">
        <f aca="false">$C201-G201</f>
        <v>28.517949460906</v>
      </c>
      <c r="H446" s="7" t="n">
        <f aca="false">$C201-H201</f>
        <v>42.4088353699967</v>
      </c>
      <c r="I446" s="7" t="n">
        <f aca="false">$C201-I201</f>
        <v>58.383354165451</v>
      </c>
      <c r="J446" s="7" t="n">
        <f aca="false">$C201-J201</f>
        <v>76.754050780223</v>
      </c>
      <c r="K446" s="7" t="n">
        <f aca="false">$C201-K201</f>
        <v>97.880351887211</v>
      </c>
      <c r="L446" s="7" t="n">
        <f aca="false">$C201-L201</f>
        <v>122.175598160247</v>
      </c>
      <c r="M446" s="7" t="n">
        <f aca="false">$C201-M201</f>
        <v>153.759418315195</v>
      </c>
      <c r="N446" s="7" t="n">
        <f aca="false">$C201-N201</f>
        <v>190.080811493384</v>
      </c>
      <c r="O446" s="7" t="n">
        <f aca="false">$C201-O201</f>
        <v>231.850413648301</v>
      </c>
      <c r="P446" s="7" t="n">
        <f aca="false">$C201-P201</f>
        <v>279.885456126456</v>
      </c>
      <c r="Q446" s="7" t="n">
        <f aca="false">$C201-Q201</f>
        <v>335.125754976335</v>
      </c>
      <c r="R446" s="7" t="n">
        <f aca="false">$C201-R201</f>
        <v>398.652098653695</v>
      </c>
      <c r="S446" s="7" t="n">
        <f aca="false">$C201-S201</f>
        <v>471.707393882659</v>
      </c>
      <c r="T446" s="7" t="n">
        <f aca="false">$C201-T201</f>
        <v>555.720983395968</v>
      </c>
      <c r="U446" s="7" t="n">
        <f aca="false">$C201-U201</f>
        <v>652.336611336273</v>
      </c>
      <c r="V446" s="7" t="n">
        <f aca="false">$C201-V201</f>
        <v>763.444583467624</v>
      </c>
      <c r="W446" s="7" t="n">
        <f aca="false">$C201-W201</f>
        <v>891.218751418678</v>
      </c>
      <c r="X446" s="7" t="n">
        <f aca="false">$C201-X201</f>
        <v>1038.15904456239</v>
      </c>
      <c r="Y446" s="7" t="n">
        <f aca="false">$C201-Y201</f>
        <v>1207.14038167766</v>
      </c>
      <c r="Z446" s="7" t="n">
        <f aca="false">$C201-Z201</f>
        <v>1401.46891936022</v>
      </c>
      <c r="AA446" s="7" t="n">
        <f aca="false">$C201-AA201</f>
        <v>1624.94673769516</v>
      </c>
      <c r="AB446" s="7" t="n">
        <f aca="false">$C201-AB201</f>
        <v>1796.48327580587</v>
      </c>
      <c r="AC446" s="7" t="n">
        <f aca="false">$C201-AC201</f>
        <v>1968.01981391659</v>
      </c>
    </row>
    <row r="447" s="12" customFormat="true" ht="14.65" hidden="false" customHeight="false" outlineLevel="0" collapsed="false">
      <c r="A447" s="7" t="s">
        <v>41</v>
      </c>
      <c r="B447" s="7" t="n">
        <f aca="false">($C$60*(1-B$112))+(($C$61*B$112))</f>
        <v>8018.82390447805</v>
      </c>
      <c r="C447" s="7" t="n">
        <v>0</v>
      </c>
      <c r="D447" s="7" t="n">
        <f aca="false">$C202-D202</f>
        <v>19.6686297201713</v>
      </c>
      <c r="E447" s="7" t="n">
        <f aca="false">$C202-E202</f>
        <v>41.8369163995621</v>
      </c>
      <c r="F447" s="7" t="n">
        <f aca="false">$C202-F202</f>
        <v>66.9893859230406</v>
      </c>
      <c r="G447" s="7" t="n">
        <f aca="false">$C202-G202</f>
        <v>95.6569805329164</v>
      </c>
      <c r="H447" s="7" t="n">
        <f aca="false">$C202-H202</f>
        <v>128.41024413789</v>
      </c>
      <c r="I447" s="7" t="n">
        <f aca="false">$C202-I202</f>
        <v>165.846861788582</v>
      </c>
      <c r="J447" s="7" t="n">
        <f aca="false">$C202-J202</f>
        <v>208.572302380443</v>
      </c>
      <c r="K447" s="7" t="n">
        <f aca="false">$C202-K202</f>
        <v>257.172709759921</v>
      </c>
      <c r="L447" s="7" t="n">
        <f aca="false">$C202-L202</f>
        <v>312.180006326571</v>
      </c>
      <c r="M447" s="7" t="n">
        <f aca="false">$C202-M202</f>
        <v>374.03047243828</v>
      </c>
      <c r="N447" s="7" t="n">
        <f aca="false">$C202-N202</f>
        <v>443.0197709713</v>
      </c>
      <c r="O447" s="7" t="n">
        <f aca="false">$C202-O202</f>
        <v>519.259222194801</v>
      </c>
      <c r="P447" s="7" t="n">
        <f aca="false">$C202-P202</f>
        <v>602.639597423853</v>
      </c>
      <c r="Q447" s="7" t="n">
        <f aca="false">$C202-Q202</f>
        <v>692.80915332115</v>
      </c>
      <c r="R447" s="7" t="n">
        <f aca="false">$C202-R202</f>
        <v>789.171530207531</v>
      </c>
      <c r="S447" s="7" t="n">
        <f aca="false">$C202-S202</f>
        <v>890.906351874145</v>
      </c>
      <c r="T447" s="7" t="n">
        <f aca="false">$C202-T202</f>
        <v>997.01138831437</v>
      </c>
      <c r="U447" s="7" t="n">
        <f aca="false">$C202-U202</f>
        <v>1106.36105336707</v>
      </c>
      <c r="V447" s="7" t="n">
        <f aca="false">$C202-V202</f>
        <v>1217.77306790969</v>
      </c>
      <c r="W447" s="7" t="n">
        <f aca="false">$C202-W202</f>
        <v>1330.07421038503</v>
      </c>
      <c r="X447" s="7" t="n">
        <f aca="false">$C202-X202</f>
        <v>1442.15731204651</v>
      </c>
      <c r="Y447" s="7" t="n">
        <f aca="false">$C202-Y202</f>
        <v>1553.02438679041</v>
      </c>
      <c r="Z447" s="7" t="n">
        <f aca="false">$C202-Z202</f>
        <v>1661.81398967256</v>
      </c>
      <c r="AA447" s="7" t="n">
        <f aca="false">$C202-AA202</f>
        <v>1767.81365174202</v>
      </c>
      <c r="AB447" s="7" t="n">
        <f aca="false">$C202-AB202</f>
        <v>1870.46002757212</v>
      </c>
      <c r="AC447" s="7" t="n">
        <f aca="false">$C202-AC202</f>
        <v>1969.33014668555</v>
      </c>
    </row>
    <row r="448" s="12" customFormat="true" ht="14.65" hidden="false" customHeight="false" outlineLevel="0" collapsed="false">
      <c r="A448" s="7" t="s">
        <v>20</v>
      </c>
      <c r="B448" s="7" t="n">
        <f aca="false">SUM(B442:B447)</f>
        <v>10288.6433480329</v>
      </c>
      <c r="C448" s="7" t="n">
        <f aca="false">SUM(C442:C447)</f>
        <v>0</v>
      </c>
      <c r="D448" s="7" t="n">
        <f aca="false">SUM(D442:D447)</f>
        <v>200.085085118759</v>
      </c>
      <c r="E448" s="7" t="n">
        <f aca="false">SUM(E442:E447)</f>
        <v>324.749676035873</v>
      </c>
      <c r="F448" s="7" t="n">
        <f aca="false">SUM(F442:F447)</f>
        <v>562.098610726357</v>
      </c>
      <c r="G448" s="7" t="n">
        <f aca="false">SUM(G442:G447)</f>
        <v>602.845236561528</v>
      </c>
      <c r="H448" s="7" t="n">
        <f aca="false">SUM(H442:H447)</f>
        <v>649.489386075593</v>
      </c>
      <c r="I448" s="7" t="n">
        <f aca="false">SUM(I442:I447)</f>
        <v>702.900522521739</v>
      </c>
      <c r="J448" s="7" t="n">
        <f aca="false">SUM(J442:J447)</f>
        <v>763.996659728372</v>
      </c>
      <c r="K448" s="7" t="n">
        <f aca="false">SUM(K442:K447)</f>
        <v>833.723368214838</v>
      </c>
      <c r="L448" s="7" t="n">
        <f aca="false">SUM(L442:L447)</f>
        <v>913.025911054524</v>
      </c>
      <c r="M448" s="7" t="n">
        <f aca="false">SUM(M442:M447)</f>
        <v>1006.46019732118</v>
      </c>
      <c r="N448" s="7" t="n">
        <f aca="false">SUM(N442:N447)</f>
        <v>1111.77088903239</v>
      </c>
      <c r="O448" s="7" t="n">
        <f aca="false">SUM(O442:O447)</f>
        <v>1229.77994241081</v>
      </c>
      <c r="P448" s="7" t="n">
        <f aca="false">SUM(P442:P447)</f>
        <v>1361.19536011802</v>
      </c>
      <c r="Q448" s="7" t="n">
        <f aca="false">SUM(Q442:Q447)</f>
        <v>1506.60521486519</v>
      </c>
      <c r="R448" s="7" t="n">
        <f aca="false">SUM(R442:R447)</f>
        <v>1666.49393542893</v>
      </c>
      <c r="S448" s="7" t="n">
        <f aca="false">SUM(S442:S447)</f>
        <v>1841.28405232451</v>
      </c>
      <c r="T448" s="7" t="n">
        <f aca="false">SUM(T442:T447)</f>
        <v>2031.40267827804</v>
      </c>
      <c r="U448" s="7" t="n">
        <f aca="false">SUM(U442:U447)</f>
        <v>2237.36797127104</v>
      </c>
      <c r="V448" s="7" t="n">
        <f aca="false">SUM(V442:V447)</f>
        <v>2459.88795794502</v>
      </c>
      <c r="W448" s="7" t="n">
        <f aca="false">SUM(W442:W447)</f>
        <v>2699.96326837141</v>
      </c>
      <c r="X448" s="7" t="n">
        <f aca="false">SUM(X442:X447)</f>
        <v>2958.9866631766</v>
      </c>
      <c r="Y448" s="7" t="n">
        <f aca="false">SUM(Y442:Y447)</f>
        <v>3238.83507503578</v>
      </c>
      <c r="Z448" s="7" t="n">
        <f aca="false">SUM(Z442:Z447)</f>
        <v>3541.95321560048</v>
      </c>
      <c r="AA448" s="7" t="n">
        <f aca="false">SUM(AA442:AA447)</f>
        <v>3871.43069600488</v>
      </c>
      <c r="AB448" s="7" t="n">
        <f aca="false">SUM(AB442:AB447)</f>
        <v>4145.6136099457</v>
      </c>
      <c r="AC448" s="7" t="n">
        <f aca="false">SUM(AC442:AC447)</f>
        <v>4416.02026716984</v>
      </c>
    </row>
    <row r="449" s="12" customFormat="true" ht="12.8" hidden="false" customHeight="false" outlineLevel="0" collapsed="false">
      <c r="A449" s="7"/>
      <c r="B449" s="7"/>
      <c r="D449" s="7"/>
      <c r="G449" s="21"/>
    </row>
    <row r="452" customFormat="false" ht="14.65" hidden="false" customHeight="false" outlineLevel="0" collapsed="false">
      <c r="A452" s="4" t="s">
        <v>0</v>
      </c>
      <c r="B452" s="4" t="s">
        <v>1</v>
      </c>
      <c r="C452" s="4" t="s">
        <v>2</v>
      </c>
      <c r="D452" s="1" t="s">
        <v>3</v>
      </c>
    </row>
    <row r="453" customFormat="false" ht="14.65" hidden="false" customHeight="false" outlineLevel="0" collapsed="false">
      <c r="A453" s="4" t="s">
        <v>7</v>
      </c>
      <c r="B453" s="7" t="n">
        <f aca="false">SUM(D446:I446)</f>
        <v>152.896412986577</v>
      </c>
      <c r="C453" s="7" t="n">
        <f aca="false">SUM(D446:N446)</f>
        <v>793.546643622836</v>
      </c>
      <c r="D453" s="7" t="n">
        <f aca="false">SUM(D446:AC446)</f>
        <v>14409.7068635467</v>
      </c>
    </row>
    <row r="454" customFormat="false" ht="14.65" hidden="false" customHeight="false" outlineLevel="0" collapsed="false">
      <c r="A454" s="4" t="s">
        <v>8</v>
      </c>
      <c r="B454" s="7" t="n">
        <f aca="false">SUM(D447:I447)</f>
        <v>518.409018502162</v>
      </c>
      <c r="C454" s="7" t="n">
        <f aca="false">SUM(D447:N447)</f>
        <v>2113.38428037868</v>
      </c>
      <c r="D454" s="7" t="n">
        <f aca="false">SUM(D447:AC447)</f>
        <v>20523.9893698855</v>
      </c>
    </row>
    <row r="455" customFormat="false" ht="14.65" hidden="false" customHeight="false" outlineLevel="0" collapsed="false">
      <c r="A455" s="4" t="s">
        <v>9</v>
      </c>
      <c r="B455" s="21" t="n">
        <f aca="false">SUM(B453:B454)</f>
        <v>671.305431488739</v>
      </c>
      <c r="C455" s="21" t="n">
        <f aca="false">SUM(C453:C454)</f>
        <v>2906.93092400151</v>
      </c>
      <c r="D455" s="21" t="n">
        <f aca="false">SUM(D453:D454)</f>
        <v>34933.6962334322</v>
      </c>
    </row>
    <row r="456" customFormat="false" ht="14.65" hidden="false" customHeight="false" outlineLevel="0" collapsed="false">
      <c r="A456" s="4" t="s">
        <v>10</v>
      </c>
      <c r="B456" s="7" t="n">
        <f aca="false">SUM(D437:I437)</f>
        <v>225.518617608934</v>
      </c>
      <c r="C456" s="7" t="n">
        <f aca="false">SUM(D437:N437)</f>
        <v>1286.54816535399</v>
      </c>
      <c r="D456" s="7" t="n">
        <f aca="false">SUM(D437:AC437)</f>
        <v>21091.2200860901</v>
      </c>
    </row>
    <row r="457" customFormat="false" ht="14.65" hidden="false" customHeight="false" outlineLevel="0" collapsed="false">
      <c r="A457" s="4" t="s">
        <v>11</v>
      </c>
      <c r="B457" s="7" t="n">
        <f aca="false">SUM(D438:I438)</f>
        <v>850.571123080033</v>
      </c>
      <c r="C457" s="7" t="n">
        <f aca="false">SUM(D438:N438)</f>
        <v>3304.43234878738</v>
      </c>
      <c r="D457" s="7" t="n">
        <f aca="false">SUM(D438:AC438)</f>
        <v>26092.9282589692</v>
      </c>
    </row>
    <row r="458" customFormat="false" ht="14.65" hidden="false" customHeight="false" outlineLevel="0" collapsed="false">
      <c r="A458" s="4" t="s">
        <v>12</v>
      </c>
      <c r="B458" s="21" t="n">
        <f aca="false">SUM(B456:B457)</f>
        <v>1076.08974068897</v>
      </c>
      <c r="C458" s="21" t="n">
        <f aca="false">SUM(C456:C457)</f>
        <v>4590.98051414136</v>
      </c>
      <c r="D458" s="21" t="n">
        <f aca="false">SUM(D456:D457)</f>
        <v>47184.1483450593</v>
      </c>
    </row>
    <row r="459" customFormat="false" ht="14.65" hidden="false" customHeight="false" outlineLevel="0" collapsed="false">
      <c r="A459" s="4" t="s">
        <v>13</v>
      </c>
      <c r="B459" s="7" t="n">
        <f aca="false">SUM(D428:I428)</f>
        <v>461.175982710654</v>
      </c>
      <c r="C459" s="7" t="n">
        <f aca="false">SUM(D428:N428)</f>
        <v>3257.76475295264</v>
      </c>
      <c r="D459" s="7" t="n">
        <f aca="false">SUM(D428:AC428)</f>
        <v>26741.8286969425</v>
      </c>
    </row>
    <row r="460" customFormat="false" ht="14.65" hidden="false" customHeight="false" outlineLevel="0" collapsed="false">
      <c r="A460" s="4" t="s">
        <v>14</v>
      </c>
      <c r="B460" s="7" t="n">
        <f aca="false">SUM(D429:I429)</f>
        <v>1994.66994606649</v>
      </c>
      <c r="C460" s="7" t="n">
        <f aca="false">SUM(D429:N429)</f>
        <v>8026.97122201375</v>
      </c>
      <c r="D460" s="7" t="n">
        <f aca="false">SUM(D429:AC429)</f>
        <v>52442.5779499171</v>
      </c>
    </row>
    <row r="461" customFormat="false" ht="14.65" hidden="false" customHeight="false" outlineLevel="0" collapsed="false">
      <c r="A461" s="4" t="s">
        <v>15</v>
      </c>
      <c r="B461" s="21" t="n">
        <f aca="false">SUM(B459:B460)</f>
        <v>2455.84592877714</v>
      </c>
      <c r="C461" s="21" t="n">
        <f aca="false">SUM(C459:C460)</f>
        <v>11284.7359749664</v>
      </c>
      <c r="D461" s="21" t="n">
        <f aca="false">SUM(D459:D460)</f>
        <v>79184.4066468597</v>
      </c>
    </row>
    <row r="462" customFormat="false" ht="14.65" hidden="false" customHeight="false" outlineLevel="0" collapsed="false">
      <c r="B462" s="7"/>
      <c r="C462" s="12"/>
      <c r="D462" s="7"/>
    </row>
    <row r="463" customFormat="false" ht="14.65" hidden="false" customHeight="false" outlineLevel="0" collapsed="false">
      <c r="A463" s="1" t="s">
        <v>16</v>
      </c>
      <c r="B463" s="7"/>
      <c r="C463" s="12"/>
      <c r="D463" s="7"/>
    </row>
    <row r="464" customFormat="false" ht="14.65" hidden="false" customHeight="false" outlineLevel="0" collapsed="false">
      <c r="A464" s="9" t="s">
        <v>17</v>
      </c>
      <c r="B464" s="7" t="n">
        <f aca="false">SUM(D424:I424)</f>
        <v>345.400297483431</v>
      </c>
      <c r="C464" s="7" t="n">
        <f aca="false">SUM(D424:N424)</f>
        <v>669.279617474763</v>
      </c>
      <c r="D464" s="7" t="n">
        <f aca="false">SUM(D424:AC424)</f>
        <v>1640.91757744876</v>
      </c>
    </row>
    <row r="465" customFormat="false" ht="14.65" hidden="false" customHeight="false" outlineLevel="0" collapsed="false">
      <c r="A465" s="9" t="s">
        <v>18</v>
      </c>
      <c r="B465" s="7" t="n">
        <f aca="false">SUM(D425:I425)</f>
        <v>463.773226283331</v>
      </c>
      <c r="C465" s="7" t="n">
        <f aca="false">SUM(D425:N425)</f>
        <v>1009.38878661666</v>
      </c>
      <c r="D465" s="7" t="n">
        <f aca="false">SUM(D425:AC425)</f>
        <v>2646.23546761665</v>
      </c>
    </row>
    <row r="466" customFormat="false" ht="14.65" hidden="false" customHeight="false" outlineLevel="0" collapsed="false">
      <c r="A466" s="9" t="s">
        <v>19</v>
      </c>
      <c r="B466" s="7" t="n">
        <f aca="false">SUM(D426:I426)</f>
        <v>752.516038017587</v>
      </c>
      <c r="C466" s="7" t="n">
        <f aca="false">SUM(D426:N426)</f>
        <v>1406.87781020679</v>
      </c>
      <c r="D466" s="7" t="n">
        <f aca="false">SUM(D426:AC426)</f>
        <v>3369.96312677441</v>
      </c>
    </row>
    <row r="467" customFormat="false" ht="14.65" hidden="false" customHeight="false" outlineLevel="0" collapsed="false">
      <c r="A467" s="10" t="s">
        <v>20</v>
      </c>
      <c r="B467" s="21" t="n">
        <f aca="false">SUM(B464:B466)</f>
        <v>1561.68956178435</v>
      </c>
      <c r="C467" s="21" t="n">
        <f aca="false">SUM(C464:C466)</f>
        <v>3085.54621429822</v>
      </c>
      <c r="D467" s="21" t="n">
        <f aca="false">SUM(D464:D466)</f>
        <v>7657.11617183982</v>
      </c>
    </row>
    <row r="468" customFormat="false" ht="14.65" hidden="false" customHeight="false" outlineLevel="0" collapsed="false">
      <c r="B468" s="7"/>
      <c r="C468" s="12"/>
      <c r="D468" s="7"/>
    </row>
    <row r="469" customFormat="false" ht="14.65" hidden="false" customHeight="false" outlineLevel="0" collapsed="false">
      <c r="A469" s="1" t="s">
        <v>21</v>
      </c>
      <c r="B469" s="7" t="n">
        <f aca="false">B455+B467</f>
        <v>2232.99499327309</v>
      </c>
      <c r="C469" s="7" t="n">
        <f aca="false">C455+C467</f>
        <v>5992.47713829973</v>
      </c>
      <c r="D469" s="7" t="n">
        <f aca="false">D455+D467</f>
        <v>42590.812405272</v>
      </c>
    </row>
    <row r="470" customFormat="false" ht="14.65" hidden="false" customHeight="false" outlineLevel="0" collapsed="false">
      <c r="A470" s="1" t="s">
        <v>22</v>
      </c>
      <c r="B470" s="7" t="n">
        <f aca="false">B467+B458</f>
        <v>2637.77930247331</v>
      </c>
      <c r="C470" s="7" t="n">
        <f aca="false">C467+C458</f>
        <v>7676.52672843958</v>
      </c>
      <c r="D470" s="7" t="n">
        <f aca="false">D467+D458</f>
        <v>54841.2645168991</v>
      </c>
    </row>
    <row r="471" customFormat="false" ht="14.65" hidden="false" customHeight="false" outlineLevel="0" collapsed="false">
      <c r="A471" s="1" t="s">
        <v>23</v>
      </c>
      <c r="B471" s="7" t="n">
        <f aca="false">B461+B467</f>
        <v>4017.53549056149</v>
      </c>
      <c r="C471" s="7" t="n">
        <f aca="false">C461+C467</f>
        <v>14370.2821892646</v>
      </c>
      <c r="D471" s="7" t="n">
        <f aca="false">D461+D467</f>
        <v>86841.5228186995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7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48" activeCellId="1" sqref="B3:D14 D48"/>
    </sheetView>
  </sheetViews>
  <sheetFormatPr defaultColWidth="12.8046875" defaultRowHeight="12.8" zeroHeight="false" outlineLevelRow="0" outlineLevelCol="0"/>
  <cols>
    <col collapsed="false" customWidth="true" hidden="false" outlineLevel="0" max="1" min="1" style="1" width="21.41"/>
    <col collapsed="false" customWidth="true" hidden="false" outlineLevel="0" max="2" min="2" style="0" width="32.26"/>
    <col collapsed="false" customWidth="false" hidden="false" outlineLevel="0" max="3" min="3" style="124" width="12.8"/>
    <col collapsed="false" customWidth="true" hidden="false" outlineLevel="0" max="4" min="4" style="0" width="14.66"/>
    <col collapsed="false" customWidth="true" hidden="false" outlineLevel="0" max="5" min="5" style="0" width="16.05"/>
    <col collapsed="false" customWidth="true" hidden="false" outlineLevel="0" max="6" min="6" style="0" width="17.6"/>
    <col collapsed="false" customWidth="true" hidden="false" outlineLevel="0" max="7" min="7" style="0" width="16.36"/>
  </cols>
  <sheetData>
    <row r="1" customFormat="false" ht="12.8" hidden="false" customHeight="false" outlineLevel="0" collapsed="false">
      <c r="A1" s="1" t="s">
        <v>364</v>
      </c>
      <c r="B1" s="1" t="s">
        <v>354</v>
      </c>
      <c r="C1" s="124" t="s">
        <v>365</v>
      </c>
      <c r="D1" s="0" t="s">
        <v>366</v>
      </c>
      <c r="E1" s="0" t="s">
        <v>367</v>
      </c>
      <c r="F1" s="0" t="s">
        <v>368</v>
      </c>
      <c r="G1" s="0" t="s">
        <v>369</v>
      </c>
      <c r="H1" s="0" t="s">
        <v>370</v>
      </c>
      <c r="I1" s="0" t="s">
        <v>371</v>
      </c>
    </row>
    <row r="2" customFormat="false" ht="12.8" hidden="false" customHeight="false" outlineLevel="0" collapsed="false">
      <c r="A2" s="1" t="s">
        <v>372</v>
      </c>
      <c r="B2" s="1"/>
    </row>
    <row r="3" customFormat="false" ht="15.8" hidden="false" customHeight="false" outlineLevel="0" collapsed="false">
      <c r="A3" s="1" t="s">
        <v>373</v>
      </c>
      <c r="B3" s="4" t="n">
        <f aca="false">('Solar GHG Calculations'!C13/31)/4.7</f>
        <v>32.6149622512011</v>
      </c>
      <c r="C3" s="155" t="n">
        <f aca="false">('Electric Cars'!$E$18)*B3</f>
        <v>68687.1105010295</v>
      </c>
      <c r="D3" s="101" t="n">
        <f aca="false">B3*3330</f>
        <v>108607.8242965</v>
      </c>
      <c r="E3" s="101" t="n">
        <f aca="false">4000*B3</f>
        <v>130459.849004804</v>
      </c>
      <c r="F3" s="101" t="n">
        <f aca="false">$G$75*$B3+$G$69*(1*($B3*4.7))+225507.316624256</f>
        <v>300455.989628619</v>
      </c>
      <c r="G3" s="101" t="n">
        <f aca="false">$G$75*$B3+$G$69*(3*($B3*4.7))+225507.316624256</f>
        <v>385094.122288064</v>
      </c>
      <c r="H3" s="137" t="n">
        <v>66.58</v>
      </c>
      <c r="I3" s="137" t="n">
        <v>199.74</v>
      </c>
    </row>
    <row r="4" customFormat="false" ht="15.8" hidden="false" customHeight="false" outlineLevel="0" collapsed="false">
      <c r="A4" s="1" t="s">
        <v>374</v>
      </c>
      <c r="B4" s="4" t="n">
        <f aca="false">('Electric Cars'!J2*5)/4.7</f>
        <v>14.2968893640654</v>
      </c>
      <c r="C4" s="155" t="n">
        <f aca="false">('Electric Cars'!$E$18)*B4</f>
        <v>30109.2490007217</v>
      </c>
      <c r="D4" s="101" t="n">
        <f aca="false">B4*3330</f>
        <v>47608.6415823377</v>
      </c>
      <c r="E4" s="101" t="n">
        <f aca="false">4000*B4</f>
        <v>57187.5574562615</v>
      </c>
      <c r="F4" s="101" t="n">
        <f aca="false">$G$75*$B4+$G$69*(1*($B4*4.7))+225507.316624256</f>
        <v>258361.344713386</v>
      </c>
      <c r="G4" s="101" t="n">
        <f aca="false">$G$75*$B4+$G$69*(3*($B4*4.7))+225507.316624256</f>
        <v>295462.783289131</v>
      </c>
      <c r="H4" s="137" t="n">
        <v>67.2</v>
      </c>
      <c r="I4" s="137" t="n">
        <v>201.59</v>
      </c>
    </row>
    <row r="5" customFormat="false" ht="15.8" hidden="false" customHeight="false" outlineLevel="0" collapsed="false">
      <c r="A5" s="156" t="s">
        <v>375</v>
      </c>
      <c r="B5" s="157" t="n">
        <f aca="false">B4*1.2</f>
        <v>17.1562672368784</v>
      </c>
      <c r="C5" s="155" t="n">
        <f aca="false">('Electric Cars'!$E$18)*B5</f>
        <v>36131.098800866</v>
      </c>
      <c r="D5" s="101" t="n">
        <f aca="false">B5*3330</f>
        <v>57130.3698988052</v>
      </c>
      <c r="E5" s="101" t="n">
        <f aca="false">4000*B5</f>
        <v>68625.0689475138</v>
      </c>
      <c r="F5" s="101" t="n">
        <f aca="false">$G$75*$B5+$G$69*(1*($B5*4.7))+225507.316624256</f>
        <v>264932.150331212</v>
      </c>
      <c r="G5" s="101" t="n">
        <f aca="false">$G$75*$B5+$G$69*(3*($B5*4.7))+225507.316624256</f>
        <v>309453.876622107</v>
      </c>
      <c r="H5" s="137" t="n">
        <v>80.63</v>
      </c>
      <c r="I5" s="137" t="n">
        <v>241.9</v>
      </c>
    </row>
    <row r="6" customFormat="false" ht="15.8" hidden="false" customHeight="false" outlineLevel="0" collapsed="false">
      <c r="A6" s="1" t="s">
        <v>20</v>
      </c>
      <c r="B6" s="4" t="n">
        <f aca="false">SUM(B3:B4)</f>
        <v>46.9118516152665</v>
      </c>
      <c r="C6" s="155" t="n">
        <f aca="false">('Electric Cars'!$E$18)*B6</f>
        <v>98796.3595017512</v>
      </c>
      <c r="D6" s="101" t="n">
        <f aca="false">B6*3330</f>
        <v>156216.465878837</v>
      </c>
      <c r="E6" s="101" t="n">
        <f aca="false">4000*B6</f>
        <v>187647.406461066</v>
      </c>
      <c r="F6" s="101" t="n">
        <f aca="false">$G$75*$B6+$G$69*(1*($B6*4.7))+225507.316624256</f>
        <v>333310.017717749</v>
      </c>
      <c r="G6" s="101" t="n">
        <f aca="false">$G$75*$B6+$G$69*(3*($B6*4.7))+225507.316624256</f>
        <v>455049.58895294</v>
      </c>
      <c r="H6" s="137" t="n">
        <v>133.78</v>
      </c>
      <c r="I6" s="137" t="n">
        <v>401.33</v>
      </c>
    </row>
    <row r="7" customFormat="false" ht="15.8" hidden="false" customHeight="false" outlineLevel="0" collapsed="false">
      <c r="A7" s="1" t="s">
        <v>376</v>
      </c>
      <c r="B7" s="4" t="n">
        <f aca="false">B3*1.2+B5</f>
        <v>56.2942219383198</v>
      </c>
      <c r="C7" s="155" t="n">
        <f aca="false">('Electric Cars'!$E$18)*B7</f>
        <v>118555.631402101</v>
      </c>
      <c r="D7" s="101" t="n">
        <f aca="false">B7*3330</f>
        <v>187459.759054605</v>
      </c>
      <c r="E7" s="101" t="n">
        <f aca="false">4000*B7</f>
        <v>225176.887753279</v>
      </c>
      <c r="F7" s="101" t="n">
        <f aca="false">$G$75*$B7+$G$69*(1*($B7*4.7))+225507.316624256</f>
        <v>354870.557936448</v>
      </c>
      <c r="G7" s="101" t="n">
        <f aca="false">$G$75*$B7+$G$69*(3*($B7*4.7))+225507.316624256</f>
        <v>500958.043418676</v>
      </c>
      <c r="H7" s="137" t="n">
        <v>160.53</v>
      </c>
      <c r="I7" s="137" t="n">
        <v>481.59</v>
      </c>
    </row>
    <row r="8" customFormat="false" ht="15.8" hidden="false" customHeight="false" outlineLevel="0" collapsed="false">
      <c r="B8" s="4"/>
      <c r="C8" s="155"/>
      <c r="D8" s="101"/>
      <c r="E8" s="101"/>
      <c r="F8" s="101"/>
      <c r="G8" s="101"/>
      <c r="H8" s="137"/>
      <c r="I8" s="137"/>
    </row>
    <row r="9" customFormat="false" ht="15.8" hidden="false" customHeight="false" outlineLevel="0" collapsed="false">
      <c r="A9" s="1" t="s">
        <v>377</v>
      </c>
      <c r="B9" s="4" t="n">
        <f aca="false">('Solar GHG Calculations'!C14/31)/4.7</f>
        <v>42.0281400137268</v>
      </c>
      <c r="C9" s="155" t="n">
        <f aca="false">('Electric Cars'!$E$18)*B9</f>
        <v>88511.2628689087</v>
      </c>
      <c r="D9" s="101" t="n">
        <f aca="false">B9*3330</f>
        <v>139953.70624571</v>
      </c>
      <c r="E9" s="101" t="n">
        <f aca="false">4000*B9</f>
        <v>168112.560054907</v>
      </c>
      <c r="F9" s="101" t="n">
        <f aca="false">$G$75*$B9+$G$69*(1*($B9*4.7))+225507.316624256</f>
        <v>322087.324861254</v>
      </c>
      <c r="G9" s="101" t="n">
        <f aca="false">$G$75*$B9+$G$69*(3*($B9*4.7))+225507.316624256</f>
        <v>431153.319251009</v>
      </c>
      <c r="H9" s="137" t="n">
        <v>110.97</v>
      </c>
      <c r="I9" s="137" t="n">
        <v>332.9</v>
      </c>
    </row>
    <row r="10" customFormat="false" ht="15.8" hidden="false" customHeight="false" outlineLevel="0" collapsed="false">
      <c r="A10" s="1" t="s">
        <v>378</v>
      </c>
      <c r="B10" s="157" t="n">
        <f aca="false">('Electric Cars'!J2*5+'Electric Cars'!J3*2)/4.7</f>
        <v>24.3047119189111</v>
      </c>
      <c r="C10" s="155" t="n">
        <f aca="false">('Electric Cars'!$E$18)*B10</f>
        <v>51185.7233012268</v>
      </c>
      <c r="D10" s="101" t="n">
        <f aca="false">B10*3330</f>
        <v>80934.6906899741</v>
      </c>
      <c r="E10" s="101" t="n">
        <f aca="false">4000*B10</f>
        <v>97218.8476756445</v>
      </c>
      <c r="F10" s="101" t="n">
        <f aca="false">$G$75*$B10+$G$69*(1*($B10*4.7))+225507.316624256</f>
        <v>281359.164375778</v>
      </c>
      <c r="G10" s="101" t="n">
        <f aca="false">$G$75*$B10+$G$69*(3*($B10*4.7))+225507.316624256</f>
        <v>344431.609954544</v>
      </c>
      <c r="H10" s="137" t="n">
        <v>114.23</v>
      </c>
      <c r="I10" s="137" t="n">
        <v>342.7</v>
      </c>
    </row>
    <row r="11" customFormat="false" ht="15.8" hidden="false" customHeight="false" outlineLevel="0" collapsed="false">
      <c r="A11" s="156" t="s">
        <v>375</v>
      </c>
      <c r="B11" s="157" t="n">
        <f aca="false">B10*1.2</f>
        <v>29.1656543026934</v>
      </c>
      <c r="C11" s="155" t="n">
        <f aca="false">('Electric Cars'!$E$18)*B11</f>
        <v>61422.8679614722</v>
      </c>
      <c r="D11" s="101" t="n">
        <f aca="false">B11*3330</f>
        <v>97121.6288279689</v>
      </c>
      <c r="E11" s="101" t="n">
        <f aca="false">4000*B11</f>
        <v>116662.617210773</v>
      </c>
      <c r="F11" s="101" t="n">
        <f aca="false">$G$75*$B11+$G$69*(1*($B11*4.7))+225507.316624256</f>
        <v>292529.533926082</v>
      </c>
      <c r="G11" s="101" t="n">
        <f aca="false">$G$75*$B11+$G$69*(3*($B11*4.7))+225507.316624256</f>
        <v>368216.468620602</v>
      </c>
      <c r="H11" s="137" t="n">
        <v>137.08</v>
      </c>
      <c r="I11" s="137" t="n">
        <v>411.24</v>
      </c>
    </row>
    <row r="12" customFormat="false" ht="15.8" hidden="false" customHeight="false" outlineLevel="0" collapsed="false">
      <c r="A12" s="1" t="s">
        <v>373</v>
      </c>
      <c r="B12" s="137" t="n">
        <f aca="false">('Solar GHG Calculations'!C14/31)/4.7</f>
        <v>42.0281400137268</v>
      </c>
      <c r="C12" s="155" t="n">
        <f aca="false">('Electric Cars'!$E$18)*B12</f>
        <v>88511.2628689087</v>
      </c>
      <c r="D12" s="101" t="n">
        <f aca="false">B12*3330</f>
        <v>139953.70624571</v>
      </c>
      <c r="E12" s="101" t="n">
        <f aca="false">4000*B12</f>
        <v>168112.560054907</v>
      </c>
      <c r="F12" s="101" t="n">
        <f aca="false">$G$75*$B12+$G$69*(1*($B12*4.7))+225507.316624256</f>
        <v>322087.324861254</v>
      </c>
      <c r="G12" s="101" t="n">
        <f aca="false">$G$75*$B12+$G$69*(3*($B12*4.7))+225507.316624256</f>
        <v>431153.319251009</v>
      </c>
      <c r="H12" s="137" t="n">
        <v>521.55</v>
      </c>
      <c r="I12" s="137" t="n">
        <v>1564.65</v>
      </c>
    </row>
    <row r="13" customFormat="false" ht="15.8" hidden="false" customHeight="false" outlineLevel="0" collapsed="false">
      <c r="A13" s="1" t="s">
        <v>20</v>
      </c>
      <c r="B13" s="4" t="n">
        <f aca="false">B12+B11</f>
        <v>71.1937943164202</v>
      </c>
      <c r="C13" s="155" t="n">
        <f aca="false">('Electric Cars'!$E$18)*B13</f>
        <v>149934.130830381</v>
      </c>
      <c r="D13" s="101" t="n">
        <f aca="false">B13*3330</f>
        <v>237075.335073679</v>
      </c>
      <c r="E13" s="101" t="n">
        <f aca="false">4000*B13</f>
        <v>284775.177265681</v>
      </c>
      <c r="F13" s="101" t="n">
        <f aca="false">$G$75*$B13+$G$69*(1*($B13*4.7))+225507.316624256</f>
        <v>389109.54216308</v>
      </c>
      <c r="G13" s="101" t="n">
        <f aca="false">$G$75*$B13+$G$69*(3*($B13*4.7))+225507.316624256</f>
        <v>573862.471247355</v>
      </c>
      <c r="H13" s="137" t="n">
        <v>658.63</v>
      </c>
      <c r="I13" s="137" t="n">
        <v>1975.88</v>
      </c>
    </row>
    <row r="14" customFormat="false" ht="15.8" hidden="false" customHeight="false" outlineLevel="0" collapsed="false">
      <c r="A14" s="1" t="s">
        <v>376</v>
      </c>
      <c r="B14" s="4" t="n">
        <f aca="false">B12*1.2+B11</f>
        <v>79.5994223191656</v>
      </c>
      <c r="C14" s="155" t="n">
        <f aca="false">('Electric Cars'!$E$18)*B14</f>
        <v>167636.383404163</v>
      </c>
      <c r="D14" s="101" t="n">
        <f aca="false">B14*3330</f>
        <v>265066.076322821</v>
      </c>
      <c r="E14" s="158" t="n">
        <f aca="false">4000*B14</f>
        <v>318397.689276662</v>
      </c>
      <c r="F14" s="101" t="n">
        <f aca="false">$G$75*$B14+$G$69*(1*($B14*4.7))+225507.316624256</f>
        <v>408425.54381048</v>
      </c>
      <c r="G14" s="101" t="n">
        <f aca="false">$G$75*$B14+$G$69*(3*($B14*4.7))+225507.316624256</f>
        <v>614991.671772705</v>
      </c>
      <c r="H14" s="137" t="n">
        <v>762.94</v>
      </c>
      <c r="I14" s="137" t="n">
        <v>2288.81</v>
      </c>
    </row>
    <row r="15" customFormat="false" ht="15.8" hidden="false" customHeight="false" outlineLevel="0" collapsed="false">
      <c r="B15" s="4"/>
      <c r="C15" s="155"/>
      <c r="D15" s="101"/>
      <c r="E15" s="101"/>
      <c r="F15" s="101"/>
      <c r="G15" s="101"/>
      <c r="H15" s="137"/>
      <c r="I15" s="137"/>
    </row>
    <row r="16" customFormat="false" ht="15.8" hidden="false" customHeight="false" outlineLevel="0" collapsed="false">
      <c r="A16" s="1" t="s">
        <v>379</v>
      </c>
      <c r="B16" s="137"/>
      <c r="C16" s="155"/>
      <c r="D16" s="101"/>
      <c r="E16" s="101"/>
      <c r="F16" s="101"/>
      <c r="G16" s="101"/>
      <c r="H16" s="137"/>
      <c r="I16" s="137"/>
    </row>
    <row r="17" customFormat="false" ht="15.8" hidden="false" customHeight="false" outlineLevel="0" collapsed="false">
      <c r="A17" s="1" t="s">
        <v>380</v>
      </c>
      <c r="B17" s="137" t="n">
        <f aca="false">'Electric Cars'!J6</f>
        <v>29.7872340425532</v>
      </c>
      <c r="C17" s="155" t="n">
        <f aca="false">('Electric Cars'!$E$18)*B17</f>
        <v>62731.914893617</v>
      </c>
      <c r="D17" s="101" t="n">
        <f aca="false">B17*3330</f>
        <v>99191.4893617021</v>
      </c>
      <c r="E17" s="101" t="n">
        <f aca="false">4000*B17</f>
        <v>119148.936170213</v>
      </c>
      <c r="F17" s="101" t="n">
        <f aca="false">$G$75*$B17+$G$69*(1*($B17*4.7))+225507.316624256</f>
        <v>293957.914443897</v>
      </c>
      <c r="G17" s="101" t="n">
        <f aca="false">$G$75*$B17+$G$69*(3*($B17*4.7))+225507.316624256</f>
        <v>371257.892504081</v>
      </c>
      <c r="H17" s="137" t="n">
        <v>84</v>
      </c>
      <c r="I17" s="137" t="n">
        <v>252</v>
      </c>
    </row>
    <row r="18" customFormat="false" ht="15.8" hidden="false" customHeight="false" outlineLevel="0" collapsed="false">
      <c r="A18" s="1" t="s">
        <v>381</v>
      </c>
      <c r="B18" s="4" t="n">
        <f aca="false">B17*1.2</f>
        <v>35.7446808510638</v>
      </c>
      <c r="C18" s="155" t="n">
        <f aca="false">('Electric Cars'!$E$18)*B18</f>
        <v>75278.2978723404</v>
      </c>
      <c r="D18" s="101" t="n">
        <f aca="false">B18*3330</f>
        <v>119029.787234043</v>
      </c>
      <c r="E18" s="101" t="n">
        <f aca="false">4000*B18</f>
        <v>142978.723404255</v>
      </c>
      <c r="F18" s="101" t="n">
        <f aca="false">$G$75*$B18+$G$69*(1*($B18*4.7))+225507.316624256</f>
        <v>307648.034007825</v>
      </c>
      <c r="G18" s="101" t="n">
        <f aca="false">$G$75*$B18+$G$69*(3*($B18*4.7))+225507.316624256</f>
        <v>400408.007680046</v>
      </c>
      <c r="H18" s="137" t="n">
        <v>100.8</v>
      </c>
      <c r="I18" s="137" t="n">
        <v>302.4</v>
      </c>
    </row>
    <row r="19" customFormat="false" ht="15.8" hidden="false" customHeight="false" outlineLevel="0" collapsed="false">
      <c r="B19" s="137"/>
      <c r="C19" s="155"/>
      <c r="D19" s="101"/>
      <c r="E19" s="101"/>
      <c r="F19" s="101"/>
      <c r="G19" s="101"/>
      <c r="H19" s="137"/>
      <c r="I19" s="137"/>
    </row>
    <row r="20" customFormat="false" ht="15.8" hidden="false" customHeight="false" outlineLevel="0" collapsed="false">
      <c r="B20" s="137"/>
      <c r="C20" s="155"/>
      <c r="D20" s="101"/>
      <c r="E20" s="101"/>
      <c r="F20" s="101"/>
      <c r="G20" s="101"/>
      <c r="H20" s="137"/>
      <c r="I20" s="137"/>
    </row>
    <row r="21" customFormat="false" ht="15.8" hidden="false" customHeight="false" outlineLevel="0" collapsed="false">
      <c r="A21" s="1" t="s">
        <v>20</v>
      </c>
      <c r="B21" s="137" t="n">
        <f aca="false">B3+B4+B10+B12+B17</f>
        <v>143.031937590458</v>
      </c>
      <c r="C21" s="155" t="n">
        <f aca="false">('Electric Cars'!$E$18)*B21</f>
        <v>301225.260565504</v>
      </c>
      <c r="D21" s="101" t="n">
        <f aca="false">B21*3330</f>
        <v>476296.352176224</v>
      </c>
      <c r="E21" s="101" t="n">
        <f aca="false">4000*B21</f>
        <v>572127.750361831</v>
      </c>
      <c r="F21" s="101" t="n">
        <f aca="false">$G$75*$B21+$G$69*(1*($B21*4.7))+225507.316624256</f>
        <v>554192.47152591</v>
      </c>
      <c r="G21" s="101" t="n">
        <f aca="false">$G$75*$B21+$G$69*(3*($B21*4.7))+225507.316624256</f>
        <v>925370.460789806</v>
      </c>
      <c r="H21" s="137" t="n">
        <v>853.56</v>
      </c>
      <c r="I21" s="137" t="n">
        <v>2560.67</v>
      </c>
    </row>
    <row r="22" customFormat="false" ht="15.8" hidden="false" customHeight="false" outlineLevel="0" collapsed="false">
      <c r="A22" s="1" t="s">
        <v>376</v>
      </c>
      <c r="B22" s="137" t="n">
        <f aca="false">B7+B14+B18</f>
        <v>171.638325108549</v>
      </c>
      <c r="C22" s="155" t="n">
        <f aca="false">('Electric Cars'!$E$18)*B22</f>
        <v>361470.312678605</v>
      </c>
      <c r="D22" s="101" t="n">
        <f aca="false">B22*3330</f>
        <v>571555.622611469</v>
      </c>
      <c r="E22" s="101" t="n">
        <f aca="false">4000*B22</f>
        <v>686553.300434197</v>
      </c>
      <c r="F22" s="101" t="n">
        <f aca="false">F18+F14+F7</f>
        <v>1070944.13575475</v>
      </c>
      <c r="G22" s="101" t="n">
        <f aca="false">G18+G14+G7</f>
        <v>1516357.72287143</v>
      </c>
      <c r="H22" s="137" t="n">
        <v>1024.27</v>
      </c>
      <c r="I22" s="137" t="n">
        <v>3072.8</v>
      </c>
    </row>
    <row r="23" customFormat="false" ht="12.8" hidden="false" customHeight="false" outlineLevel="0" collapsed="false">
      <c r="D23" s="101"/>
      <c r="E23" s="101"/>
      <c r="F23" s="101"/>
    </row>
    <row r="24" customFormat="false" ht="14.65" hidden="false" customHeight="false" outlineLevel="0" collapsed="false">
      <c r="B24" s="137"/>
      <c r="D24" s="101"/>
      <c r="E24" s="101"/>
      <c r="F24" s="101" t="s">
        <v>20</v>
      </c>
      <c r="G24" s="101" t="n">
        <f aca="false">G22</f>
        <v>1516357.72287143</v>
      </c>
      <c r="H24" s="137" t="n">
        <v>3072.8</v>
      </c>
    </row>
    <row r="25" customFormat="false" ht="12.8" hidden="false" customHeight="false" outlineLevel="0" collapsed="false">
      <c r="A25" s="0"/>
      <c r="F25" s="0" t="s">
        <v>382</v>
      </c>
      <c r="G25" s="101" t="n">
        <f aca="false">G18</f>
        <v>400408.007680046</v>
      </c>
    </row>
    <row r="26" customFormat="false" ht="12.8" hidden="false" customHeight="false" outlineLevel="0" collapsed="false">
      <c r="B26" s="1"/>
      <c r="F26" s="0" t="s">
        <v>174</v>
      </c>
      <c r="G26" s="101" t="n">
        <f aca="false">G24-G25</f>
        <v>1115949.71519138</v>
      </c>
    </row>
    <row r="27" customFormat="false" ht="12.8" hidden="false" customHeight="false" outlineLevel="0" collapsed="false">
      <c r="B27" s="10"/>
    </row>
    <row r="29" customFormat="false" ht="12.8" hidden="false" customHeight="false" outlineLevel="0" collapsed="false">
      <c r="B29" s="0" t="s">
        <v>27</v>
      </c>
    </row>
    <row r="30" customFormat="false" ht="12.8" hidden="false" customHeight="false" outlineLevel="0" collapsed="false">
      <c r="A30" s="1" t="s">
        <v>383</v>
      </c>
      <c r="B30" s="101" t="n">
        <f aca="false">Budget_old!B28</f>
        <v>426084</v>
      </c>
    </row>
    <row r="31" customFormat="false" ht="12.8" hidden="false" customHeight="false" outlineLevel="0" collapsed="false">
      <c r="A31" s="1" t="s">
        <v>384</v>
      </c>
      <c r="B31" s="101" t="n">
        <f aca="false">Budget_old!J42</f>
        <v>336249.846</v>
      </c>
    </row>
    <row r="32" customFormat="false" ht="12.8" hidden="false" customHeight="false" outlineLevel="0" collapsed="false">
      <c r="A32" s="1" t="s">
        <v>385</v>
      </c>
      <c r="B32" s="101" t="n">
        <f aca="false">E4+E10+E18</f>
        <v>297385.128536161</v>
      </c>
    </row>
    <row r="33" customFormat="false" ht="12.8" hidden="false" customHeight="false" outlineLevel="0" collapsed="false">
      <c r="A33" s="1" t="s">
        <v>133</v>
      </c>
      <c r="B33" s="101" t="n">
        <f aca="false">SUM(B30:B32)</f>
        <v>1059718.97453616</v>
      </c>
    </row>
    <row r="35" customFormat="false" ht="12.8" hidden="false" customHeight="false" outlineLevel="0" collapsed="false">
      <c r="A35" s="1" t="s">
        <v>386</v>
      </c>
      <c r="B35" s="101" t="n">
        <f aca="false">Budget_old!B2</f>
        <v>2900000</v>
      </c>
    </row>
    <row r="36" customFormat="false" ht="12.8" hidden="false" customHeight="false" outlineLevel="0" collapsed="false">
      <c r="A36" s="1" t="s">
        <v>387</v>
      </c>
      <c r="B36" s="101" t="n">
        <f aca="false">E14-E10</f>
        <v>221178.841601018</v>
      </c>
    </row>
    <row r="37" customFormat="false" ht="12.8" hidden="false" customHeight="false" outlineLevel="0" collapsed="false">
      <c r="A37" s="1" t="s">
        <v>133</v>
      </c>
      <c r="B37" s="101" t="n">
        <f aca="false">SUM(B34:B36)</f>
        <v>3121178.84160102</v>
      </c>
    </row>
    <row r="39" customFormat="false" ht="12.8" hidden="false" customHeight="false" outlineLevel="0" collapsed="false">
      <c r="A39" s="1" t="s">
        <v>388</v>
      </c>
      <c r="B39" s="101" t="n">
        <f aca="false">Budget_old!D71</f>
        <v>8125678.1034</v>
      </c>
    </row>
    <row r="40" customFormat="false" ht="12.8" hidden="false" customHeight="false" outlineLevel="0" collapsed="false">
      <c r="A40" s="1" t="s">
        <v>389</v>
      </c>
      <c r="B40" s="101" t="n">
        <f aca="false">E7-E4</f>
        <v>167989.330297018</v>
      </c>
    </row>
    <row r="41" customFormat="false" ht="12.8" hidden="false" customHeight="false" outlineLevel="0" collapsed="false">
      <c r="A41" s="1" t="s">
        <v>133</v>
      </c>
      <c r="B41" s="101" t="n">
        <f aca="false">SUM(B38:B40)</f>
        <v>8293667.43369702</v>
      </c>
    </row>
    <row r="47" customFormat="false" ht="12.8" hidden="false" customHeight="false" outlineLevel="0" collapsed="false">
      <c r="A47" s="1" t="s">
        <v>390</v>
      </c>
      <c r="B47" s="0" t="s">
        <v>391</v>
      </c>
      <c r="C47" s="124" t="s">
        <v>392</v>
      </c>
      <c r="D47" s="0" t="s">
        <v>393</v>
      </c>
    </row>
    <row r="48" customFormat="false" ht="12.8" hidden="false" customHeight="false" outlineLevel="0" collapsed="false">
      <c r="B48" s="0" t="n">
        <v>171.64</v>
      </c>
      <c r="C48" s="124" t="n">
        <f aca="false">B48*4.7</f>
        <v>806.708</v>
      </c>
      <c r="D48" s="101" t="n">
        <f aca="false">$G$75*B48+$G$69*(3*C48)+225507.316624256</f>
        <v>1065351.28495898</v>
      </c>
    </row>
    <row r="63" customFormat="false" ht="12.8" hidden="false" customHeight="true" outlineLevel="0" collapsed="false">
      <c r="A63" s="159" t="s">
        <v>394</v>
      </c>
      <c r="B63" s="159"/>
      <c r="C63" s="159"/>
      <c r="D63" s="159"/>
      <c r="E63" s="159"/>
      <c r="F63" s="159"/>
      <c r="G63" s="159"/>
      <c r="H63" s="159"/>
      <c r="I63" s="159"/>
      <c r="J63" s="159"/>
      <c r="K63" s="159"/>
      <c r="L63" s="159"/>
      <c r="M63" s="159"/>
      <c r="N63" s="159"/>
    </row>
    <row r="64" customFormat="false" ht="12.8" hidden="false" customHeight="false" outlineLevel="0" collapsed="false">
      <c r="A64" s="159"/>
      <c r="B64" s="159"/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</row>
    <row r="65" customFormat="false" ht="15.8" hidden="false" customHeight="true" outlineLevel="0" collapsed="false">
      <c r="A65" s="160"/>
      <c r="B65" s="161" t="s">
        <v>395</v>
      </c>
      <c r="C65" s="162" t="s">
        <v>396</v>
      </c>
      <c r="D65" s="162"/>
    </row>
    <row r="66" customFormat="false" ht="15.8" hidden="false" customHeight="false" outlineLevel="0" collapsed="false">
      <c r="A66" s="160"/>
      <c r="B66" s="161"/>
      <c r="C66" s="0"/>
      <c r="D66" s="162" t="n">
        <v>2021</v>
      </c>
      <c r="E66" s="162" t="n">
        <v>2022</v>
      </c>
      <c r="F66" s="162" t="n">
        <v>2023</v>
      </c>
      <c r="G66" s="162" t="n">
        <v>2024</v>
      </c>
      <c r="H66" s="162" t="n">
        <v>2025</v>
      </c>
      <c r="I66" s="162" t="n">
        <v>2026</v>
      </c>
      <c r="J66" s="162" t="n">
        <v>2027</v>
      </c>
      <c r="K66" s="162" t="n">
        <v>2028</v>
      </c>
      <c r="L66" s="162" t="n">
        <v>2029</v>
      </c>
      <c r="M66" s="162" t="n">
        <v>2030</v>
      </c>
      <c r="N66" s="162" t="n">
        <v>2031</v>
      </c>
    </row>
    <row r="67" customFormat="false" ht="15.8" hidden="false" customHeight="false" outlineLevel="0" collapsed="false">
      <c r="A67" s="160"/>
      <c r="B67" s="161"/>
      <c r="C67" s="0" t="s">
        <v>397</v>
      </c>
      <c r="D67" s="163" t="n">
        <v>234.622937700255</v>
      </c>
      <c r="E67" s="163" t="n">
        <v>264.323633184519</v>
      </c>
      <c r="F67" s="163" t="n">
        <v>190.153849172543</v>
      </c>
      <c r="G67" s="163" t="n">
        <v>179.479599146</v>
      </c>
      <c r="H67" s="163" t="n">
        <v>170.347564747182</v>
      </c>
      <c r="I67" s="163" t="n">
        <v>164.209927045474</v>
      </c>
      <c r="J67" s="163" t="n">
        <v>158.072289343766</v>
      </c>
      <c r="K67" s="163" t="n">
        <v>151.934651642058</v>
      </c>
      <c r="L67" s="163" t="n">
        <v>145.797013940349</v>
      </c>
      <c r="M67" s="163" t="n">
        <v>139.659376238641</v>
      </c>
      <c r="N67" s="163" t="n">
        <v>137.033069079861</v>
      </c>
    </row>
    <row r="68" customFormat="false" ht="15.8" hidden="false" customHeight="false" outlineLevel="0" collapsed="false">
      <c r="A68" s="160"/>
      <c r="B68" s="161"/>
      <c r="C68" s="0" t="s">
        <v>398</v>
      </c>
      <c r="D68" s="163" t="n">
        <v>234.622937700255</v>
      </c>
      <c r="E68" s="163" t="n">
        <v>264.323633184519</v>
      </c>
      <c r="F68" s="163" t="n">
        <v>241.261641396464</v>
      </c>
      <c r="G68" s="163" t="n">
        <v>219.163478059412</v>
      </c>
      <c r="H68" s="163" t="n">
        <v>208.717452315224</v>
      </c>
      <c r="I68" s="163" t="n">
        <v>197.281736953863</v>
      </c>
      <c r="J68" s="163" t="n">
        <v>186.849731754949</v>
      </c>
      <c r="K68" s="163" t="n">
        <v>177.25613487969</v>
      </c>
      <c r="L68" s="163" t="n">
        <v>168.587596024227</v>
      </c>
      <c r="M68" s="163" t="n">
        <v>160.621844753932</v>
      </c>
      <c r="N68" s="163" t="n">
        <v>158.614071694508</v>
      </c>
    </row>
    <row r="69" customFormat="false" ht="15.8" hidden="false" customHeight="false" outlineLevel="0" collapsed="false">
      <c r="A69" s="160"/>
      <c r="B69" s="161"/>
      <c r="C69" s="0" t="s">
        <v>399</v>
      </c>
      <c r="D69" s="163" t="n">
        <v>234.622937700255</v>
      </c>
      <c r="E69" s="163" t="n">
        <v>264.323633184519</v>
      </c>
      <c r="F69" s="163" t="n">
        <v>274.113397376539</v>
      </c>
      <c r="G69" s="163" t="n">
        <v>276.071350214942</v>
      </c>
      <c r="H69" s="163" t="n">
        <v>272.155444538135</v>
      </c>
      <c r="I69" s="163" t="n">
        <v>261.974089778435</v>
      </c>
      <c r="J69" s="163" t="n">
        <v>251.792735018735</v>
      </c>
      <c r="K69" s="163" t="n">
        <v>241.611380259035</v>
      </c>
      <c r="L69" s="163" t="n">
        <v>231.430025499335</v>
      </c>
      <c r="M69" s="163" t="n">
        <v>221.248670739635</v>
      </c>
      <c r="N69" s="163" t="n">
        <v>220.616873094061</v>
      </c>
    </row>
    <row r="70" customFormat="false" ht="15.8" hidden="false" customHeight="false" outlineLevel="0" collapsed="false">
      <c r="A70" s="160"/>
      <c r="B70" s="161"/>
      <c r="C70" s="0"/>
      <c r="D70" s="164"/>
      <c r="E70" s="164"/>
      <c r="F70" s="164"/>
      <c r="G70" s="164"/>
      <c r="H70" s="164"/>
      <c r="I70" s="164"/>
      <c r="J70" s="164"/>
      <c r="K70" s="164"/>
      <c r="L70" s="164"/>
      <c r="M70" s="164"/>
      <c r="N70" s="164"/>
    </row>
    <row r="71" customFormat="false" ht="15.8" hidden="false" customHeight="false" outlineLevel="0" collapsed="false">
      <c r="A71" s="160"/>
      <c r="B71" s="161"/>
      <c r="C71" s="162" t="s">
        <v>400</v>
      </c>
    </row>
    <row r="72" customFormat="false" ht="15.8" hidden="false" customHeight="false" outlineLevel="0" collapsed="false">
      <c r="A72" s="160"/>
      <c r="B72" s="161"/>
      <c r="C72" s="0"/>
      <c r="D72" s="162" t="n">
        <v>2021</v>
      </c>
      <c r="E72" s="162" t="n">
        <v>2022</v>
      </c>
      <c r="F72" s="162" t="n">
        <v>2023</v>
      </c>
      <c r="G72" s="162" t="n">
        <v>2024</v>
      </c>
      <c r="H72" s="162" t="n">
        <v>2025</v>
      </c>
      <c r="I72" s="162" t="n">
        <v>2026</v>
      </c>
      <c r="J72" s="162" t="n">
        <v>2027</v>
      </c>
      <c r="K72" s="162" t="n">
        <v>2028</v>
      </c>
      <c r="L72" s="162" t="n">
        <v>2029</v>
      </c>
      <c r="M72" s="162" t="n">
        <v>2030</v>
      </c>
      <c r="N72" s="162" t="n">
        <v>2031</v>
      </c>
    </row>
    <row r="73" customFormat="false" ht="15.8" hidden="false" customHeight="false" outlineLevel="0" collapsed="false">
      <c r="A73" s="160"/>
      <c r="B73" s="161"/>
      <c r="C73" s="0" t="s">
        <v>397</v>
      </c>
      <c r="D73" s="163" t="n">
        <v>327.502264439945</v>
      </c>
      <c r="E73" s="163" t="n">
        <v>957.876711092653</v>
      </c>
      <c r="F73" s="163" t="n">
        <v>689.094431143253</v>
      </c>
      <c r="G73" s="163" t="n">
        <v>650.412246786063</v>
      </c>
      <c r="H73" s="163" t="n">
        <v>617.31886436642</v>
      </c>
      <c r="I73" s="163" t="n">
        <v>595.07681152854</v>
      </c>
      <c r="J73" s="163" t="n">
        <v>572.83475869066</v>
      </c>
      <c r="K73" s="163" t="n">
        <v>550.592705852779</v>
      </c>
      <c r="L73" s="163" t="n">
        <v>528.350653014899</v>
      </c>
      <c r="M73" s="163" t="n">
        <v>506.108600177019</v>
      </c>
      <c r="N73" s="163" t="n">
        <v>496.591182331089</v>
      </c>
    </row>
    <row r="74" customFormat="false" ht="15.8" hidden="false" customHeight="false" outlineLevel="0" collapsed="false">
      <c r="A74" s="160"/>
      <c r="B74" s="161"/>
      <c r="C74" s="0" t="s">
        <v>398</v>
      </c>
      <c r="D74" s="163" t="n">
        <v>327.502264439945</v>
      </c>
      <c r="E74" s="163" t="n">
        <v>957.876711092653</v>
      </c>
      <c r="F74" s="163" t="n">
        <v>893.125508290235</v>
      </c>
      <c r="G74" s="163" t="n">
        <v>837.601644898363</v>
      </c>
      <c r="H74" s="163" t="n">
        <v>803.099445707048</v>
      </c>
      <c r="I74" s="163" t="n">
        <v>779.37749080771</v>
      </c>
      <c r="J74" s="163" t="n">
        <v>755.876799264353</v>
      </c>
      <c r="K74" s="163" t="n">
        <v>733.826775113641</v>
      </c>
      <c r="L74" s="163" t="n">
        <v>713.800625945182</v>
      </c>
      <c r="M74" s="163" t="n">
        <v>694.103517611229</v>
      </c>
      <c r="N74" s="163" t="n">
        <v>685.427223641089</v>
      </c>
    </row>
    <row r="75" customFormat="false" ht="15.8" hidden="false" customHeight="false" outlineLevel="0" collapsed="false">
      <c r="A75" s="160"/>
      <c r="B75" s="161"/>
      <c r="C75" s="0" t="s">
        <v>399</v>
      </c>
      <c r="D75" s="163" t="n">
        <v>327.502264439945</v>
      </c>
      <c r="E75" s="163" t="n">
        <v>957.876711092653</v>
      </c>
      <c r="F75" s="163" t="n">
        <v>993.353626318307</v>
      </c>
      <c r="G75" s="163" t="n">
        <v>1000.44900936344</v>
      </c>
      <c r="H75" s="163" t="n">
        <v>986.258243273176</v>
      </c>
      <c r="I75" s="163" t="n">
        <v>949.362251438496</v>
      </c>
      <c r="J75" s="163" t="n">
        <v>912.466259603816</v>
      </c>
      <c r="K75" s="163" t="n">
        <v>875.570267769136</v>
      </c>
      <c r="L75" s="163" t="n">
        <v>838.674275934456</v>
      </c>
      <c r="M75" s="163" t="n">
        <v>801.778284099776</v>
      </c>
      <c r="N75" s="163" t="n">
        <v>799.488726244025</v>
      </c>
    </row>
    <row r="76" customFormat="false" ht="15.8" hidden="false" customHeight="false" outlineLevel="0" collapsed="false">
      <c r="A76" s="160"/>
      <c r="B76" s="160"/>
      <c r="C76" s="0"/>
      <c r="E76" s="164"/>
      <c r="F76" s="164"/>
      <c r="G76" s="164"/>
      <c r="H76" s="164"/>
      <c r="I76" s="164"/>
      <c r="J76" s="164"/>
      <c r="K76" s="164"/>
      <c r="L76" s="164"/>
      <c r="M76" s="164"/>
      <c r="N76" s="164"/>
    </row>
    <row r="77" customFormat="false" ht="15.8" hidden="false" customHeight="false" outlineLevel="0" collapsed="false">
      <c r="A77" s="160"/>
      <c r="B77" s="160"/>
      <c r="C77" s="165" t="s">
        <v>401</v>
      </c>
      <c r="D77" s="165"/>
      <c r="E77" s="164"/>
      <c r="F77" s="164"/>
      <c r="G77" s="164"/>
      <c r="H77" s="164"/>
      <c r="I77" s="164"/>
      <c r="J77" s="164"/>
      <c r="K77" s="164"/>
      <c r="L77" s="164"/>
      <c r="M77" s="164"/>
      <c r="N77" s="164"/>
    </row>
  </sheetData>
  <mergeCells count="2">
    <mergeCell ref="A63:N64"/>
    <mergeCell ref="B65:B7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282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D6" activeCellId="0" sqref="B3:D14"/>
    </sheetView>
  </sheetViews>
  <sheetFormatPr defaultColWidth="12.8046875" defaultRowHeight="12.8" zeroHeight="false" outlineLevelRow="0" outlineLevelCol="0"/>
  <cols>
    <col collapsed="false" customWidth="true" hidden="false" outlineLevel="0" max="1" min="1" style="10" width="22.69"/>
    <col collapsed="false" customWidth="true" hidden="false" outlineLevel="0" max="3" min="2" style="10" width="19.14"/>
    <col collapsed="false" customWidth="true" hidden="false" outlineLevel="0" max="4" min="4" style="10" width="31.34"/>
    <col collapsed="false" customWidth="true" hidden="false" outlineLevel="0" max="5" min="5" style="10" width="24.85"/>
    <col collapsed="false" customWidth="true" hidden="false" outlineLevel="0" max="6" min="6" style="10" width="29.64"/>
    <col collapsed="false" customWidth="true" hidden="false" outlineLevel="0" max="7" min="7" style="10" width="29.03"/>
    <col collapsed="false" customWidth="true" hidden="false" outlineLevel="0" max="8" min="8" style="0" width="24.08"/>
    <col collapsed="false" customWidth="true" hidden="false" outlineLevel="0" max="9" min="9" style="0" width="23.93"/>
  </cols>
  <sheetData>
    <row r="1" customFormat="false" ht="12.8" hidden="false" customHeight="false" outlineLevel="0" collapsed="false">
      <c r="A1" s="166" t="s">
        <v>402</v>
      </c>
      <c r="B1" s="142" t="s">
        <v>403</v>
      </c>
      <c r="C1" s="142" t="s">
        <v>404</v>
      </c>
      <c r="D1" s="142" t="s">
        <v>225</v>
      </c>
      <c r="E1" s="142" t="s">
        <v>405</v>
      </c>
      <c r="F1" s="167" t="s">
        <v>406</v>
      </c>
      <c r="G1" s="10" t="s">
        <v>407</v>
      </c>
      <c r="H1" s="10" t="s">
        <v>408</v>
      </c>
      <c r="I1" s="10" t="s">
        <v>409</v>
      </c>
      <c r="J1" s="1" t="s">
        <v>410</v>
      </c>
      <c r="K1" s="1" t="s">
        <v>411</v>
      </c>
      <c r="L1" s="1" t="s">
        <v>412</v>
      </c>
      <c r="M1" s="1" t="s">
        <v>413</v>
      </c>
      <c r="N1" s="1" t="s">
        <v>414</v>
      </c>
      <c r="O1" s="1"/>
    </row>
    <row r="2" customFormat="false" ht="14.65" hidden="false" customHeight="false" outlineLevel="0" collapsed="false">
      <c r="A2" s="168" t="s">
        <v>415</v>
      </c>
      <c r="B2" s="10" t="n">
        <v>28</v>
      </c>
      <c r="C2" s="5" t="n">
        <v>17530.7946778978</v>
      </c>
      <c r="D2" s="5" t="n">
        <f aca="false">(C2*B2)/100</f>
        <v>4908.62250981139</v>
      </c>
      <c r="E2" s="10" t="n">
        <f aca="false">('Solar GHG Calculations'!$B$9/1000)*D2</f>
        <v>1.99623860229009</v>
      </c>
      <c r="F2" s="57" t="n">
        <f aca="false">(C2*126)/1000000</f>
        <v>2.20888012941512</v>
      </c>
      <c r="G2" s="10" t="n">
        <f aca="false">F2-E2</f>
        <v>0.212641527125029</v>
      </c>
      <c r="H2" s="10" t="n">
        <f aca="false">(G2*1000000)/C2</f>
        <v>12.1296</v>
      </c>
      <c r="I2" s="10" t="n">
        <f aca="false">((F2*1000000)/C2)-H2</f>
        <v>113.8704</v>
      </c>
      <c r="J2" s="10" t="n">
        <f aca="false">D2/365.25</f>
        <v>13.4390760022215</v>
      </c>
      <c r="K2" s="10" t="n">
        <f aca="false">J2/4.7</f>
        <v>2.85937787281307</v>
      </c>
      <c r="L2" s="0" t="n">
        <f aca="false">C2/365.25</f>
        <v>47.9967000079338</v>
      </c>
      <c r="M2" s="0" t="n">
        <f aca="false">(B2/100)*(('Solar GHG Calculations'!$B$79/1000)*1000000)</f>
        <v>11.4801181166652</v>
      </c>
      <c r="N2" s="0" t="n">
        <f aca="false">M2+H2</f>
        <v>23.6097181166651</v>
      </c>
    </row>
    <row r="3" customFormat="false" ht="14.65" hidden="false" customHeight="false" outlineLevel="0" collapsed="false">
      <c r="A3" s="169" t="s">
        <v>416</v>
      </c>
      <c r="B3" s="62" t="n">
        <v>49</v>
      </c>
      <c r="C3" s="170" t="n">
        <v>17530.7946778978</v>
      </c>
      <c r="D3" s="170" t="n">
        <f aca="false">(C3*B3)/100</f>
        <v>8590.08939216992</v>
      </c>
      <c r="E3" s="10" t="n">
        <f aca="false">('Solar GHG Calculations'!$B$9/1000)*D3</f>
        <v>3.49341755400766</v>
      </c>
      <c r="F3" s="63" t="n">
        <f aca="false">(C3*222)/1000000</f>
        <v>3.89183641849331</v>
      </c>
      <c r="G3" s="10" t="n">
        <f aca="false">F3-E3</f>
        <v>0.398418864485648</v>
      </c>
      <c r="H3" s="10" t="n">
        <f aca="false">(G3*1000000)/C3</f>
        <v>22.7268</v>
      </c>
      <c r="I3" s="10" t="n">
        <f aca="false">((F3*1000000)/C3)-H3</f>
        <v>199.2732</v>
      </c>
      <c r="J3" s="10" t="n">
        <f aca="false">D3/365.25</f>
        <v>23.5183830038875</v>
      </c>
      <c r="K3" s="10" t="n">
        <f aca="false">J3/4.7</f>
        <v>5.00391127742288</v>
      </c>
      <c r="L3" s="0" t="n">
        <f aca="false">C3/365.25</f>
        <v>47.9967000079338</v>
      </c>
      <c r="M3" s="0" t="n">
        <f aca="false">(B3/100)*(('Solar GHG Calculations'!$B$79/1000)*1000000)</f>
        <v>20.090206704164</v>
      </c>
      <c r="N3" s="0" t="n">
        <f aca="false">M3+H3</f>
        <v>42.817006704164</v>
      </c>
    </row>
    <row r="4" customFormat="false" ht="12.8" hidden="false" customHeight="false" outlineLevel="0" collapsed="false">
      <c r="A4" s="1"/>
    </row>
    <row r="5" customFormat="false" ht="12.8" hidden="false" customHeight="false" outlineLevel="0" collapsed="false">
      <c r="A5" s="1" t="s">
        <v>38</v>
      </c>
      <c r="B5" s="10" t="s">
        <v>417</v>
      </c>
      <c r="C5" s="10" t="s">
        <v>418</v>
      </c>
      <c r="D5" s="10" t="s">
        <v>225</v>
      </c>
      <c r="E5" s="10" t="s">
        <v>419</v>
      </c>
      <c r="F5" s="10" t="s">
        <v>420</v>
      </c>
      <c r="G5" s="10" t="s">
        <v>421</v>
      </c>
      <c r="H5" s="0" t="s">
        <v>422</v>
      </c>
      <c r="I5" s="0" t="s">
        <v>423</v>
      </c>
      <c r="J5" s="0" t="s">
        <v>424</v>
      </c>
    </row>
    <row r="6" customFormat="false" ht="12.8" hidden="false" customHeight="false" outlineLevel="0" collapsed="false">
      <c r="A6" s="10" t="s">
        <v>425</v>
      </c>
      <c r="B6" s="10" t="n">
        <v>28</v>
      </c>
      <c r="C6" s="10" t="n">
        <v>24</v>
      </c>
      <c r="D6" s="10" t="n">
        <f aca="false">(B6*7)*365.24</f>
        <v>71587.04</v>
      </c>
      <c r="E6" s="1" t="n">
        <f aca="false">0.406631839034269*(D6/1000)</f>
        <v>29.1095697262198</v>
      </c>
      <c r="F6" s="1" t="n">
        <f aca="false">0.0410004218452327*(D6/1000)</f>
        <v>2.93509883865155</v>
      </c>
      <c r="G6" s="10" t="n">
        <f aca="false">'EV Chargers'!B26</f>
        <v>5</v>
      </c>
      <c r="H6" s="0" t="n">
        <f aca="false">(E6-F6)*G6</f>
        <v>130.872354437841</v>
      </c>
      <c r="I6" s="0" t="n">
        <f aca="false">H6*24.75</f>
        <v>3239.09077233657</v>
      </c>
      <c r="J6" s="0" t="n">
        <f aca="false">(B6*G6)/4.7</f>
        <v>29.7872340425532</v>
      </c>
    </row>
    <row r="10" customFormat="false" ht="12.8" hidden="false" customHeight="false" outlineLevel="0" collapsed="false">
      <c r="E10" s="0"/>
      <c r="F10" s="0"/>
    </row>
    <row r="11" customFormat="false" ht="14.65" hidden="false" customHeight="false" outlineLevel="0" collapsed="false">
      <c r="M11" s="0" t="n">
        <f aca="false">((((J2*8)+(J3*2))*365.25)/1000)*0.406631839034269</f>
        <v>22.9540252803305</v>
      </c>
      <c r="N11" s="0" t="n">
        <f aca="false">((((J2*8)+(J3*2))*365.25)/1000)*0.0410004218452327</f>
        <v>2.31443932618462</v>
      </c>
      <c r="O11" s="0" t="n">
        <f aca="false">M11-N11</f>
        <v>20.6395859541459</v>
      </c>
      <c r="P11" s="0" t="n">
        <f aca="false">O11*24.25</f>
        <v>500.509959388039</v>
      </c>
    </row>
    <row r="17" customFormat="false" ht="15.8" hidden="false" customHeight="false" outlineLevel="0" collapsed="false">
      <c r="A17" s="10" t="s">
        <v>426</v>
      </c>
      <c r="B17" s="10" t="s">
        <v>225</v>
      </c>
      <c r="C17" s="10" t="s">
        <v>392</v>
      </c>
      <c r="D17" s="10" t="s">
        <v>354</v>
      </c>
      <c r="E17" s="10" t="s">
        <v>427</v>
      </c>
      <c r="F17" s="10" t="s">
        <v>27</v>
      </c>
      <c r="G17" s="10" t="s">
        <v>428</v>
      </c>
      <c r="H17" s="10" t="s">
        <v>429</v>
      </c>
      <c r="I17" s="10" t="s">
        <v>430</v>
      </c>
      <c r="J17" s="10" t="s">
        <v>431</v>
      </c>
      <c r="K17" s="10"/>
    </row>
    <row r="18" customFormat="false" ht="15.8" hidden="false" customHeight="false" outlineLevel="0" collapsed="false">
      <c r="A18" s="10" t="s">
        <v>432</v>
      </c>
      <c r="B18" s="171" t="n">
        <f aca="false">9773*480</f>
        <v>4691040</v>
      </c>
      <c r="C18" s="5" t="n">
        <f aca="false">B18/365.25</f>
        <v>12843.3675564682</v>
      </c>
      <c r="D18" s="5" t="n">
        <f aca="false">C18/4</f>
        <v>3210.84188911704</v>
      </c>
      <c r="E18" s="58" t="n">
        <v>2106</v>
      </c>
      <c r="F18" s="58" t="n">
        <f aca="false">D18*E18</f>
        <v>6762033.01848049</v>
      </c>
      <c r="G18" s="5" t="n">
        <f aca="false">0.406631839034269/1000</f>
        <v>0.000406631839034269</v>
      </c>
      <c r="H18" s="5" t="n">
        <f aca="false">(0.09038953/2204.6)</f>
        <v>4.10004218452327E-005</v>
      </c>
      <c r="I18" s="5" t="n">
        <f aca="false">((G18-H18)*B18)</f>
        <v>1715.19160329046</v>
      </c>
      <c r="J18" s="5" t="n">
        <f aca="false">I18*25</f>
        <v>42879.7900822614</v>
      </c>
      <c r="K18" s="58"/>
    </row>
    <row r="19" customFormat="false" ht="15.8" hidden="false" customHeight="false" outlineLevel="0" collapsed="false">
      <c r="B19" s="171"/>
      <c r="C19" s="5"/>
      <c r="D19" s="5"/>
      <c r="E19" s="58"/>
      <c r="F19" s="58"/>
      <c r="G19" s="5"/>
      <c r="H19" s="5"/>
      <c r="I19" s="5"/>
      <c r="J19" s="5"/>
      <c r="K19" s="58"/>
    </row>
    <row r="20" customFormat="false" ht="15.8" hidden="false" customHeight="false" outlineLevel="0" collapsed="false">
      <c r="A20" s="10" t="s">
        <v>433</v>
      </c>
      <c r="B20" s="5" t="n">
        <v>112364.37</v>
      </c>
      <c r="C20" s="5" t="n">
        <f aca="false">B20/365.25</f>
        <v>307.636878850103</v>
      </c>
      <c r="D20" s="5" t="n">
        <f aca="false">C20/4</f>
        <v>76.9092197125257</v>
      </c>
      <c r="E20" s="58" t="n">
        <v>2106</v>
      </c>
      <c r="F20" s="58" t="n">
        <f aca="false">D20*E20</f>
        <v>161970.816714579</v>
      </c>
      <c r="G20" s="5" t="n">
        <f aca="false">0.406631839034269/1000</f>
        <v>0.000406631839034269</v>
      </c>
      <c r="H20" s="5" t="n">
        <f aca="false">(0.09038953/2204.6)</f>
        <v>4.10004218452327E-005</v>
      </c>
      <c r="I20" s="5" t="n">
        <f aca="false">((G20-H20)*B20)</f>
        <v>41.0839438446532</v>
      </c>
      <c r="J20" s="5" t="n">
        <f aca="false">I20*25</f>
        <v>1027.09859611633</v>
      </c>
      <c r="K20" s="58"/>
    </row>
    <row r="21" customFormat="false" ht="15.8" hidden="false" customHeight="false" outlineLevel="0" collapsed="false">
      <c r="A21" s="10" t="s">
        <v>434</v>
      </c>
      <c r="B21" s="5" t="n">
        <f aca="false">D2*660</f>
        <v>3239690.85647551</v>
      </c>
      <c r="C21" s="5" t="n">
        <f aca="false">B21/365.25</f>
        <v>8869.79016146616</v>
      </c>
      <c r="D21" s="5" t="n">
        <f aca="false">C21/4</f>
        <v>2217.44754036654</v>
      </c>
      <c r="E21" s="58" t="n">
        <v>2106</v>
      </c>
      <c r="F21" s="58" t="n">
        <f aca="false">D21*E21</f>
        <v>4669944.52001193</v>
      </c>
      <c r="G21" s="5" t="n">
        <f aca="false">0.406631839034269/1000</f>
        <v>0.000406631839034269</v>
      </c>
      <c r="H21" s="5" t="n">
        <f aca="false">(0.09038953/2204.6)</f>
        <v>4.10004218452327E-005</v>
      </c>
      <c r="I21" s="5" t="n">
        <f aca="false">((G21-H21)*B21)</f>
        <v>1184.53275910751</v>
      </c>
      <c r="J21" s="5" t="n">
        <f aca="false">I21*25</f>
        <v>29613.3189776876</v>
      </c>
      <c r="K21" s="58"/>
    </row>
    <row r="22" customFormat="false" ht="12.8" hidden="false" customHeight="false" outlineLevel="0" collapsed="false">
      <c r="K22" s="58"/>
    </row>
    <row r="23" customFormat="false" ht="12.8" hidden="false" customHeight="false" outlineLevel="0" collapsed="false">
      <c r="K23" s="58"/>
    </row>
    <row r="24" customFormat="false" ht="12.8" hidden="false" customHeight="false" outlineLevel="0" collapsed="false">
      <c r="A24" s="10" t="s">
        <v>435</v>
      </c>
      <c r="B24" s="10" t="s">
        <v>436</v>
      </c>
      <c r="C24" s="10" t="s">
        <v>437</v>
      </c>
      <c r="D24" s="10" t="s">
        <v>438</v>
      </c>
      <c r="E24" s="10" t="s">
        <v>439</v>
      </c>
      <c r="K24" s="58"/>
    </row>
    <row r="25" customFormat="false" ht="12.8" hidden="false" customHeight="false" outlineLevel="0" collapsed="false">
      <c r="A25" s="10" t="s">
        <v>440</v>
      </c>
      <c r="B25" s="5" t="n">
        <v>10000000</v>
      </c>
      <c r="C25" s="5" t="n">
        <v>3486</v>
      </c>
      <c r="D25" s="5" t="n">
        <f aca="false">1000000*C25</f>
        <v>3486000000</v>
      </c>
      <c r="E25" s="10" t="n">
        <f aca="false">D25/B25</f>
        <v>348.6</v>
      </c>
      <c r="K25" s="58"/>
    </row>
    <row r="26" customFormat="false" ht="12.8" hidden="false" customHeight="false" outlineLevel="0" collapsed="false">
      <c r="B26" s="5"/>
      <c r="K26" s="58"/>
    </row>
    <row r="27" customFormat="false" ht="12.8" hidden="false" customHeight="false" outlineLevel="0" collapsed="false">
      <c r="B27" s="5"/>
      <c r="K27" s="58"/>
    </row>
    <row r="28" customFormat="false" ht="12.8" hidden="false" customHeight="false" outlineLevel="0" collapsed="false">
      <c r="B28" s="5"/>
      <c r="K28" s="58"/>
    </row>
    <row r="29" customFormat="false" ht="12.8" hidden="false" customHeight="false" outlineLevel="0" collapsed="false">
      <c r="K29" s="58"/>
    </row>
    <row r="30" customFormat="false" ht="12.8" hidden="false" customHeight="false" outlineLevel="0" collapsed="false">
      <c r="K30" s="58"/>
    </row>
    <row r="31" customFormat="false" ht="12.8" hidden="false" customHeight="false" outlineLevel="0" collapsed="false">
      <c r="K31" s="58"/>
    </row>
    <row r="32" customFormat="false" ht="12.8" hidden="false" customHeight="false" outlineLevel="0" collapsed="false">
      <c r="K32" s="58"/>
    </row>
    <row r="33" customFormat="false" ht="12.8" hidden="false" customHeight="false" outlineLevel="0" collapsed="false">
      <c r="A33" s="10" t="s">
        <v>20</v>
      </c>
      <c r="B33" s="10" t="n">
        <f aca="false">SUM(B18:B32)</f>
        <v>18043095.2264755</v>
      </c>
      <c r="C33" s="10" t="n">
        <f aca="false">SUM(C18:C32)</f>
        <v>25506.7945967844</v>
      </c>
      <c r="D33" s="10" t="n">
        <f aca="false">SUM(D18:D32)</f>
        <v>3486005505.19865</v>
      </c>
      <c r="F33" s="58" t="n">
        <f aca="false">SUM(F18:F32)</f>
        <v>11593948.355207</v>
      </c>
      <c r="G33" s="58"/>
      <c r="H33" s="58"/>
      <c r="I33" s="5" t="n">
        <f aca="false">SUM(I18:I32)</f>
        <v>2940.80830624262</v>
      </c>
      <c r="J33" s="5" t="n">
        <f aca="false">SUM(J18:J32)</f>
        <v>73520.2076560654</v>
      </c>
      <c r="K33" s="58" t="n">
        <f aca="false">F33/J33</f>
        <v>157.697437545941</v>
      </c>
    </row>
    <row r="38" customFormat="false" ht="12.8" hidden="false" customHeight="false" outlineLevel="0" collapsed="false">
      <c r="A38" s="10" t="s">
        <v>27</v>
      </c>
      <c r="B38" s="10" t="s">
        <v>441</v>
      </c>
      <c r="C38" s="10" t="s">
        <v>442</v>
      </c>
      <c r="D38" s="10" t="s">
        <v>27</v>
      </c>
      <c r="E38" s="10" t="s">
        <v>443</v>
      </c>
      <c r="F38" s="10" t="s">
        <v>444</v>
      </c>
    </row>
    <row r="39" customFormat="false" ht="12.8" hidden="false" customHeight="false" outlineLevel="0" collapsed="false">
      <c r="A39" s="10" t="s">
        <v>33</v>
      </c>
      <c r="B39" s="10" t="n">
        <f aca="false">B77</f>
        <v>550.542725119662</v>
      </c>
      <c r="C39" s="10" t="n">
        <f aca="false">C77</f>
        <v>3141.33201980042</v>
      </c>
      <c r="D39" s="47" t="n">
        <v>9249556.32</v>
      </c>
      <c r="E39" s="58" t="n">
        <f aca="false">$D39/B39</f>
        <v>16800.7965557797</v>
      </c>
      <c r="F39" s="58" t="n">
        <f aca="false">$D39/C39</f>
        <v>2944.46949946655</v>
      </c>
    </row>
    <row r="40" customFormat="false" ht="12.8" hidden="false" customHeight="false" outlineLevel="0" collapsed="false">
      <c r="A40" s="10" t="s">
        <v>32</v>
      </c>
      <c r="B40" s="10" t="n">
        <f aca="false">B78</f>
        <v>318.156496228775</v>
      </c>
      <c r="C40" s="10" t="n">
        <f aca="false">C78</f>
        <v>1815.36353730536</v>
      </c>
      <c r="D40" s="58" t="n">
        <v>2900000</v>
      </c>
      <c r="E40" s="58" t="n">
        <f aca="false">$D40/B40</f>
        <v>9115.01111677669</v>
      </c>
      <c r="F40" s="58" t="n">
        <f aca="false">$D40/C40</f>
        <v>1597.47617510519</v>
      </c>
    </row>
    <row r="41" customFormat="false" ht="12.8" hidden="false" customHeight="false" outlineLevel="0" collapsed="false">
      <c r="A41" s="10" t="s">
        <v>383</v>
      </c>
    </row>
    <row r="46" customFormat="false" ht="12.8" hidden="false" customHeight="false" outlineLevel="0" collapsed="false">
      <c r="B46" s="10" t="s">
        <v>225</v>
      </c>
      <c r="C46" s="10" t="s">
        <v>445</v>
      </c>
      <c r="F46" s="10" t="s">
        <v>225</v>
      </c>
      <c r="G46" s="10" t="s">
        <v>445</v>
      </c>
    </row>
    <row r="47" customFormat="false" ht="12.8" hidden="false" customHeight="false" outlineLevel="0" collapsed="false">
      <c r="A47" s="10" t="s">
        <v>372</v>
      </c>
      <c r="B47" s="10" t="n">
        <v>133276.19</v>
      </c>
      <c r="C47" s="10" t="n">
        <f aca="false">$G$18*B47</f>
        <v>54.1943422391807</v>
      </c>
      <c r="E47" s="10" t="s">
        <v>33</v>
      </c>
      <c r="F47" s="5" t="n">
        <v>39982.86</v>
      </c>
      <c r="G47" s="10" t="n">
        <f aca="false">$G$18*F47</f>
        <v>16.2583038916497</v>
      </c>
    </row>
    <row r="48" customFormat="false" ht="12.8" hidden="false" customHeight="false" outlineLevel="0" collapsed="false">
      <c r="A48" s="10" t="s">
        <v>236</v>
      </c>
      <c r="B48" s="10" t="n">
        <v>67513.73</v>
      </c>
      <c r="C48" s="10" t="n">
        <f aca="false">$G$18*B48</f>
        <v>27.4532321899631</v>
      </c>
      <c r="F48" s="5"/>
    </row>
    <row r="49" customFormat="false" ht="12.8" hidden="false" customHeight="false" outlineLevel="0" collapsed="false">
      <c r="A49" s="10" t="s">
        <v>379</v>
      </c>
      <c r="B49" s="10" t="n">
        <v>117777.03</v>
      </c>
      <c r="C49" s="10" t="n">
        <f aca="false">$G$18*B49</f>
        <v>47.8918903048943</v>
      </c>
      <c r="F49" s="5"/>
    </row>
    <row r="50" customFormat="false" ht="12.8" hidden="false" customHeight="false" outlineLevel="0" collapsed="false">
      <c r="A50" s="10" t="s">
        <v>377</v>
      </c>
      <c r="B50" s="1" t="n">
        <v>144763.025210084</v>
      </c>
      <c r="C50" s="10" t="n">
        <f aca="false">$G$18*B50</f>
        <v>58.8652551653407</v>
      </c>
      <c r="E50" s="10" t="s">
        <v>32</v>
      </c>
      <c r="F50" s="5" t="n">
        <v>72381.51</v>
      </c>
      <c r="G50" s="10" t="n">
        <f aca="false">$G$18*F50</f>
        <v>29.4326265233773</v>
      </c>
    </row>
    <row r="51" customFormat="false" ht="12.8" hidden="false" customHeight="false" outlineLevel="0" collapsed="false">
      <c r="A51" s="10" t="s">
        <v>235</v>
      </c>
      <c r="B51" s="1" t="n">
        <v>39335.5742296919</v>
      </c>
      <c r="C51" s="10" t="n">
        <f aca="false">$G$18*B51</f>
        <v>15.9950968884886</v>
      </c>
    </row>
    <row r="66" customFormat="false" ht="12.8" hidden="false" customHeight="false" outlineLevel="0" collapsed="false">
      <c r="A66" s="10" t="s">
        <v>446</v>
      </c>
      <c r="B66" s="10" t="n">
        <v>2025</v>
      </c>
      <c r="C66" s="10" t="n">
        <v>2026</v>
      </c>
      <c r="D66" s="10" t="n">
        <v>2027</v>
      </c>
      <c r="E66" s="10" t="n">
        <v>2028</v>
      </c>
      <c r="F66" s="10" t="n">
        <v>2029</v>
      </c>
      <c r="G66" s="10" t="n">
        <v>2030</v>
      </c>
      <c r="H66" s="10" t="n">
        <v>2031</v>
      </c>
      <c r="I66" s="10" t="n">
        <v>2032</v>
      </c>
      <c r="J66" s="10" t="n">
        <v>2033</v>
      </c>
      <c r="K66" s="10" t="n">
        <v>2034</v>
      </c>
      <c r="L66" s="10" t="n">
        <v>2035</v>
      </c>
      <c r="M66" s="10" t="n">
        <v>2036</v>
      </c>
      <c r="N66" s="10" t="n">
        <v>2037</v>
      </c>
      <c r="O66" s="10" t="n">
        <v>2038</v>
      </c>
      <c r="P66" s="10" t="n">
        <v>2039</v>
      </c>
      <c r="Q66" s="10" t="n">
        <v>2040</v>
      </c>
      <c r="R66" s="10" t="n">
        <v>2041</v>
      </c>
      <c r="S66" s="10" t="n">
        <v>2042</v>
      </c>
      <c r="T66" s="10" t="n">
        <v>2043</v>
      </c>
      <c r="U66" s="10" t="n">
        <v>2044</v>
      </c>
      <c r="V66" s="10" t="n">
        <v>2045</v>
      </c>
      <c r="W66" s="10" t="n">
        <v>2046</v>
      </c>
      <c r="X66" s="10" t="n">
        <v>2047</v>
      </c>
      <c r="Y66" s="10" t="n">
        <v>2048</v>
      </c>
      <c r="Z66" s="10" t="n">
        <v>2049</v>
      </c>
      <c r="AA66" s="10" t="n">
        <v>2050</v>
      </c>
    </row>
    <row r="67" customFormat="false" ht="12.8" hidden="false" customHeight="false" outlineLevel="0" collapsed="false">
      <c r="A67" s="10" t="s">
        <v>33</v>
      </c>
      <c r="B67" s="10" t="n">
        <f aca="false">SUM(C47:C49)</f>
        <v>129.539464734038</v>
      </c>
      <c r="C67" s="10" t="n">
        <f aca="false">B67*0.75+G47*0.25</f>
        <v>101.219174523441</v>
      </c>
      <c r="D67" s="10" t="n">
        <f aca="false">$G47</f>
        <v>16.2583038916497</v>
      </c>
      <c r="E67" s="10" t="n">
        <f aca="false">$G47</f>
        <v>16.2583038916497</v>
      </c>
      <c r="F67" s="10" t="n">
        <f aca="false">$G47</f>
        <v>16.2583038916497</v>
      </c>
      <c r="G67" s="10" t="n">
        <f aca="false">$G47</f>
        <v>16.2583038916497</v>
      </c>
      <c r="H67" s="10" t="n">
        <f aca="false">$G47</f>
        <v>16.2583038916497</v>
      </c>
      <c r="I67" s="10" t="n">
        <f aca="false">$G47</f>
        <v>16.2583038916497</v>
      </c>
      <c r="J67" s="10" t="n">
        <f aca="false">$G47</f>
        <v>16.2583038916497</v>
      </c>
      <c r="K67" s="10" t="n">
        <f aca="false">$G47</f>
        <v>16.2583038916497</v>
      </c>
      <c r="L67" s="10" t="n">
        <f aca="false">$G47</f>
        <v>16.2583038916497</v>
      </c>
      <c r="M67" s="10" t="n">
        <f aca="false">$G47</f>
        <v>16.2583038916497</v>
      </c>
      <c r="N67" s="10" t="n">
        <f aca="false">$G47</f>
        <v>16.2583038916497</v>
      </c>
      <c r="O67" s="10" t="n">
        <f aca="false">$G47</f>
        <v>16.2583038916497</v>
      </c>
      <c r="P67" s="10" t="n">
        <f aca="false">$G47</f>
        <v>16.2583038916497</v>
      </c>
      <c r="Q67" s="10" t="n">
        <f aca="false">$G47</f>
        <v>16.2583038916497</v>
      </c>
      <c r="R67" s="10" t="n">
        <f aca="false">$G47</f>
        <v>16.2583038916497</v>
      </c>
      <c r="S67" s="10" t="n">
        <f aca="false">$G47</f>
        <v>16.2583038916497</v>
      </c>
      <c r="T67" s="10" t="n">
        <f aca="false">$G47</f>
        <v>16.2583038916497</v>
      </c>
      <c r="U67" s="10" t="n">
        <f aca="false">$G47</f>
        <v>16.2583038916497</v>
      </c>
      <c r="V67" s="10" t="n">
        <f aca="false">$G47</f>
        <v>16.2583038916497</v>
      </c>
      <c r="W67" s="10" t="n">
        <f aca="false">$G47</f>
        <v>16.2583038916497</v>
      </c>
      <c r="X67" s="10" t="n">
        <f aca="false">$G47</f>
        <v>16.2583038916497</v>
      </c>
      <c r="Y67" s="10" t="n">
        <f aca="false">$G47</f>
        <v>16.2583038916497</v>
      </c>
      <c r="Z67" s="10" t="n">
        <f aca="false">$G47</f>
        <v>16.2583038916497</v>
      </c>
      <c r="AA67" s="10" t="n">
        <f aca="false">$G47</f>
        <v>16.2583038916497</v>
      </c>
    </row>
    <row r="68" customFormat="false" ht="12.8" hidden="false" customHeight="false" outlineLevel="0" collapsed="false">
      <c r="A68" s="10" t="s">
        <v>32</v>
      </c>
      <c r="B68" s="10" t="n">
        <f aca="false">SUM(C50:C51)</f>
        <v>74.8603520538293</v>
      </c>
      <c r="C68" s="10" t="n">
        <f aca="false">B68*0.75+G50*0.25</f>
        <v>63.5034206712163</v>
      </c>
      <c r="D68" s="10" t="n">
        <f aca="false">$G50</f>
        <v>29.4326265233773</v>
      </c>
      <c r="E68" s="10" t="n">
        <f aca="false">$G50</f>
        <v>29.4326265233773</v>
      </c>
      <c r="F68" s="10" t="n">
        <f aca="false">$G50</f>
        <v>29.4326265233773</v>
      </c>
      <c r="G68" s="10" t="n">
        <f aca="false">$G50</f>
        <v>29.4326265233773</v>
      </c>
      <c r="H68" s="10" t="n">
        <f aca="false">$G50</f>
        <v>29.4326265233773</v>
      </c>
      <c r="I68" s="10" t="n">
        <f aca="false">$G50</f>
        <v>29.4326265233773</v>
      </c>
      <c r="J68" s="10" t="n">
        <f aca="false">$G50</f>
        <v>29.4326265233773</v>
      </c>
      <c r="K68" s="10" t="n">
        <f aca="false">$G50</f>
        <v>29.4326265233773</v>
      </c>
      <c r="L68" s="10" t="n">
        <f aca="false">$G50</f>
        <v>29.4326265233773</v>
      </c>
      <c r="M68" s="10" t="n">
        <f aca="false">$G50</f>
        <v>29.4326265233773</v>
      </c>
      <c r="N68" s="10" t="n">
        <f aca="false">$G50</f>
        <v>29.4326265233773</v>
      </c>
      <c r="O68" s="10" t="n">
        <f aca="false">$G50</f>
        <v>29.4326265233773</v>
      </c>
      <c r="P68" s="10" t="n">
        <f aca="false">$G50</f>
        <v>29.4326265233773</v>
      </c>
      <c r="Q68" s="10" t="n">
        <f aca="false">$G50</f>
        <v>29.4326265233773</v>
      </c>
      <c r="R68" s="10" t="n">
        <f aca="false">$G50</f>
        <v>29.4326265233773</v>
      </c>
      <c r="S68" s="10" t="n">
        <f aca="false">$G50</f>
        <v>29.4326265233773</v>
      </c>
      <c r="T68" s="10" t="n">
        <f aca="false">$G50</f>
        <v>29.4326265233773</v>
      </c>
      <c r="U68" s="10" t="n">
        <f aca="false">$G50</f>
        <v>29.4326265233773</v>
      </c>
      <c r="V68" s="10" t="n">
        <f aca="false">$G50</f>
        <v>29.4326265233773</v>
      </c>
      <c r="W68" s="10" t="n">
        <f aca="false">$G50</f>
        <v>29.4326265233773</v>
      </c>
      <c r="X68" s="10" t="n">
        <f aca="false">$G50</f>
        <v>29.4326265233773</v>
      </c>
      <c r="Y68" s="10" t="n">
        <f aca="false">$G50</f>
        <v>29.4326265233773</v>
      </c>
      <c r="Z68" s="10" t="n">
        <f aca="false">$G50</f>
        <v>29.4326265233773</v>
      </c>
      <c r="AA68" s="10" t="n">
        <f aca="false">$G50</f>
        <v>29.4326265233773</v>
      </c>
    </row>
    <row r="69" customFormat="false" ht="12.8" hidden="false" customHeight="false" outlineLevel="0" collapsed="false">
      <c r="A69" s="10" t="s">
        <v>447</v>
      </c>
      <c r="B69" s="10" t="s">
        <v>441</v>
      </c>
      <c r="C69" s="10" t="s">
        <v>442</v>
      </c>
    </row>
    <row r="70" customFormat="false" ht="12.8" hidden="false" customHeight="false" outlineLevel="0" collapsed="false">
      <c r="A70" s="10" t="s">
        <v>33</v>
      </c>
      <c r="B70" s="10" t="n">
        <f aca="false">6*B67-SUM(B67:G67)</f>
        <v>481.44493358015</v>
      </c>
      <c r="C70" s="10" t="n">
        <f aca="false">26*B67-SUM(B67:AA67)</f>
        <v>2747.06815042792</v>
      </c>
    </row>
    <row r="71" customFormat="false" ht="12.8" hidden="false" customHeight="false" outlineLevel="0" collapsed="false">
      <c r="A71" s="10" t="s">
        <v>32</v>
      </c>
      <c r="B71" s="10" t="n">
        <f aca="false">6*B68-SUM(B68:G68)</f>
        <v>193.067833504421</v>
      </c>
      <c r="C71" s="10" t="n">
        <f aca="false">26*B68-SUM(B68:AA68)</f>
        <v>1101.62234411346</v>
      </c>
    </row>
    <row r="73" customFormat="false" ht="12.8" hidden="false" customHeight="false" outlineLevel="0" collapsed="false">
      <c r="A73" s="10" t="s">
        <v>234</v>
      </c>
      <c r="B73" s="10" t="n">
        <v>2025</v>
      </c>
      <c r="C73" s="10" t="n">
        <v>2026</v>
      </c>
      <c r="D73" s="10" t="n">
        <v>2027</v>
      </c>
      <c r="E73" s="10" t="n">
        <v>2028</v>
      </c>
      <c r="F73" s="10" t="n">
        <v>2029</v>
      </c>
      <c r="G73" s="10" t="n">
        <v>2030</v>
      </c>
      <c r="H73" s="10" t="n">
        <v>2031</v>
      </c>
      <c r="I73" s="10" t="n">
        <v>2032</v>
      </c>
      <c r="J73" s="10" t="n">
        <v>2033</v>
      </c>
      <c r="K73" s="10" t="n">
        <v>2034</v>
      </c>
      <c r="L73" s="10" t="n">
        <v>2035</v>
      </c>
      <c r="M73" s="10" t="n">
        <v>2036</v>
      </c>
      <c r="N73" s="10" t="n">
        <v>2037</v>
      </c>
      <c r="O73" s="10" t="n">
        <v>2038</v>
      </c>
      <c r="P73" s="10" t="n">
        <v>2039</v>
      </c>
      <c r="Q73" s="10" t="n">
        <v>2040</v>
      </c>
      <c r="R73" s="10" t="n">
        <v>2041</v>
      </c>
      <c r="S73" s="10" t="n">
        <v>2042</v>
      </c>
      <c r="T73" s="10" t="n">
        <v>2043</v>
      </c>
      <c r="U73" s="10" t="n">
        <v>2044</v>
      </c>
      <c r="V73" s="10" t="n">
        <v>2045</v>
      </c>
      <c r="W73" s="10" t="n">
        <v>2046</v>
      </c>
      <c r="X73" s="10" t="n">
        <v>2047</v>
      </c>
      <c r="Y73" s="10" t="n">
        <v>2048</v>
      </c>
      <c r="Z73" s="10" t="n">
        <v>2049</v>
      </c>
      <c r="AA73" s="10" t="n">
        <v>2050</v>
      </c>
    </row>
    <row r="74" customFormat="false" ht="12.8" hidden="false" customHeight="false" outlineLevel="0" collapsed="false">
      <c r="B74" s="10" t="n">
        <f aca="false">SUM(C47:C49)</f>
        <v>129.539464734038</v>
      </c>
      <c r="C74" s="10" t="n">
        <f aca="false">B74*0.75+G48*0.25</f>
        <v>97.1545985505285</v>
      </c>
      <c r="D74" s="10" t="n">
        <f aca="false">$G49</f>
        <v>0</v>
      </c>
      <c r="E74" s="10" t="n">
        <f aca="false">$G49</f>
        <v>0</v>
      </c>
      <c r="F74" s="10" t="n">
        <f aca="false">$G49</f>
        <v>0</v>
      </c>
      <c r="G74" s="10" t="n">
        <f aca="false">$G49</f>
        <v>0</v>
      </c>
      <c r="H74" s="10" t="n">
        <f aca="false">$G49</f>
        <v>0</v>
      </c>
      <c r="I74" s="10" t="n">
        <f aca="false">$G49</f>
        <v>0</v>
      </c>
      <c r="J74" s="10" t="n">
        <f aca="false">$G49</f>
        <v>0</v>
      </c>
      <c r="K74" s="10" t="n">
        <f aca="false">$G49</f>
        <v>0</v>
      </c>
      <c r="L74" s="10" t="n">
        <f aca="false">$G49</f>
        <v>0</v>
      </c>
      <c r="M74" s="10" t="n">
        <f aca="false">$G49</f>
        <v>0</v>
      </c>
      <c r="N74" s="10" t="n">
        <f aca="false">$G49</f>
        <v>0</v>
      </c>
      <c r="O74" s="10" t="n">
        <f aca="false">$G49</f>
        <v>0</v>
      </c>
      <c r="P74" s="10" t="n">
        <f aca="false">$G49</f>
        <v>0</v>
      </c>
      <c r="Q74" s="10" t="n">
        <f aca="false">$G49</f>
        <v>0</v>
      </c>
      <c r="R74" s="10" t="n">
        <f aca="false">$G49</f>
        <v>0</v>
      </c>
      <c r="S74" s="10" t="n">
        <f aca="false">$G49</f>
        <v>0</v>
      </c>
      <c r="T74" s="10" t="n">
        <f aca="false">$G49</f>
        <v>0</v>
      </c>
      <c r="U74" s="10" t="n">
        <f aca="false">$G49</f>
        <v>0</v>
      </c>
      <c r="V74" s="10" t="n">
        <f aca="false">$G49</f>
        <v>0</v>
      </c>
      <c r="W74" s="10" t="n">
        <f aca="false">$G49</f>
        <v>0</v>
      </c>
      <c r="X74" s="10" t="n">
        <f aca="false">$G49</f>
        <v>0</v>
      </c>
      <c r="Y74" s="10" t="n">
        <f aca="false">$G49</f>
        <v>0</v>
      </c>
      <c r="Z74" s="10" t="n">
        <f aca="false">$G49</f>
        <v>0</v>
      </c>
      <c r="AA74" s="10" t="n">
        <f aca="false">$G49</f>
        <v>0</v>
      </c>
    </row>
    <row r="75" customFormat="false" ht="12.8" hidden="false" customHeight="false" outlineLevel="0" collapsed="false">
      <c r="B75" s="10" t="n">
        <f aca="false">SUM(C50:C51)</f>
        <v>74.8603520538293</v>
      </c>
      <c r="C75" s="10" t="n">
        <f aca="false">B75*0.75+G51*0.25</f>
        <v>56.145264040372</v>
      </c>
      <c r="D75" s="10" t="n">
        <f aca="false">$G$49</f>
        <v>0</v>
      </c>
      <c r="E75" s="10" t="n">
        <f aca="false">$G$49</f>
        <v>0</v>
      </c>
      <c r="F75" s="10" t="n">
        <f aca="false">$G$49</f>
        <v>0</v>
      </c>
      <c r="G75" s="10" t="n">
        <f aca="false">$G$49</f>
        <v>0</v>
      </c>
      <c r="H75" s="10" t="n">
        <f aca="false">$G$49</f>
        <v>0</v>
      </c>
      <c r="I75" s="10" t="n">
        <f aca="false">$G$49</f>
        <v>0</v>
      </c>
      <c r="J75" s="10" t="n">
        <f aca="false">$G$49</f>
        <v>0</v>
      </c>
      <c r="K75" s="10" t="n">
        <f aca="false">$G$49</f>
        <v>0</v>
      </c>
      <c r="L75" s="10" t="n">
        <f aca="false">$G$49</f>
        <v>0</v>
      </c>
      <c r="M75" s="10" t="n">
        <f aca="false">$G$49</f>
        <v>0</v>
      </c>
      <c r="N75" s="10" t="n">
        <f aca="false">$G$49</f>
        <v>0</v>
      </c>
      <c r="O75" s="10" t="n">
        <f aca="false">$G$49</f>
        <v>0</v>
      </c>
      <c r="P75" s="10" t="n">
        <f aca="false">$G$49</f>
        <v>0</v>
      </c>
      <c r="Q75" s="10" t="n">
        <f aca="false">$G$49</f>
        <v>0</v>
      </c>
      <c r="R75" s="10" t="n">
        <f aca="false">$G$49</f>
        <v>0</v>
      </c>
      <c r="S75" s="10" t="n">
        <f aca="false">$G$49</f>
        <v>0</v>
      </c>
      <c r="T75" s="10" t="n">
        <f aca="false">$G$49</f>
        <v>0</v>
      </c>
      <c r="U75" s="10" t="n">
        <f aca="false">$G$49</f>
        <v>0</v>
      </c>
      <c r="V75" s="10" t="n">
        <f aca="false">$G$49</f>
        <v>0</v>
      </c>
      <c r="W75" s="10" t="n">
        <f aca="false">$G$49</f>
        <v>0</v>
      </c>
      <c r="X75" s="10" t="n">
        <f aca="false">$G$49</f>
        <v>0</v>
      </c>
      <c r="Y75" s="10" t="n">
        <f aca="false">$G$49</f>
        <v>0</v>
      </c>
      <c r="Z75" s="10" t="n">
        <f aca="false">$G$49</f>
        <v>0</v>
      </c>
      <c r="AA75" s="10" t="n">
        <f aca="false">$G$49</f>
        <v>0</v>
      </c>
    </row>
    <row r="76" customFormat="false" ht="12.8" hidden="false" customHeight="false" outlineLevel="0" collapsed="false">
      <c r="A76" s="10" t="s">
        <v>447</v>
      </c>
      <c r="B76" s="10" t="s">
        <v>441</v>
      </c>
      <c r="C76" s="10" t="s">
        <v>442</v>
      </c>
    </row>
    <row r="77" customFormat="false" ht="12.8" hidden="false" customHeight="false" outlineLevel="0" collapsed="false">
      <c r="A77" s="10" t="s">
        <v>33</v>
      </c>
      <c r="B77" s="10" t="n">
        <f aca="false">6*B74-SUM(B74:G74)</f>
        <v>550.542725119662</v>
      </c>
      <c r="C77" s="10" t="n">
        <f aca="false">26*B74-SUM(B74:AA74)</f>
        <v>3141.33201980042</v>
      </c>
    </row>
    <row r="78" customFormat="false" ht="12.8" hidden="false" customHeight="false" outlineLevel="0" collapsed="false">
      <c r="A78" s="10" t="s">
        <v>32</v>
      </c>
      <c r="B78" s="10" t="n">
        <f aca="false">6*B75-SUM(B75:G75)</f>
        <v>318.156496228775</v>
      </c>
      <c r="C78" s="10" t="n">
        <f aca="false">26*B75-SUM(B75:AA75)</f>
        <v>1815.36353730536</v>
      </c>
    </row>
    <row r="97" customFormat="false" ht="12.8" hidden="false" customHeight="false" outlineLevel="0" collapsed="false">
      <c r="E97" s="113"/>
    </row>
    <row r="98" customFormat="false" ht="14.65" hidden="false" customHeight="false" outlineLevel="0" collapsed="false">
      <c r="A98" s="10" t="s">
        <v>448</v>
      </c>
      <c r="B98" s="10" t="s">
        <v>449</v>
      </c>
      <c r="C98" s="10" t="s">
        <v>450</v>
      </c>
      <c r="D98" s="10" t="s">
        <v>451</v>
      </c>
      <c r="E98" s="113" t="s">
        <v>452</v>
      </c>
      <c r="F98" s="10" t="s">
        <v>453</v>
      </c>
      <c r="G98" s="10" t="s">
        <v>454</v>
      </c>
      <c r="I98" s="0" t="s">
        <v>455</v>
      </c>
    </row>
    <row r="99" customFormat="false" ht="15.8" hidden="false" customHeight="false" outlineLevel="0" collapsed="false">
      <c r="A99" s="172" t="n">
        <v>2010</v>
      </c>
      <c r="B99" s="173" t="n">
        <v>0.019</v>
      </c>
      <c r="C99" s="5" t="n">
        <v>11772.0833333333</v>
      </c>
      <c r="D99" s="113" t="n">
        <f aca="false">B99/C99</f>
        <v>1.61398789509079E-006</v>
      </c>
      <c r="E99" s="113"/>
      <c r="F99" s="113" t="n">
        <f aca="false">1-D99</f>
        <v>0.999998386012105</v>
      </c>
      <c r="I99" s="0" t="s">
        <v>456</v>
      </c>
      <c r="J99" s="0" t="s">
        <v>457</v>
      </c>
    </row>
    <row r="100" customFormat="false" ht="15.8" hidden="false" customHeight="false" outlineLevel="0" collapsed="false">
      <c r="A100" s="172" t="n">
        <v>2011</v>
      </c>
      <c r="B100" s="173" t="n">
        <v>10.092</v>
      </c>
      <c r="C100" s="5" t="n">
        <v>13049.0833333333</v>
      </c>
      <c r="D100" s="113" t="n">
        <f aca="false">B100/C100</f>
        <v>0.000773387658136908</v>
      </c>
      <c r="E100" s="113"/>
      <c r="F100" s="113" t="n">
        <f aca="false">1-D100</f>
        <v>0.999226612341863</v>
      </c>
      <c r="I100" s="0" t="n">
        <v>2016</v>
      </c>
      <c r="J100" s="0" t="n">
        <v>1</v>
      </c>
    </row>
    <row r="101" customFormat="false" ht="15.8" hidden="false" customHeight="false" outlineLevel="0" collapsed="false">
      <c r="A101" s="172" t="n">
        <v>2012</v>
      </c>
      <c r="B101" s="173" t="n">
        <v>14.587</v>
      </c>
      <c r="C101" s="5" t="n">
        <v>14780.5833333333</v>
      </c>
      <c r="D101" s="113" t="n">
        <f aca="false">B101/C101</f>
        <v>0.000986902862426497</v>
      </c>
      <c r="E101" s="113" t="n">
        <f aca="false">(D101-D100)/D100</f>
        <v>0.276077853122129</v>
      </c>
      <c r="F101" s="113" t="n">
        <f aca="false">1-D101</f>
        <v>0.999013097137574</v>
      </c>
      <c r="G101" s="113" t="n">
        <f aca="false">(F101-F100)/F100</f>
        <v>-0.000213680462121773</v>
      </c>
      <c r="I101" s="0" t="n">
        <v>2017</v>
      </c>
    </row>
    <row r="102" customFormat="false" ht="15.8" hidden="false" customHeight="false" outlineLevel="0" collapsed="false">
      <c r="A102" s="172" t="s">
        <v>458</v>
      </c>
      <c r="B102" s="173" t="n">
        <v>48.094</v>
      </c>
      <c r="C102" s="5" t="n">
        <v>15882.0833333333</v>
      </c>
      <c r="D102" s="113" t="n">
        <f aca="false">B102/C102</f>
        <v>0.00302819214523704</v>
      </c>
      <c r="E102" s="113"/>
      <c r="F102" s="113" t="n">
        <f aca="false">1-D102</f>
        <v>0.996971807854763</v>
      </c>
      <c r="G102" s="113" t="n">
        <f aca="false">(F102-F101)/F101</f>
        <v>-0.00204330582718021</v>
      </c>
      <c r="I102" s="0" t="n">
        <v>2018</v>
      </c>
    </row>
    <row r="103" customFormat="false" ht="15.8" hidden="false" customHeight="false" outlineLevel="0" collapsed="false">
      <c r="A103" s="172" t="n">
        <v>2014</v>
      </c>
      <c r="B103" s="173" t="n">
        <v>63.525</v>
      </c>
      <c r="C103" s="5" t="n">
        <v>16858.1666666667</v>
      </c>
      <c r="D103" s="113" t="n">
        <f aca="false">B103/C103</f>
        <v>0.00376820334358223</v>
      </c>
      <c r="E103" s="113" t="n">
        <f aca="false">(D103-D102)/D102</f>
        <v>0.244373924392194</v>
      </c>
      <c r="F103" s="113" t="n">
        <f aca="false">1-D103</f>
        <v>0.996231796656418</v>
      </c>
      <c r="G103" s="113" t="n">
        <f aca="false">(F103-F102)/F102</f>
        <v>-0.000742258900918597</v>
      </c>
      <c r="I103" s="0" t="n">
        <v>2019</v>
      </c>
    </row>
    <row r="104" customFormat="false" ht="15.8" hidden="false" customHeight="false" outlineLevel="0" collapsed="false">
      <c r="A104" s="172" t="n">
        <v>2015</v>
      </c>
      <c r="B104" s="173" t="n">
        <v>71.064</v>
      </c>
      <c r="C104" s="5" t="n">
        <v>17857.0833333333</v>
      </c>
      <c r="D104" s="113" t="n">
        <f aca="false">B104/C104</f>
        <v>0.00397959726532423</v>
      </c>
      <c r="E104" s="113" t="n">
        <f aca="false">(D104-D103)/D103</f>
        <v>0.0560993933891666</v>
      </c>
      <c r="F104" s="113" t="n">
        <f aca="false">1-D104</f>
        <v>0.996020402734676</v>
      </c>
      <c r="G104" s="113" t="n">
        <f aca="false">(F104-F103)/F103</f>
        <v>-0.00021219351003608</v>
      </c>
      <c r="I104" s="0" t="n">
        <v>2020</v>
      </c>
    </row>
    <row r="105" customFormat="false" ht="15.8" hidden="false" customHeight="false" outlineLevel="0" collapsed="false">
      <c r="A105" s="172" t="n">
        <v>2016</v>
      </c>
      <c r="B105" s="173" t="n">
        <v>86.731</v>
      </c>
      <c r="C105" s="5" t="n">
        <v>17879.5833333333</v>
      </c>
      <c r="D105" s="113" t="n">
        <f aca="false">B105/C105</f>
        <v>0.00485084011092728</v>
      </c>
      <c r="E105" s="113" t="n">
        <f aca="false">(D105-D104)/D104</f>
        <v>0.218927390767536</v>
      </c>
      <c r="F105" s="113" t="n">
        <f aca="false">1-D105</f>
        <v>0.995149159889073</v>
      </c>
      <c r="G105" s="113" t="n">
        <f aca="false">(F105-F104)/F104</f>
        <v>-0.000874723894421179</v>
      </c>
      <c r="I105" s="0" t="n">
        <v>2021</v>
      </c>
    </row>
    <row r="106" customFormat="false" ht="15.8" hidden="false" customHeight="false" outlineLevel="0" collapsed="false">
      <c r="A106" s="172" t="n">
        <v>2017</v>
      </c>
      <c r="B106" s="173" t="n">
        <v>104.487</v>
      </c>
      <c r="C106" s="5" t="n">
        <v>17563.5</v>
      </c>
      <c r="D106" s="113" t="n">
        <f aca="false">B106/C106</f>
        <v>0.00594909898368776</v>
      </c>
      <c r="E106" s="113" t="n">
        <f aca="false">(D106-D105)/D105</f>
        <v>0.226405910655864</v>
      </c>
      <c r="F106" s="113" t="n">
        <f aca="false">1-D106</f>
        <v>0.994050901016312</v>
      </c>
      <c r="G106" s="113" t="n">
        <f aca="false">(F106-F105)/F105</f>
        <v>-0.00110361231966765</v>
      </c>
      <c r="I106" s="0" t="n">
        <v>2022</v>
      </c>
    </row>
    <row r="107" customFormat="false" ht="15.8" hidden="false" customHeight="false" outlineLevel="0" collapsed="false">
      <c r="A107" s="172" t="n">
        <v>2018</v>
      </c>
      <c r="B107" s="173" t="n">
        <v>207.062</v>
      </c>
      <c r="C107" s="5" t="n">
        <v>17711.5833333333</v>
      </c>
      <c r="D107" s="113" t="n">
        <f aca="false">B107/C107</f>
        <v>0.0116907673415232</v>
      </c>
      <c r="E107" s="113"/>
      <c r="F107" s="113" t="n">
        <f aca="false">1-D107</f>
        <v>0.988309232658477</v>
      </c>
      <c r="G107" s="113" t="n">
        <f aca="false">(F107-F106)/F106</f>
        <v>-0.00577603053522225</v>
      </c>
    </row>
    <row r="108" customFormat="false" ht="15.8" hidden="false" customHeight="false" outlineLevel="0" collapsed="false">
      <c r="A108" s="172" t="n">
        <v>2019</v>
      </c>
      <c r="B108" s="173" t="n">
        <v>233.822</v>
      </c>
      <c r="C108" s="5" t="n">
        <v>17488.75</v>
      </c>
      <c r="D108" s="113" t="n">
        <f aca="false">B108/C108</f>
        <v>0.013369852047745</v>
      </c>
      <c r="E108" s="113" t="n">
        <f aca="false">(D108-D107)/D107</f>
        <v>0.14362485003512</v>
      </c>
      <c r="F108" s="113" t="n">
        <f aca="false">1-D108</f>
        <v>0.986630147952255</v>
      </c>
      <c r="G108" s="113" t="n">
        <f aca="false">(F108-F107)/F107</f>
        <v>-0.0016989466967795</v>
      </c>
    </row>
    <row r="109" customFormat="false" ht="15.8" hidden="false" customHeight="false" outlineLevel="0" collapsed="false">
      <c r="A109" s="172" t="n">
        <v>2020</v>
      </c>
      <c r="B109" s="173" t="n">
        <v>238.54</v>
      </c>
      <c r="C109" s="5" t="n">
        <v>14880.6666666667</v>
      </c>
      <c r="D109" s="113" t="n">
        <f aca="false">B109/C109</f>
        <v>0.0160301957797589</v>
      </c>
      <c r="E109" s="113" t="n">
        <f aca="false">(D109-D108)/D108</f>
        <v>0.198980790700871</v>
      </c>
      <c r="F109" s="113" t="n">
        <f aca="false">1-D109</f>
        <v>0.983969804220241</v>
      </c>
      <c r="G109" s="113" t="n">
        <f aca="false">(F109-F108)/F108</f>
        <v>-0.00269639412249411</v>
      </c>
    </row>
    <row r="110" customFormat="false" ht="15.8" hidden="false" customHeight="false" outlineLevel="0" collapsed="false">
      <c r="A110" s="172" t="n">
        <v>2021</v>
      </c>
      <c r="B110" s="173" t="n">
        <v>459.474</v>
      </c>
      <c r="C110" s="5" t="n">
        <v>15408.8333333333</v>
      </c>
      <c r="D110" s="113" t="n">
        <f aca="false">B110/C110</f>
        <v>0.029818870128606</v>
      </c>
      <c r="E110" s="113"/>
      <c r="F110" s="113" t="n">
        <f aca="false">1-D110</f>
        <v>0.970181129871394</v>
      </c>
      <c r="G110" s="113" t="n">
        <f aca="false">(F110-F109)/F109</f>
        <v>-0.0140133104590278</v>
      </c>
    </row>
    <row r="111" customFormat="false" ht="15.8" hidden="false" customHeight="false" outlineLevel="0" collapsed="false">
      <c r="A111" s="172" t="n">
        <v>2022</v>
      </c>
      <c r="B111" s="173" t="n">
        <v>747.982</v>
      </c>
      <c r="C111" s="5" t="n">
        <v>14228.8333333333</v>
      </c>
      <c r="D111" s="113" t="n">
        <f aca="false">B111/C111</f>
        <v>0.0525680484462302</v>
      </c>
      <c r="E111" s="113"/>
      <c r="F111" s="113" t="n">
        <f aca="false">1-D111</f>
        <v>0.94743195155377</v>
      </c>
      <c r="G111" s="113" t="n">
        <f aca="false">(F111-F110)/F110</f>
        <v>-0.0234483825928874</v>
      </c>
    </row>
    <row r="112" customFormat="false" ht="15.8" hidden="false" customHeight="false" outlineLevel="0" collapsed="false">
      <c r="A112" s="172" t="n">
        <v>2023</v>
      </c>
      <c r="B112" s="173" t="n">
        <v>1109.313</v>
      </c>
      <c r="C112" s="5" t="n">
        <v>16032.1666666667</v>
      </c>
      <c r="D112" s="113" t="n">
        <f aca="false">B112/C112</f>
        <v>0.0691929558283865</v>
      </c>
      <c r="E112" s="113" t="n">
        <f aca="false">(D112-D111)/D111</f>
        <v>0.31625498517719</v>
      </c>
      <c r="F112" s="113" t="n">
        <f aca="false">1-D112</f>
        <v>0.930807044171613</v>
      </c>
      <c r="G112" s="113" t="n">
        <f aca="false">(F112-F111)/F111</f>
        <v>-0.0175473366239041</v>
      </c>
    </row>
    <row r="113" customFormat="false" ht="15.8" hidden="false" customHeight="false" outlineLevel="0" collapsed="false">
      <c r="D113" s="113"/>
      <c r="E113" s="113" t="n">
        <f aca="false">AVERAGE(E101:E112)</f>
        <v>0.210093137280009</v>
      </c>
      <c r="F113" s="113"/>
      <c r="G113" s="113" t="n">
        <f aca="false">AVERAGE(G101:G112)</f>
        <v>-0.00586418132872172</v>
      </c>
    </row>
    <row r="114" customFormat="false" ht="15.8" hidden="false" customHeight="false" outlineLevel="0" collapsed="false">
      <c r="A114" s="10" t="s">
        <v>459</v>
      </c>
      <c r="B114" s="10" t="s">
        <v>460</v>
      </c>
      <c r="C114" s="0" t="s">
        <v>295</v>
      </c>
      <c r="D114" s="10" t="s">
        <v>461</v>
      </c>
    </row>
    <row r="115" customFormat="false" ht="15.8" hidden="false" customHeight="false" outlineLevel="0" collapsed="false">
      <c r="A115" s="174" t="n">
        <v>40179</v>
      </c>
      <c r="B115" s="0" t="n">
        <v>10.893</v>
      </c>
      <c r="C115" s="0" t="n">
        <v>2010</v>
      </c>
      <c r="D115" s="10" t="n">
        <f aca="false">AVERAGE(B115:B126)*1000</f>
        <v>11772.0833333333</v>
      </c>
      <c r="F115" s="175"/>
    </row>
    <row r="116" customFormat="false" ht="15.8" hidden="false" customHeight="false" outlineLevel="0" collapsed="false">
      <c r="A116" s="174" t="n">
        <v>40210</v>
      </c>
      <c r="B116" s="0" t="n">
        <v>10.315</v>
      </c>
      <c r="C116" s="0" t="n">
        <v>2011</v>
      </c>
      <c r="D116" s="10" t="n">
        <f aca="false">AVERAGE(B127:B138)*1000</f>
        <v>13049.0833333333</v>
      </c>
    </row>
    <row r="117" customFormat="false" ht="15.8" hidden="false" customHeight="false" outlineLevel="0" collapsed="false">
      <c r="A117" s="174" t="n">
        <v>40238</v>
      </c>
      <c r="B117" s="0" t="n">
        <v>11.772</v>
      </c>
      <c r="C117" s="0" t="n">
        <v>2012</v>
      </c>
      <c r="D117" s="10" t="n">
        <f aca="false">AVERAGE(B139:B150)*1000</f>
        <v>14780.5833333333</v>
      </c>
    </row>
    <row r="118" customFormat="false" ht="15.8" hidden="false" customHeight="false" outlineLevel="0" collapsed="false">
      <c r="A118" s="174" t="n">
        <v>40269</v>
      </c>
      <c r="B118" s="0" t="n">
        <v>11.454</v>
      </c>
      <c r="C118" s="0" t="n">
        <v>2013</v>
      </c>
      <c r="D118" s="10" t="n">
        <f aca="false">AVERAGE(B151:B162)*1000</f>
        <v>15882.0833333333</v>
      </c>
    </row>
    <row r="119" customFormat="false" ht="15.8" hidden="false" customHeight="false" outlineLevel="0" collapsed="false">
      <c r="A119" s="174" t="n">
        <v>40299</v>
      </c>
      <c r="B119" s="0" t="n">
        <v>12.03</v>
      </c>
      <c r="C119" s="0" t="n">
        <v>2014</v>
      </c>
      <c r="D119" s="10" t="n">
        <f aca="false">AVERAGE(B163:B174)*1000</f>
        <v>16858.1666666667</v>
      </c>
    </row>
    <row r="120" customFormat="false" ht="15.8" hidden="false" customHeight="false" outlineLevel="0" collapsed="false">
      <c r="A120" s="174" t="n">
        <v>40330</v>
      </c>
      <c r="B120" s="0" t="n">
        <v>11.598</v>
      </c>
      <c r="C120" s="0" t="n">
        <v>2015</v>
      </c>
      <c r="D120" s="10" t="n">
        <f aca="false">AVERAGE(B175:B186)*1000</f>
        <v>17857.0833333333</v>
      </c>
    </row>
    <row r="121" customFormat="false" ht="15.8" hidden="false" customHeight="false" outlineLevel="0" collapsed="false">
      <c r="A121" s="174" t="n">
        <v>40360</v>
      </c>
      <c r="B121" s="0" t="n">
        <v>11.948</v>
      </c>
      <c r="C121" s="0" t="n">
        <v>2016</v>
      </c>
      <c r="D121" s="10" t="n">
        <f aca="false">AVERAGE(B187:B198)*1000</f>
        <v>17879.5833333333</v>
      </c>
      <c r="F121" s="10" t="s">
        <v>295</v>
      </c>
      <c r="G121" s="10" t="s">
        <v>452</v>
      </c>
    </row>
    <row r="122" customFormat="false" ht="15.8" hidden="false" customHeight="false" outlineLevel="0" collapsed="false">
      <c r="A122" s="174" t="n">
        <v>40391</v>
      </c>
      <c r="B122" s="0" t="n">
        <v>12.014</v>
      </c>
      <c r="C122" s="0" t="n">
        <v>2017</v>
      </c>
      <c r="D122" s="10" t="n">
        <f aca="false">AVERAGE(B199:B210)*1000</f>
        <v>17563.5</v>
      </c>
      <c r="F122" s="10" t="n">
        <v>2010</v>
      </c>
    </row>
    <row r="123" customFormat="false" ht="15.8" hidden="false" customHeight="false" outlineLevel="0" collapsed="false">
      <c r="A123" s="174" t="n">
        <v>40422</v>
      </c>
      <c r="B123" s="0" t="n">
        <v>11.922</v>
      </c>
      <c r="C123" s="0" t="n">
        <v>2018</v>
      </c>
      <c r="D123" s="10" t="n">
        <f aca="false">AVERAGE(B211:B222)*1000</f>
        <v>17711.5833333333</v>
      </c>
      <c r="F123" s="10" t="n">
        <v>2011</v>
      </c>
    </row>
    <row r="124" customFormat="false" ht="15.8" hidden="false" customHeight="false" outlineLevel="0" collapsed="false">
      <c r="A124" s="174" t="n">
        <v>40452</v>
      </c>
      <c r="B124" s="0" t="n">
        <v>12.414</v>
      </c>
      <c r="C124" s="0" t="n">
        <v>2019</v>
      </c>
      <c r="D124" s="10" t="n">
        <f aca="false">AVERAGE(B223:B234)*1000</f>
        <v>17488.75</v>
      </c>
      <c r="F124" s="10" t="n">
        <v>2012</v>
      </c>
      <c r="G124" s="113" t="n">
        <v>0.2761</v>
      </c>
    </row>
    <row r="125" customFormat="false" ht="15.8" hidden="false" customHeight="false" outlineLevel="0" collapsed="false">
      <c r="A125" s="174" t="n">
        <v>40483</v>
      </c>
      <c r="B125" s="0" t="n">
        <v>12.3</v>
      </c>
      <c r="C125" s="0" t="n">
        <v>2020</v>
      </c>
      <c r="D125" s="10" t="n">
        <f aca="false">AVERAGE(B235:B246)*1000</f>
        <v>14880.6666666667</v>
      </c>
      <c r="F125" s="10" t="n">
        <v>2013</v>
      </c>
      <c r="G125" s="113" t="n">
        <v>2.0684</v>
      </c>
    </row>
    <row r="126" customFormat="false" ht="15.8" hidden="false" customHeight="false" outlineLevel="0" collapsed="false">
      <c r="A126" s="174" t="n">
        <v>40513</v>
      </c>
      <c r="B126" s="0" t="n">
        <v>12.605</v>
      </c>
      <c r="C126" s="0" t="n">
        <v>2021</v>
      </c>
      <c r="D126" s="10" t="n">
        <f aca="false">AVERAGE(B247:B258)*1000</f>
        <v>15408.8333333333</v>
      </c>
      <c r="F126" s="10" t="n">
        <v>2014</v>
      </c>
      <c r="G126" s="113" t="n">
        <v>0.2444</v>
      </c>
    </row>
    <row r="127" customFormat="false" ht="15.8" hidden="false" customHeight="false" outlineLevel="0" collapsed="false">
      <c r="A127" s="174" t="n">
        <v>40544</v>
      </c>
      <c r="B127" s="0" t="n">
        <v>12.806</v>
      </c>
      <c r="C127" s="0" t="n">
        <v>2022</v>
      </c>
      <c r="D127" s="10" t="n">
        <f aca="false">AVERAGE(B259:B270)*1000</f>
        <v>14228.8333333333</v>
      </c>
      <c r="F127" s="10" t="n">
        <v>2015</v>
      </c>
      <c r="G127" s="113" t="n">
        <v>0.0561</v>
      </c>
    </row>
    <row r="128" customFormat="false" ht="15.8" hidden="false" customHeight="false" outlineLevel="0" collapsed="false">
      <c r="A128" s="174" t="n">
        <v>40575</v>
      </c>
      <c r="B128" s="0" t="n">
        <v>13.081</v>
      </c>
      <c r="C128" s="0" t="n">
        <v>2023</v>
      </c>
      <c r="D128" s="10" t="n">
        <f aca="false">AVERAGE(B271:B282)*1000</f>
        <v>16032.1666666667</v>
      </c>
      <c r="F128" s="10" t="n">
        <v>2016</v>
      </c>
      <c r="G128" s="113" t="n">
        <v>0.2189</v>
      </c>
    </row>
    <row r="129" customFormat="false" ht="15.8" hidden="false" customHeight="false" outlineLevel="0" collapsed="false">
      <c r="A129" s="174" t="n">
        <v>40603</v>
      </c>
      <c r="B129" s="0" t="n">
        <v>13.259</v>
      </c>
      <c r="C129" s="0"/>
      <c r="F129" s="10" t="n">
        <v>2017</v>
      </c>
      <c r="G129" s="113" t="n">
        <v>0.2264</v>
      </c>
    </row>
    <row r="130" customFormat="false" ht="15.8" hidden="false" customHeight="false" outlineLevel="0" collapsed="false">
      <c r="A130" s="174" t="n">
        <v>40634</v>
      </c>
      <c r="B130" s="0" t="n">
        <v>13.326</v>
      </c>
      <c r="C130" s="0"/>
      <c r="F130" s="10" t="n">
        <v>2018</v>
      </c>
      <c r="G130" s="113" t="n">
        <v>0.9651</v>
      </c>
    </row>
    <row r="131" customFormat="false" ht="15.8" hidden="false" customHeight="false" outlineLevel="0" collapsed="false">
      <c r="A131" s="174" t="n">
        <v>40664</v>
      </c>
      <c r="B131" s="0" t="n">
        <v>12.28</v>
      </c>
      <c r="C131" s="0"/>
      <c r="F131" s="10" t="n">
        <v>2019</v>
      </c>
      <c r="G131" s="113" t="n">
        <v>0.1436</v>
      </c>
    </row>
    <row r="132" customFormat="false" ht="15.8" hidden="false" customHeight="false" outlineLevel="0" collapsed="false">
      <c r="A132" s="174" t="n">
        <v>40695</v>
      </c>
      <c r="B132" s="0" t="n">
        <v>11.886</v>
      </c>
      <c r="F132" s="10" t="n">
        <v>2020</v>
      </c>
      <c r="G132" s="113" t="n">
        <v>0.199</v>
      </c>
    </row>
    <row r="133" customFormat="false" ht="15.8" hidden="false" customHeight="false" outlineLevel="0" collapsed="false">
      <c r="A133" s="174" t="n">
        <v>40725</v>
      </c>
      <c r="B133" s="0" t="n">
        <v>12.72</v>
      </c>
      <c r="F133" s="10" t="n">
        <v>2021</v>
      </c>
      <c r="G133" s="113" t="n">
        <v>0.8602</v>
      </c>
    </row>
    <row r="134" customFormat="false" ht="15.8" hidden="false" customHeight="false" outlineLevel="0" collapsed="false">
      <c r="A134" s="174" t="n">
        <v>40756</v>
      </c>
      <c r="B134" s="0" t="n">
        <v>12.604</v>
      </c>
      <c r="F134" s="10" t="n">
        <v>2022</v>
      </c>
      <c r="G134" s="113" t="n">
        <v>0.7629</v>
      </c>
    </row>
    <row r="135" customFormat="false" ht="15.8" hidden="false" customHeight="false" outlineLevel="0" collapsed="false">
      <c r="A135" s="174" t="n">
        <v>40787</v>
      </c>
      <c r="B135" s="0" t="n">
        <v>13.356</v>
      </c>
      <c r="F135" s="10" t="n">
        <v>2023</v>
      </c>
      <c r="G135" s="113" t="n">
        <v>0.3163</v>
      </c>
    </row>
    <row r="136" customFormat="false" ht="15.8" hidden="false" customHeight="false" outlineLevel="0" collapsed="false">
      <c r="A136" s="174" t="n">
        <v>40817</v>
      </c>
      <c r="B136" s="0" t="n">
        <v>13.73</v>
      </c>
      <c r="G136" s="10" t="n">
        <f aca="false">MEDIAN(G124:G135)</f>
        <v>0.26025</v>
      </c>
    </row>
    <row r="137" customFormat="false" ht="15.8" hidden="false" customHeight="false" outlineLevel="0" collapsed="false">
      <c r="A137" s="174" t="n">
        <v>40848</v>
      </c>
      <c r="B137" s="0" t="n">
        <v>13.743</v>
      </c>
    </row>
    <row r="138" customFormat="false" ht="15.8" hidden="false" customHeight="false" outlineLevel="0" collapsed="false">
      <c r="A138" s="174" t="n">
        <v>40878</v>
      </c>
      <c r="B138" s="0" t="n">
        <v>13.798</v>
      </c>
    </row>
    <row r="139" customFormat="false" ht="15.8" hidden="false" customHeight="false" outlineLevel="0" collapsed="false">
      <c r="A139" s="174" t="n">
        <v>40909</v>
      </c>
      <c r="B139" s="0" t="n">
        <v>14.395</v>
      </c>
    </row>
    <row r="140" customFormat="false" ht="15.8" hidden="false" customHeight="false" outlineLevel="0" collapsed="false">
      <c r="A140" s="174" t="n">
        <v>40940</v>
      </c>
      <c r="B140" s="0" t="n">
        <v>14.975</v>
      </c>
    </row>
    <row r="141" customFormat="false" ht="15.8" hidden="false" customHeight="false" outlineLevel="0" collapsed="false">
      <c r="A141" s="174" t="n">
        <v>40969</v>
      </c>
      <c r="B141" s="0" t="n">
        <v>14.594</v>
      </c>
    </row>
    <row r="142" customFormat="false" ht="15.8" hidden="false" customHeight="false" outlineLevel="0" collapsed="false">
      <c r="A142" s="174" t="n">
        <v>41000</v>
      </c>
      <c r="B142" s="0" t="n">
        <v>14.769</v>
      </c>
    </row>
    <row r="143" customFormat="false" ht="15.8" hidden="false" customHeight="false" outlineLevel="0" collapsed="false">
      <c r="A143" s="174" t="n">
        <v>41030</v>
      </c>
      <c r="B143" s="0" t="n">
        <v>14.496</v>
      </c>
    </row>
    <row r="144" customFormat="false" ht="15.8" hidden="false" customHeight="false" outlineLevel="0" collapsed="false">
      <c r="A144" s="174" t="n">
        <v>41061</v>
      </c>
      <c r="B144" s="0" t="n">
        <v>14.467</v>
      </c>
    </row>
    <row r="145" customFormat="false" ht="15.8" hidden="false" customHeight="false" outlineLevel="0" collapsed="false">
      <c r="A145" s="174" t="n">
        <v>41091</v>
      </c>
      <c r="B145" s="0" t="n">
        <v>14.38</v>
      </c>
    </row>
    <row r="146" customFormat="false" ht="15.8" hidden="false" customHeight="false" outlineLevel="0" collapsed="false">
      <c r="A146" s="174" t="n">
        <v>41122</v>
      </c>
      <c r="B146" s="0" t="n">
        <v>14.444</v>
      </c>
    </row>
    <row r="147" customFormat="false" ht="15.8" hidden="false" customHeight="false" outlineLevel="0" collapsed="false">
      <c r="A147" s="174" t="n">
        <v>41153</v>
      </c>
      <c r="B147" s="0" t="n">
        <v>15.099</v>
      </c>
    </row>
    <row r="148" customFormat="false" ht="15.8" hidden="false" customHeight="false" outlineLevel="0" collapsed="false">
      <c r="A148" s="174" t="n">
        <v>41183</v>
      </c>
      <c r="B148" s="0" t="n">
        <v>14.83</v>
      </c>
    </row>
    <row r="149" customFormat="false" ht="15.8" hidden="false" customHeight="false" outlineLevel="0" collapsed="false">
      <c r="A149" s="174" t="n">
        <v>41214</v>
      </c>
      <c r="B149" s="0" t="n">
        <v>15.456</v>
      </c>
    </row>
    <row r="150" customFormat="false" ht="15.8" hidden="false" customHeight="false" outlineLevel="0" collapsed="false">
      <c r="A150" s="174" t="n">
        <v>41244</v>
      </c>
      <c r="B150" s="0" t="n">
        <v>15.462</v>
      </c>
    </row>
    <row r="151" customFormat="false" ht="15.8" hidden="false" customHeight="false" outlineLevel="0" collapsed="false">
      <c r="A151" s="174" t="n">
        <v>41275</v>
      </c>
      <c r="B151" s="0" t="n">
        <v>15.813</v>
      </c>
    </row>
    <row r="152" customFormat="false" ht="15.8" hidden="false" customHeight="false" outlineLevel="0" collapsed="false">
      <c r="A152" s="174" t="n">
        <v>41306</v>
      </c>
      <c r="B152" s="0" t="n">
        <v>15.861</v>
      </c>
    </row>
    <row r="153" customFormat="false" ht="15.8" hidden="false" customHeight="false" outlineLevel="0" collapsed="false">
      <c r="A153" s="174" t="n">
        <v>41334</v>
      </c>
      <c r="B153" s="0" t="n">
        <v>15.721</v>
      </c>
    </row>
    <row r="154" customFormat="false" ht="15.8" hidden="false" customHeight="false" outlineLevel="0" collapsed="false">
      <c r="A154" s="174" t="n">
        <v>41365</v>
      </c>
      <c r="B154" s="0" t="n">
        <v>15.811</v>
      </c>
    </row>
    <row r="155" customFormat="false" ht="15.8" hidden="false" customHeight="false" outlineLevel="0" collapsed="false">
      <c r="A155" s="174" t="n">
        <v>41395</v>
      </c>
      <c r="B155" s="0" t="n">
        <v>15.884</v>
      </c>
    </row>
    <row r="156" customFormat="false" ht="15.8" hidden="false" customHeight="false" outlineLevel="0" collapsed="false">
      <c r="A156" s="174" t="n">
        <v>41426</v>
      </c>
      <c r="B156" s="0" t="n">
        <v>16.149</v>
      </c>
    </row>
    <row r="157" customFormat="false" ht="15.8" hidden="false" customHeight="false" outlineLevel="0" collapsed="false">
      <c r="A157" s="174" t="n">
        <v>41456</v>
      </c>
      <c r="B157" s="0" t="n">
        <v>16.021</v>
      </c>
    </row>
    <row r="158" customFormat="false" ht="15.8" hidden="false" customHeight="false" outlineLevel="0" collapsed="false">
      <c r="A158" s="174" t="n">
        <v>41487</v>
      </c>
      <c r="B158" s="0" t="n">
        <v>15.827</v>
      </c>
    </row>
    <row r="159" customFormat="false" ht="15.8" hidden="false" customHeight="false" outlineLevel="0" collapsed="false">
      <c r="A159" s="174" t="n">
        <v>41518</v>
      </c>
      <c r="B159" s="0" t="n">
        <v>15.857</v>
      </c>
    </row>
    <row r="160" customFormat="false" ht="15.8" hidden="false" customHeight="false" outlineLevel="0" collapsed="false">
      <c r="A160" s="174" t="n">
        <v>41548</v>
      </c>
      <c r="B160" s="0" t="n">
        <v>15.727</v>
      </c>
    </row>
    <row r="161" customFormat="false" ht="15.8" hidden="false" customHeight="false" outlineLevel="0" collapsed="false">
      <c r="A161" s="174" t="n">
        <v>41579</v>
      </c>
      <c r="B161" s="0" t="n">
        <v>16.079</v>
      </c>
    </row>
    <row r="162" customFormat="false" ht="15.8" hidden="false" customHeight="false" outlineLevel="0" collapsed="false">
      <c r="A162" s="174" t="n">
        <v>41609</v>
      </c>
      <c r="B162" s="0" t="n">
        <v>15.835</v>
      </c>
    </row>
    <row r="163" customFormat="false" ht="15.8" hidden="false" customHeight="false" outlineLevel="0" collapsed="false">
      <c r="A163" s="174" t="n">
        <v>41640</v>
      </c>
      <c r="B163" s="0" t="n">
        <v>15.614</v>
      </c>
    </row>
    <row r="164" customFormat="false" ht="15.8" hidden="false" customHeight="false" outlineLevel="0" collapsed="false">
      <c r="A164" s="174" t="n">
        <v>41671</v>
      </c>
      <c r="B164" s="0" t="n">
        <v>15.993</v>
      </c>
    </row>
    <row r="165" customFormat="false" ht="15.8" hidden="false" customHeight="false" outlineLevel="0" collapsed="false">
      <c r="A165" s="174" t="n">
        <v>41699</v>
      </c>
      <c r="B165" s="0" t="n">
        <v>16.985</v>
      </c>
    </row>
    <row r="166" customFormat="false" ht="15.8" hidden="false" customHeight="false" outlineLevel="0" collapsed="false">
      <c r="A166" s="174" t="n">
        <v>41730</v>
      </c>
      <c r="B166" s="0" t="n">
        <v>16.695</v>
      </c>
    </row>
    <row r="167" customFormat="false" ht="15.8" hidden="false" customHeight="false" outlineLevel="0" collapsed="false">
      <c r="A167" s="174" t="n">
        <v>41760</v>
      </c>
      <c r="B167" s="0" t="n">
        <v>17.137</v>
      </c>
    </row>
    <row r="168" customFormat="false" ht="15.8" hidden="false" customHeight="false" outlineLevel="0" collapsed="false">
      <c r="A168" s="174" t="n">
        <v>41791</v>
      </c>
      <c r="B168" s="0" t="n">
        <v>17.516</v>
      </c>
    </row>
    <row r="169" customFormat="false" ht="15.8" hidden="false" customHeight="false" outlineLevel="0" collapsed="false">
      <c r="A169" s="174" t="n">
        <v>41821</v>
      </c>
      <c r="B169" s="0" t="n">
        <v>17.277</v>
      </c>
    </row>
    <row r="170" customFormat="false" ht="15.8" hidden="false" customHeight="false" outlineLevel="0" collapsed="false">
      <c r="A170" s="174" t="n">
        <v>41852</v>
      </c>
      <c r="B170" s="0" t="n">
        <v>17.239</v>
      </c>
    </row>
    <row r="171" customFormat="false" ht="15.8" hidden="false" customHeight="false" outlineLevel="0" collapsed="false">
      <c r="A171" s="174" t="n">
        <v>41883</v>
      </c>
      <c r="B171" s="0" t="n">
        <v>16.959</v>
      </c>
    </row>
    <row r="172" customFormat="false" ht="15.8" hidden="false" customHeight="false" outlineLevel="0" collapsed="false">
      <c r="A172" s="174" t="n">
        <v>41913</v>
      </c>
      <c r="B172" s="0" t="n">
        <v>16.756</v>
      </c>
    </row>
    <row r="173" customFormat="false" ht="15.8" hidden="false" customHeight="false" outlineLevel="0" collapsed="false">
      <c r="A173" s="174" t="n">
        <v>41944</v>
      </c>
      <c r="B173" s="0" t="n">
        <v>16.949</v>
      </c>
    </row>
    <row r="174" customFormat="false" ht="15.8" hidden="false" customHeight="false" outlineLevel="0" collapsed="false">
      <c r="A174" s="174" t="n">
        <v>41974</v>
      </c>
      <c r="B174" s="0" t="n">
        <v>17.178</v>
      </c>
    </row>
    <row r="175" customFormat="false" ht="15.8" hidden="false" customHeight="false" outlineLevel="0" collapsed="false">
      <c r="A175" s="174" t="n">
        <v>42005</v>
      </c>
      <c r="B175" s="0" t="n">
        <v>16.91</v>
      </c>
    </row>
    <row r="176" customFormat="false" ht="15.8" hidden="false" customHeight="false" outlineLevel="0" collapsed="false">
      <c r="A176" s="174" t="n">
        <v>42036</v>
      </c>
      <c r="B176" s="0" t="n">
        <v>16.891</v>
      </c>
    </row>
    <row r="177" customFormat="false" ht="15.8" hidden="false" customHeight="false" outlineLevel="0" collapsed="false">
      <c r="A177" s="174" t="n">
        <v>42064</v>
      </c>
      <c r="B177" s="0" t="n">
        <v>17.896</v>
      </c>
    </row>
    <row r="178" customFormat="false" ht="15.8" hidden="false" customHeight="false" outlineLevel="0" collapsed="false">
      <c r="A178" s="174" t="n">
        <v>42095</v>
      </c>
      <c r="B178" s="0" t="n">
        <v>17.693</v>
      </c>
    </row>
    <row r="179" customFormat="false" ht="15.8" hidden="false" customHeight="false" outlineLevel="0" collapsed="false">
      <c r="A179" s="174" t="n">
        <v>42125</v>
      </c>
      <c r="B179" s="0" t="n">
        <v>17.929</v>
      </c>
    </row>
    <row r="180" customFormat="false" ht="15.8" hidden="false" customHeight="false" outlineLevel="0" collapsed="false">
      <c r="A180" s="174" t="n">
        <v>42156</v>
      </c>
      <c r="B180" s="0" t="n">
        <v>17.889</v>
      </c>
    </row>
    <row r="181" customFormat="false" ht="15.8" hidden="false" customHeight="false" outlineLevel="0" collapsed="false">
      <c r="A181" s="174" t="n">
        <v>42186</v>
      </c>
      <c r="B181" s="0" t="n">
        <v>18.318</v>
      </c>
    </row>
    <row r="182" customFormat="false" ht="15.8" hidden="false" customHeight="false" outlineLevel="0" collapsed="false">
      <c r="A182" s="174" t="n">
        <v>42217</v>
      </c>
      <c r="B182" s="0" t="n">
        <v>18.391</v>
      </c>
    </row>
    <row r="183" customFormat="false" ht="15.8" hidden="false" customHeight="false" outlineLevel="0" collapsed="false">
      <c r="A183" s="174" t="n">
        <v>42248</v>
      </c>
      <c r="B183" s="0" t="n">
        <v>18.281</v>
      </c>
    </row>
    <row r="184" customFormat="false" ht="15.8" hidden="false" customHeight="false" outlineLevel="0" collapsed="false">
      <c r="A184" s="174" t="n">
        <v>42278</v>
      </c>
      <c r="B184" s="0" t="n">
        <v>18.27</v>
      </c>
    </row>
    <row r="185" customFormat="false" ht="15.8" hidden="false" customHeight="false" outlineLevel="0" collapsed="false">
      <c r="A185" s="174" t="n">
        <v>42309</v>
      </c>
      <c r="B185" s="0" t="n">
        <v>18.314</v>
      </c>
    </row>
    <row r="186" customFormat="false" ht="15.8" hidden="false" customHeight="false" outlineLevel="0" collapsed="false">
      <c r="A186" s="174" t="n">
        <v>42339</v>
      </c>
      <c r="B186" s="0" t="n">
        <v>17.503</v>
      </c>
    </row>
    <row r="187" customFormat="false" ht="15.8" hidden="false" customHeight="false" outlineLevel="0" collapsed="false">
      <c r="A187" s="174" t="n">
        <v>42370</v>
      </c>
      <c r="B187" s="0" t="n">
        <v>18.054</v>
      </c>
    </row>
    <row r="188" customFormat="false" ht="15.8" hidden="false" customHeight="false" outlineLevel="0" collapsed="false">
      <c r="A188" s="174" t="n">
        <v>42401</v>
      </c>
      <c r="B188" s="0" t="n">
        <v>18.096</v>
      </c>
    </row>
    <row r="189" customFormat="false" ht="15.8" hidden="false" customHeight="false" outlineLevel="0" collapsed="false">
      <c r="A189" s="174" t="n">
        <v>42430</v>
      </c>
      <c r="B189" s="0" t="n">
        <v>17.291</v>
      </c>
    </row>
    <row r="190" customFormat="false" ht="15.8" hidden="false" customHeight="false" outlineLevel="0" collapsed="false">
      <c r="A190" s="174" t="n">
        <v>42461</v>
      </c>
      <c r="B190" s="0" t="n">
        <v>17.669</v>
      </c>
    </row>
    <row r="191" customFormat="false" ht="15.8" hidden="false" customHeight="false" outlineLevel="0" collapsed="false">
      <c r="A191" s="174" t="n">
        <v>42491</v>
      </c>
      <c r="B191" s="0" t="n">
        <v>17.695</v>
      </c>
    </row>
    <row r="192" customFormat="false" ht="15.8" hidden="false" customHeight="false" outlineLevel="0" collapsed="false">
      <c r="A192" s="174" t="n">
        <v>42522</v>
      </c>
      <c r="B192" s="0" t="n">
        <v>17.735</v>
      </c>
    </row>
    <row r="193" customFormat="false" ht="15.8" hidden="false" customHeight="false" outlineLevel="0" collapsed="false">
      <c r="A193" s="174" t="n">
        <v>42552</v>
      </c>
      <c r="B193" s="0" t="n">
        <v>18.109</v>
      </c>
    </row>
    <row r="194" customFormat="false" ht="15.8" hidden="false" customHeight="false" outlineLevel="0" collapsed="false">
      <c r="A194" s="174" t="n">
        <v>42583</v>
      </c>
      <c r="B194" s="0" t="n">
        <v>17.927</v>
      </c>
    </row>
    <row r="195" customFormat="false" ht="15.8" hidden="false" customHeight="false" outlineLevel="0" collapsed="false">
      <c r="A195" s="174" t="n">
        <v>42614</v>
      </c>
      <c r="B195" s="0" t="n">
        <v>17.956</v>
      </c>
    </row>
    <row r="196" customFormat="false" ht="15.8" hidden="false" customHeight="false" outlineLevel="0" collapsed="false">
      <c r="A196" s="174" t="n">
        <v>42644</v>
      </c>
      <c r="B196" s="0" t="n">
        <v>17.954</v>
      </c>
    </row>
    <row r="197" customFormat="false" ht="15.8" hidden="false" customHeight="false" outlineLevel="0" collapsed="false">
      <c r="A197" s="174" t="n">
        <v>42675</v>
      </c>
      <c r="B197" s="0" t="n">
        <v>17.792</v>
      </c>
    </row>
    <row r="198" customFormat="false" ht="15.8" hidden="false" customHeight="false" outlineLevel="0" collapsed="false">
      <c r="A198" s="174" t="n">
        <v>42705</v>
      </c>
      <c r="B198" s="0" t="n">
        <v>18.277</v>
      </c>
    </row>
    <row r="199" customFormat="false" ht="15.8" hidden="false" customHeight="false" outlineLevel="0" collapsed="false">
      <c r="A199" s="174" t="n">
        <v>42736</v>
      </c>
      <c r="B199" s="0" t="n">
        <v>17.652</v>
      </c>
    </row>
    <row r="200" customFormat="false" ht="15.8" hidden="false" customHeight="false" outlineLevel="0" collapsed="false">
      <c r="A200" s="174" t="n">
        <v>42767</v>
      </c>
      <c r="B200" s="0" t="n">
        <v>17.699</v>
      </c>
    </row>
    <row r="201" customFormat="false" ht="15.8" hidden="false" customHeight="false" outlineLevel="0" collapsed="false">
      <c r="A201" s="174" t="n">
        <v>42795</v>
      </c>
      <c r="B201" s="0" t="n">
        <v>17.061</v>
      </c>
    </row>
    <row r="202" customFormat="false" ht="15.8" hidden="false" customHeight="false" outlineLevel="0" collapsed="false">
      <c r="A202" s="174" t="n">
        <v>42826</v>
      </c>
      <c r="B202" s="0" t="n">
        <v>17.166</v>
      </c>
    </row>
    <row r="203" customFormat="false" ht="15.8" hidden="false" customHeight="false" outlineLevel="0" collapsed="false">
      <c r="A203" s="174" t="n">
        <v>42856</v>
      </c>
      <c r="B203" s="0" t="n">
        <v>17.081</v>
      </c>
    </row>
    <row r="204" customFormat="false" ht="15.8" hidden="false" customHeight="false" outlineLevel="0" collapsed="false">
      <c r="A204" s="174" t="n">
        <v>42887</v>
      </c>
      <c r="B204" s="0" t="n">
        <v>17.13</v>
      </c>
    </row>
    <row r="205" customFormat="false" ht="15.8" hidden="false" customHeight="false" outlineLevel="0" collapsed="false">
      <c r="A205" s="174" t="n">
        <v>42917</v>
      </c>
      <c r="B205" s="0" t="n">
        <v>17.237</v>
      </c>
    </row>
    <row r="206" customFormat="false" ht="15.8" hidden="false" customHeight="false" outlineLevel="0" collapsed="false">
      <c r="A206" s="174" t="n">
        <v>42948</v>
      </c>
      <c r="B206" s="0" t="n">
        <v>17.051</v>
      </c>
    </row>
    <row r="207" customFormat="false" ht="15.8" hidden="false" customHeight="false" outlineLevel="0" collapsed="false">
      <c r="A207" s="174" t="n">
        <v>42979</v>
      </c>
      <c r="B207" s="0" t="n">
        <v>18.313</v>
      </c>
    </row>
    <row r="208" customFormat="false" ht="15.8" hidden="false" customHeight="false" outlineLevel="0" collapsed="false">
      <c r="A208" s="174" t="n">
        <v>43009</v>
      </c>
      <c r="B208" s="0" t="n">
        <v>18.482</v>
      </c>
    </row>
    <row r="209" customFormat="false" ht="15.8" hidden="false" customHeight="false" outlineLevel="0" collapsed="false">
      <c r="A209" s="174" t="n">
        <v>43040</v>
      </c>
      <c r="B209" s="0" t="n">
        <v>18.003</v>
      </c>
    </row>
    <row r="210" customFormat="false" ht="15.8" hidden="false" customHeight="false" outlineLevel="0" collapsed="false">
      <c r="A210" s="174" t="n">
        <v>43070</v>
      </c>
      <c r="B210" s="0" t="n">
        <v>17.887</v>
      </c>
    </row>
    <row r="211" customFormat="false" ht="15.8" hidden="false" customHeight="false" outlineLevel="0" collapsed="false">
      <c r="A211" s="174" t="n">
        <v>43101</v>
      </c>
      <c r="B211" s="0" t="n">
        <v>17.176</v>
      </c>
    </row>
    <row r="212" customFormat="false" ht="15.8" hidden="false" customHeight="false" outlineLevel="0" collapsed="false">
      <c r="A212" s="174" t="n">
        <v>43132</v>
      </c>
      <c r="B212" s="0" t="n">
        <v>17.447</v>
      </c>
    </row>
    <row r="213" customFormat="false" ht="15.8" hidden="false" customHeight="false" outlineLevel="0" collapsed="false">
      <c r="A213" s="174" t="n">
        <v>43160</v>
      </c>
      <c r="B213" s="0" t="n">
        <v>17.662</v>
      </c>
    </row>
    <row r="214" customFormat="false" ht="15.8" hidden="false" customHeight="false" outlineLevel="0" collapsed="false">
      <c r="A214" s="174" t="n">
        <v>43191</v>
      </c>
      <c r="B214" s="0" t="n">
        <v>17.584</v>
      </c>
    </row>
    <row r="215" customFormat="false" ht="15.8" hidden="false" customHeight="false" outlineLevel="0" collapsed="false">
      <c r="A215" s="174" t="n">
        <v>43221</v>
      </c>
      <c r="B215" s="0" t="n">
        <v>17.829</v>
      </c>
    </row>
    <row r="216" customFormat="false" ht="15.8" hidden="false" customHeight="false" outlineLevel="0" collapsed="false">
      <c r="A216" s="174" t="n">
        <v>43252</v>
      </c>
      <c r="B216" s="0" t="n">
        <v>17.743</v>
      </c>
    </row>
    <row r="217" customFormat="false" ht="15.8" hidden="false" customHeight="false" outlineLevel="0" collapsed="false">
      <c r="A217" s="174" t="n">
        <v>43282</v>
      </c>
      <c r="B217" s="0" t="n">
        <v>17.629</v>
      </c>
    </row>
    <row r="218" customFormat="false" ht="15.8" hidden="false" customHeight="false" outlineLevel="0" collapsed="false">
      <c r="A218" s="174" t="n">
        <v>43313</v>
      </c>
      <c r="B218" s="0" t="n">
        <v>17.564</v>
      </c>
    </row>
    <row r="219" customFormat="false" ht="15.8" hidden="false" customHeight="false" outlineLevel="0" collapsed="false">
      <c r="A219" s="174" t="n">
        <v>43344</v>
      </c>
      <c r="B219" s="0" t="n">
        <v>17.776</v>
      </c>
    </row>
    <row r="220" customFormat="false" ht="15.8" hidden="false" customHeight="false" outlineLevel="0" collapsed="false">
      <c r="A220" s="174" t="n">
        <v>43374</v>
      </c>
      <c r="B220" s="0" t="n">
        <v>17.991</v>
      </c>
    </row>
    <row r="221" customFormat="false" ht="15.8" hidden="false" customHeight="false" outlineLevel="0" collapsed="false">
      <c r="A221" s="174" t="n">
        <v>43405</v>
      </c>
      <c r="B221" s="0" t="n">
        <v>18.061</v>
      </c>
    </row>
    <row r="222" customFormat="false" ht="15.8" hidden="false" customHeight="false" outlineLevel="0" collapsed="false">
      <c r="A222" s="174" t="n">
        <v>43435</v>
      </c>
      <c r="B222" s="0" t="n">
        <v>18.077</v>
      </c>
    </row>
    <row r="223" customFormat="false" ht="15.8" hidden="false" customHeight="false" outlineLevel="0" collapsed="false">
      <c r="A223" s="174" t="n">
        <v>43466</v>
      </c>
      <c r="B223" s="0" t="n">
        <v>16.91</v>
      </c>
    </row>
    <row r="224" customFormat="false" ht="15.8" hidden="false" customHeight="false" outlineLevel="0" collapsed="false">
      <c r="A224" s="174" t="n">
        <v>43497</v>
      </c>
      <c r="B224" s="0" t="n">
        <v>16.945</v>
      </c>
    </row>
    <row r="225" customFormat="false" ht="15.8" hidden="false" customHeight="false" outlineLevel="0" collapsed="false">
      <c r="A225" s="174" t="n">
        <v>43525</v>
      </c>
      <c r="B225" s="0" t="n">
        <v>17.732</v>
      </c>
    </row>
    <row r="226" customFormat="false" ht="15.8" hidden="false" customHeight="false" outlineLevel="0" collapsed="false">
      <c r="A226" s="174" t="n">
        <v>43556</v>
      </c>
      <c r="B226" s="0" t="n">
        <v>16.868</v>
      </c>
    </row>
    <row r="227" customFormat="false" ht="15.8" hidden="false" customHeight="false" outlineLevel="0" collapsed="false">
      <c r="A227" s="174" t="n">
        <v>43586</v>
      </c>
      <c r="B227" s="0" t="n">
        <v>18.027</v>
      </c>
    </row>
    <row r="228" customFormat="false" ht="15.8" hidden="false" customHeight="false" outlineLevel="0" collapsed="false">
      <c r="A228" s="174" t="n">
        <v>43617</v>
      </c>
      <c r="B228" s="0" t="n">
        <v>17.815</v>
      </c>
    </row>
    <row r="229" customFormat="false" ht="15.8" hidden="false" customHeight="false" outlineLevel="0" collapsed="false">
      <c r="A229" s="174" t="n">
        <v>43647</v>
      </c>
      <c r="B229" s="0" t="n">
        <v>17.731</v>
      </c>
    </row>
    <row r="230" customFormat="false" ht="15.8" hidden="false" customHeight="false" outlineLevel="0" collapsed="false">
      <c r="A230" s="174" t="n">
        <v>43678</v>
      </c>
      <c r="B230" s="0" t="n">
        <v>17.859</v>
      </c>
    </row>
    <row r="231" customFormat="false" ht="15.8" hidden="false" customHeight="false" outlineLevel="0" collapsed="false">
      <c r="A231" s="174" t="n">
        <v>43709</v>
      </c>
      <c r="B231" s="0" t="n">
        <v>17.746</v>
      </c>
    </row>
    <row r="232" customFormat="false" ht="15.8" hidden="false" customHeight="false" outlineLevel="0" collapsed="false">
      <c r="A232" s="174" t="n">
        <v>43739</v>
      </c>
      <c r="B232" s="0" t="n">
        <v>17.087</v>
      </c>
    </row>
    <row r="233" customFormat="false" ht="15.8" hidden="false" customHeight="false" outlineLevel="0" collapsed="false">
      <c r="A233" s="174" t="n">
        <v>43770</v>
      </c>
      <c r="B233" s="0" t="n">
        <v>17.594</v>
      </c>
    </row>
    <row r="234" customFormat="false" ht="15.8" hidden="false" customHeight="false" outlineLevel="0" collapsed="false">
      <c r="A234" s="174" t="n">
        <v>43800</v>
      </c>
      <c r="B234" s="0" t="n">
        <v>17.551</v>
      </c>
    </row>
    <row r="235" customFormat="false" ht="15.8" hidden="false" customHeight="false" outlineLevel="0" collapsed="false">
      <c r="A235" s="174" t="n">
        <v>43831</v>
      </c>
      <c r="B235" s="0" t="n">
        <v>16.841</v>
      </c>
    </row>
    <row r="236" customFormat="false" ht="15.8" hidden="false" customHeight="false" outlineLevel="0" collapsed="false">
      <c r="A236" s="174" t="n">
        <v>43862</v>
      </c>
      <c r="B236" s="0" t="n">
        <v>17.026</v>
      </c>
    </row>
    <row r="237" customFormat="false" ht="15.8" hidden="false" customHeight="false" outlineLevel="0" collapsed="false">
      <c r="A237" s="174" t="n">
        <v>43891</v>
      </c>
      <c r="B237" s="0" t="n">
        <v>11.736</v>
      </c>
    </row>
    <row r="238" customFormat="false" ht="15.8" hidden="false" customHeight="false" outlineLevel="0" collapsed="false">
      <c r="A238" s="174" t="n">
        <v>43922</v>
      </c>
      <c r="B238" s="0" t="n">
        <v>8.834</v>
      </c>
    </row>
    <row r="239" customFormat="false" ht="15.8" hidden="false" customHeight="false" outlineLevel="0" collapsed="false">
      <c r="A239" s="174" t="n">
        <v>43952</v>
      </c>
      <c r="B239" s="0" t="n">
        <v>12.549</v>
      </c>
    </row>
    <row r="240" customFormat="false" ht="15.8" hidden="false" customHeight="false" outlineLevel="0" collapsed="false">
      <c r="A240" s="174" t="n">
        <v>43983</v>
      </c>
      <c r="B240" s="0" t="n">
        <v>13.545</v>
      </c>
    </row>
    <row r="241" customFormat="false" ht="15.8" hidden="false" customHeight="false" outlineLevel="0" collapsed="false">
      <c r="A241" s="174" t="n">
        <v>44013</v>
      </c>
      <c r="B241" s="0" t="n">
        <v>15.279</v>
      </c>
    </row>
    <row r="242" customFormat="false" ht="15.8" hidden="false" customHeight="false" outlineLevel="0" collapsed="false">
      <c r="A242" s="174" t="n">
        <v>44044</v>
      </c>
      <c r="B242" s="0" t="n">
        <v>15.868</v>
      </c>
    </row>
    <row r="243" customFormat="false" ht="15.8" hidden="false" customHeight="false" outlineLevel="0" collapsed="false">
      <c r="A243" s="174" t="n">
        <v>44075</v>
      </c>
      <c r="B243" s="0" t="n">
        <v>16.77</v>
      </c>
    </row>
    <row r="244" customFormat="false" ht="15.8" hidden="false" customHeight="false" outlineLevel="0" collapsed="false">
      <c r="A244" s="174" t="n">
        <v>44105</v>
      </c>
      <c r="B244" s="0" t="n">
        <v>16.663</v>
      </c>
    </row>
    <row r="245" customFormat="false" ht="15.8" hidden="false" customHeight="false" outlineLevel="0" collapsed="false">
      <c r="A245" s="174" t="n">
        <v>44136</v>
      </c>
      <c r="B245" s="0" t="n">
        <v>16.405</v>
      </c>
    </row>
    <row r="246" customFormat="false" ht="15.8" hidden="false" customHeight="false" outlineLevel="0" collapsed="false">
      <c r="A246" s="174" t="n">
        <v>44166</v>
      </c>
      <c r="B246" s="0" t="n">
        <v>17.052</v>
      </c>
    </row>
    <row r="247" customFormat="false" ht="15.8" hidden="false" customHeight="false" outlineLevel="0" collapsed="false">
      <c r="A247" s="174" t="n">
        <v>44197</v>
      </c>
      <c r="B247" s="0" t="n">
        <v>16.629</v>
      </c>
    </row>
    <row r="248" customFormat="false" ht="15.8" hidden="false" customHeight="false" outlineLevel="0" collapsed="false">
      <c r="A248" s="174" t="n">
        <v>44228</v>
      </c>
      <c r="B248" s="0" t="n">
        <v>16.076</v>
      </c>
    </row>
    <row r="249" customFormat="false" ht="15.8" hidden="false" customHeight="false" outlineLevel="0" collapsed="false">
      <c r="A249" s="174" t="n">
        <v>44256</v>
      </c>
      <c r="B249" s="0" t="n">
        <v>18.287</v>
      </c>
    </row>
    <row r="250" customFormat="false" ht="15.8" hidden="false" customHeight="false" outlineLevel="0" collapsed="false">
      <c r="A250" s="174" t="n">
        <v>44287</v>
      </c>
      <c r="B250" s="0" t="n">
        <v>18.502</v>
      </c>
    </row>
    <row r="251" customFormat="false" ht="15.8" hidden="false" customHeight="false" outlineLevel="0" collapsed="false">
      <c r="A251" s="174" t="n">
        <v>44317</v>
      </c>
      <c r="B251" s="0" t="n">
        <v>17.567</v>
      </c>
    </row>
    <row r="252" customFormat="false" ht="15.8" hidden="false" customHeight="false" outlineLevel="0" collapsed="false">
      <c r="A252" s="174" t="n">
        <v>44348</v>
      </c>
      <c r="B252" s="0" t="n">
        <v>15.996</v>
      </c>
    </row>
    <row r="253" customFormat="false" ht="15.8" hidden="false" customHeight="false" outlineLevel="0" collapsed="false">
      <c r="A253" s="174" t="n">
        <v>44378</v>
      </c>
      <c r="B253" s="0" t="n">
        <v>15.306</v>
      </c>
    </row>
    <row r="254" customFormat="false" ht="15.8" hidden="false" customHeight="false" outlineLevel="0" collapsed="false">
      <c r="A254" s="174" t="n">
        <v>44409</v>
      </c>
      <c r="B254" s="0" t="n">
        <v>13.749</v>
      </c>
    </row>
    <row r="255" customFormat="false" ht="15.8" hidden="false" customHeight="false" outlineLevel="0" collapsed="false">
      <c r="A255" s="174" t="n">
        <v>44440</v>
      </c>
      <c r="B255" s="0" t="n">
        <v>12.747</v>
      </c>
    </row>
    <row r="256" customFormat="false" ht="15.8" hidden="false" customHeight="false" outlineLevel="0" collapsed="false">
      <c r="A256" s="174" t="n">
        <v>44470</v>
      </c>
      <c r="B256" s="0" t="n">
        <v>13.25</v>
      </c>
    </row>
    <row r="257" customFormat="false" ht="15.8" hidden="false" customHeight="false" outlineLevel="0" collapsed="false">
      <c r="A257" s="174" t="n">
        <v>44501</v>
      </c>
      <c r="B257" s="0" t="n">
        <v>13.553</v>
      </c>
    </row>
    <row r="258" customFormat="false" ht="15.8" hidden="false" customHeight="false" outlineLevel="0" collapsed="false">
      <c r="A258" s="174" t="n">
        <v>44531</v>
      </c>
      <c r="B258" s="0" t="n">
        <v>13.244</v>
      </c>
    </row>
    <row r="259" customFormat="false" ht="15.8" hidden="false" customHeight="false" outlineLevel="0" collapsed="false">
      <c r="A259" s="174" t="n">
        <v>44562</v>
      </c>
      <c r="B259" s="0" t="n">
        <v>14.798</v>
      </c>
    </row>
    <row r="260" customFormat="false" ht="15.8" hidden="false" customHeight="false" outlineLevel="0" collapsed="false">
      <c r="A260" s="174" t="n">
        <v>44593</v>
      </c>
      <c r="B260" s="0" t="n">
        <v>14.109</v>
      </c>
    </row>
    <row r="261" customFormat="false" ht="15.8" hidden="false" customHeight="false" outlineLevel="0" collapsed="false">
      <c r="A261" s="174" t="n">
        <v>44621</v>
      </c>
      <c r="B261" s="0" t="n">
        <v>14.049</v>
      </c>
    </row>
    <row r="262" customFormat="false" ht="15.8" hidden="false" customHeight="false" outlineLevel="0" collapsed="false">
      <c r="A262" s="174" t="n">
        <v>44652</v>
      </c>
      <c r="B262" s="0" t="n">
        <v>14.486</v>
      </c>
    </row>
    <row r="263" customFormat="false" ht="15.8" hidden="false" customHeight="false" outlineLevel="0" collapsed="false">
      <c r="A263" s="174" t="n">
        <v>44682</v>
      </c>
      <c r="B263" s="0" t="n">
        <v>13.4</v>
      </c>
    </row>
    <row r="264" customFormat="false" ht="15.8" hidden="false" customHeight="false" outlineLevel="0" collapsed="false">
      <c r="A264" s="174" t="n">
        <v>44713</v>
      </c>
      <c r="B264" s="0" t="n">
        <v>13.748</v>
      </c>
    </row>
    <row r="265" customFormat="false" ht="15.8" hidden="false" customHeight="false" outlineLevel="0" collapsed="false">
      <c r="A265" s="174" t="n">
        <v>44743</v>
      </c>
      <c r="B265" s="0" t="n">
        <v>13.965</v>
      </c>
    </row>
    <row r="266" customFormat="false" ht="15.8" hidden="false" customHeight="false" outlineLevel="0" collapsed="false">
      <c r="A266" s="174" t="n">
        <v>44774</v>
      </c>
      <c r="B266" s="0" t="n">
        <v>14.01</v>
      </c>
    </row>
    <row r="267" customFormat="false" ht="15.8" hidden="false" customHeight="false" outlineLevel="0" collapsed="false">
      <c r="A267" s="174" t="n">
        <v>44805</v>
      </c>
      <c r="B267" s="0" t="n">
        <v>14.191</v>
      </c>
    </row>
    <row r="268" customFormat="false" ht="15.8" hidden="false" customHeight="false" outlineLevel="0" collapsed="false">
      <c r="A268" s="174" t="n">
        <v>44835</v>
      </c>
      <c r="B268" s="0" t="n">
        <v>15.157</v>
      </c>
    </row>
    <row r="269" customFormat="false" ht="15.8" hidden="false" customHeight="false" outlineLevel="0" collapsed="false">
      <c r="A269" s="174" t="n">
        <v>44866</v>
      </c>
      <c r="B269" s="0" t="n">
        <v>14.785</v>
      </c>
    </row>
    <row r="270" customFormat="false" ht="15.8" hidden="false" customHeight="false" outlineLevel="0" collapsed="false">
      <c r="A270" s="174" t="n">
        <v>44896</v>
      </c>
      <c r="B270" s="0" t="n">
        <v>14.048</v>
      </c>
    </row>
    <row r="271" customFormat="false" ht="15.8" hidden="false" customHeight="false" outlineLevel="0" collapsed="false">
      <c r="A271" s="174" t="n">
        <v>44927</v>
      </c>
      <c r="B271" s="0" t="n">
        <v>15.606</v>
      </c>
    </row>
    <row r="272" customFormat="false" ht="15.8" hidden="false" customHeight="false" outlineLevel="0" collapsed="false">
      <c r="A272" s="174" t="n">
        <v>44958</v>
      </c>
      <c r="B272" s="0" t="n">
        <v>15.38</v>
      </c>
    </row>
    <row r="273" customFormat="false" ht="15.8" hidden="false" customHeight="false" outlineLevel="0" collapsed="false">
      <c r="A273" s="174" t="n">
        <v>44986</v>
      </c>
      <c r="B273" s="0" t="n">
        <v>15.439</v>
      </c>
    </row>
    <row r="274" customFormat="false" ht="15.8" hidden="false" customHeight="false" outlineLevel="0" collapsed="false">
      <c r="A274" s="174" t="n">
        <v>45017</v>
      </c>
      <c r="B274" s="0" t="n">
        <v>16.209</v>
      </c>
    </row>
    <row r="275" customFormat="false" ht="15.8" hidden="false" customHeight="false" outlineLevel="0" collapsed="false">
      <c r="A275" s="174" t="n">
        <v>45047</v>
      </c>
      <c r="B275" s="0" t="n">
        <v>16.083</v>
      </c>
    </row>
    <row r="276" customFormat="false" ht="15.8" hidden="false" customHeight="false" outlineLevel="0" collapsed="false">
      <c r="A276" s="174" t="n">
        <v>45078</v>
      </c>
      <c r="B276" s="0" t="n">
        <v>16.607</v>
      </c>
    </row>
    <row r="277" customFormat="false" ht="15.8" hidden="false" customHeight="false" outlineLevel="0" collapsed="false">
      <c r="A277" s="174" t="n">
        <v>45108</v>
      </c>
      <c r="B277" s="0" t="n">
        <v>16.443</v>
      </c>
    </row>
    <row r="278" customFormat="false" ht="15.8" hidden="false" customHeight="false" outlineLevel="0" collapsed="false">
      <c r="A278" s="174" t="n">
        <v>45139</v>
      </c>
      <c r="B278" s="0" t="n">
        <v>15.84</v>
      </c>
    </row>
    <row r="279" customFormat="false" ht="15.8" hidden="false" customHeight="false" outlineLevel="0" collapsed="false">
      <c r="A279" s="174" t="n">
        <v>45170</v>
      </c>
      <c r="B279" s="0" t="n">
        <v>16.27</v>
      </c>
    </row>
    <row r="280" customFormat="false" ht="15.8" hidden="false" customHeight="false" outlineLevel="0" collapsed="false">
      <c r="A280" s="174" t="n">
        <v>45200</v>
      </c>
      <c r="B280" s="0" t="n">
        <v>15.919</v>
      </c>
    </row>
    <row r="281" customFormat="false" ht="15.8" hidden="false" customHeight="false" outlineLevel="0" collapsed="false">
      <c r="A281" s="174" t="n">
        <v>45231</v>
      </c>
      <c r="B281" s="0" t="n">
        <v>16.016</v>
      </c>
    </row>
    <row r="282" customFormat="false" ht="15.8" hidden="false" customHeight="false" outlineLevel="0" collapsed="false">
      <c r="A282" s="174" t="n">
        <v>45261</v>
      </c>
      <c r="B282" s="0" t="n">
        <v>16.574</v>
      </c>
    </row>
  </sheetData>
  <hyperlinks>
    <hyperlink ref="F1" r:id="rId1" display="EPA Location Based Calculation"/>
    <hyperlink ref="A2" r:id="rId2" display="2023 Chevrolet Bolt EV"/>
    <hyperlink ref="A3" r:id="rId3" display="2023 Ford Lightning"/>
    <hyperlink ref="A98" r:id="rId4" display="(source)"/>
    <hyperlink ref="A114" r:id="rId5" display="(Source)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  <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58"/>
  <sheetViews>
    <sheetView showFormulas="false" showGridLines="true" showRowColHeaders="true" showZeros="true" rightToLeft="false" tabSelected="false" showOutlineSymbols="true" defaultGridColor="true" view="normal" topLeftCell="A40" colorId="64" zoomScale="100" zoomScaleNormal="100" zoomScalePageLayoutView="100" workbookViewId="0">
      <selection pane="topLeft" activeCell="B1" activeCellId="1" sqref="B3:D14 B1"/>
    </sheetView>
  </sheetViews>
  <sheetFormatPr defaultColWidth="12.8046875" defaultRowHeight="12.8" zeroHeight="false" outlineLevelRow="0" outlineLevelCol="0"/>
  <sheetData>
    <row r="1" customFormat="false" ht="35.05" hidden="false" customHeight="false" outlineLevel="0" collapsed="false">
      <c r="A1" s="176" t="s">
        <v>462</v>
      </c>
      <c r="B1" s="124" t="s">
        <v>463</v>
      </c>
      <c r="C1" s="124"/>
      <c r="D1" s="124"/>
      <c r="E1" s="124"/>
      <c r="F1" s="124"/>
      <c r="G1" s="124"/>
    </row>
    <row r="2" customFormat="false" ht="46.25" hidden="false" customHeight="false" outlineLevel="0" collapsed="false">
      <c r="A2" s="176" t="s">
        <v>464</v>
      </c>
      <c r="B2" s="176" t="s">
        <v>465</v>
      </c>
      <c r="C2" s="176" t="s">
        <v>466</v>
      </c>
      <c r="D2" s="176" t="s">
        <v>467</v>
      </c>
      <c r="E2" s="176" t="s">
        <v>468</v>
      </c>
      <c r="F2" s="176" t="s">
        <v>469</v>
      </c>
      <c r="G2" s="176" t="s">
        <v>470</v>
      </c>
    </row>
    <row r="3" customFormat="false" ht="35.05" hidden="false" customHeight="false" outlineLevel="0" collapsed="false">
      <c r="A3" s="176" t="s">
        <v>471</v>
      </c>
      <c r="B3" s="176" t="n">
        <v>3859403</v>
      </c>
      <c r="C3" s="176" t="n">
        <v>0.81</v>
      </c>
      <c r="D3" s="176" t="n">
        <v>4833722</v>
      </c>
      <c r="E3" s="176" t="n">
        <v>3848576</v>
      </c>
      <c r="F3" s="176" t="n">
        <v>798</v>
      </c>
      <c r="G3" s="176" t="n">
        <v>1003</v>
      </c>
    </row>
    <row r="4" customFormat="false" ht="35.05" hidden="false" customHeight="false" outlineLevel="0" collapsed="false">
      <c r="A4" s="176" t="s">
        <v>472</v>
      </c>
      <c r="B4" s="176" t="n">
        <v>528873</v>
      </c>
      <c r="C4" s="176" t="n">
        <v>0.69</v>
      </c>
      <c r="D4" s="176" t="n">
        <v>735132</v>
      </c>
      <c r="E4" s="176" t="n">
        <v>567372</v>
      </c>
      <c r="F4" s="176" t="n">
        <v>719</v>
      </c>
      <c r="G4" s="176" t="n">
        <v>932</v>
      </c>
    </row>
    <row r="5" customFormat="false" ht="23.85" hidden="false" customHeight="false" outlineLevel="0" collapsed="false">
      <c r="A5" s="176" t="s">
        <v>473</v>
      </c>
      <c r="B5" s="176" t="n">
        <v>4791450</v>
      </c>
      <c r="C5" s="176" t="n">
        <v>0.9</v>
      </c>
      <c r="D5" s="176" t="n">
        <v>6626624</v>
      </c>
      <c r="E5" s="176" t="n">
        <v>5189383</v>
      </c>
      <c r="F5" s="176" t="n">
        <v>723</v>
      </c>
      <c r="G5" s="176" t="n">
        <v>923</v>
      </c>
    </row>
    <row r="6" customFormat="false" ht="12.8" hidden="false" customHeight="false" outlineLevel="0" collapsed="false">
      <c r="A6" s="176" t="s">
        <v>474</v>
      </c>
      <c r="B6" s="176" t="n">
        <v>2097201</v>
      </c>
      <c r="C6" s="176" t="n">
        <v>0.89</v>
      </c>
      <c r="D6" s="176" t="n">
        <v>2959373</v>
      </c>
      <c r="E6" s="176" t="n">
        <v>2328418</v>
      </c>
      <c r="F6" s="176" t="n">
        <v>709</v>
      </c>
      <c r="G6" s="176" t="n">
        <v>901</v>
      </c>
    </row>
    <row r="7" customFormat="false" ht="12.8" hidden="false" customHeight="false" outlineLevel="0" collapsed="false">
      <c r="A7" s="176" t="s">
        <v>475</v>
      </c>
      <c r="B7" s="176" t="n">
        <v>24390236</v>
      </c>
      <c r="C7" s="176" t="n">
        <v>0.89</v>
      </c>
      <c r="D7" s="176" t="n">
        <v>38332521</v>
      </c>
      <c r="E7" s="176" t="n">
        <v>30218651</v>
      </c>
      <c r="F7" s="176" t="n">
        <v>636</v>
      </c>
      <c r="G7" s="176" t="n">
        <v>807</v>
      </c>
    </row>
    <row r="8" customFormat="false" ht="12.8" hidden="false" customHeight="false" outlineLevel="0" collapsed="false">
      <c r="A8" s="176" t="s">
        <v>476</v>
      </c>
      <c r="B8" s="176" t="n">
        <v>3837488</v>
      </c>
      <c r="C8" s="176" t="n">
        <v>0.83</v>
      </c>
      <c r="D8" s="176" t="n">
        <v>5268367</v>
      </c>
      <c r="E8" s="176" t="n">
        <v>4162832</v>
      </c>
      <c r="F8" s="176" t="n">
        <v>728</v>
      </c>
      <c r="G8" s="176" t="n">
        <v>922</v>
      </c>
    </row>
    <row r="9" customFormat="false" ht="12.8" hidden="false" customHeight="false" outlineLevel="0" collapsed="false">
      <c r="A9" s="176" t="s">
        <v>477</v>
      </c>
      <c r="B9" s="176" t="n">
        <v>2534090</v>
      </c>
      <c r="C9" s="176" t="n">
        <v>0.9</v>
      </c>
      <c r="D9" s="176" t="n">
        <v>3596080</v>
      </c>
      <c r="E9" s="176" t="n">
        <v>2908694</v>
      </c>
      <c r="F9" s="176" t="n">
        <v>705</v>
      </c>
      <c r="G9" s="176" t="n">
        <v>871</v>
      </c>
    </row>
    <row r="10" customFormat="false" ht="35.05" hidden="false" customHeight="false" outlineLevel="0" collapsed="false">
      <c r="A10" s="176" t="s">
        <v>478</v>
      </c>
      <c r="B10" s="176" t="n">
        <v>723657</v>
      </c>
      <c r="C10" s="176" t="n">
        <v>0.77</v>
      </c>
      <c r="D10" s="176" t="n">
        <v>925749</v>
      </c>
      <c r="E10" s="176" t="n">
        <v>744154</v>
      </c>
      <c r="F10" s="176" t="n">
        <v>782</v>
      </c>
      <c r="G10" s="176" t="n">
        <v>972</v>
      </c>
    </row>
    <row r="11" customFormat="false" ht="23.85" hidden="false" customHeight="false" outlineLevel="0" collapsed="false">
      <c r="A11" s="176" t="s">
        <v>479</v>
      </c>
      <c r="B11" s="176" t="n">
        <v>405555</v>
      </c>
      <c r="C11" s="176" t="n">
        <v>1.3</v>
      </c>
      <c r="D11" s="176" t="n">
        <v>646449</v>
      </c>
      <c r="E11" s="176" t="n">
        <v>545368</v>
      </c>
      <c r="F11" s="176" t="n">
        <v>627</v>
      </c>
      <c r="G11" s="176" t="n">
        <v>744</v>
      </c>
    </row>
    <row r="12" customFormat="false" ht="12.8" hidden="false" customHeight="false" outlineLevel="0" collapsed="false">
      <c r="A12" s="176" t="s">
        <v>480</v>
      </c>
      <c r="B12" s="176" t="n">
        <v>13670441</v>
      </c>
      <c r="C12" s="176" t="n">
        <v>0.92</v>
      </c>
      <c r="D12" s="176" t="n">
        <v>19552860</v>
      </c>
      <c r="E12" s="176" t="n">
        <v>15996284</v>
      </c>
      <c r="F12" s="176" t="n">
        <v>699</v>
      </c>
      <c r="G12" s="176" t="n">
        <v>855</v>
      </c>
    </row>
    <row r="13" customFormat="false" ht="12.8" hidden="false" customHeight="false" outlineLevel="0" collapsed="false">
      <c r="A13" s="176" t="s">
        <v>481</v>
      </c>
      <c r="B13" s="176" t="n">
        <v>6607016</v>
      </c>
      <c r="C13" s="176" t="n">
        <v>0.86</v>
      </c>
      <c r="D13" s="176" t="n">
        <v>9992167</v>
      </c>
      <c r="E13" s="176" t="n">
        <v>7775850</v>
      </c>
      <c r="F13" s="176" t="n">
        <v>661</v>
      </c>
      <c r="G13" s="176" t="n">
        <v>850</v>
      </c>
    </row>
    <row r="14" customFormat="false" ht="12.8" hidden="false" customHeight="false" outlineLevel="0" collapsed="false">
      <c r="A14" s="176" t="s">
        <v>482</v>
      </c>
      <c r="B14" s="176" t="n">
        <v>915033</v>
      </c>
      <c r="C14" s="176" t="n">
        <v>0.7</v>
      </c>
      <c r="D14" s="176" t="n">
        <v>1404054</v>
      </c>
      <c r="E14" s="176" t="n">
        <v>1128884</v>
      </c>
      <c r="F14" s="176" t="n">
        <v>652</v>
      </c>
      <c r="G14" s="176" t="n">
        <v>811</v>
      </c>
    </row>
    <row r="15" customFormat="false" ht="12.8" hidden="false" customHeight="false" outlineLevel="0" collapsed="false">
      <c r="A15" s="176" t="s">
        <v>483</v>
      </c>
      <c r="B15" s="176" t="n">
        <v>1111485</v>
      </c>
      <c r="C15" s="176" t="n">
        <v>0.66</v>
      </c>
      <c r="D15" s="176" t="n">
        <v>1612136</v>
      </c>
      <c r="E15" s="176" t="n">
        <v>1230965</v>
      </c>
      <c r="F15" s="176" t="n">
        <v>689</v>
      </c>
      <c r="G15" s="176" t="n">
        <v>903</v>
      </c>
    </row>
    <row r="16" customFormat="false" ht="12.8" hidden="false" customHeight="false" outlineLevel="0" collapsed="false">
      <c r="A16" s="176" t="s">
        <v>484</v>
      </c>
      <c r="B16" s="176" t="n">
        <v>8261582</v>
      </c>
      <c r="C16" s="176" t="n">
        <v>0.82</v>
      </c>
      <c r="D16" s="176" t="n">
        <v>12882135</v>
      </c>
      <c r="E16" s="176" t="n">
        <v>10208958</v>
      </c>
      <c r="F16" s="176" t="n">
        <v>641</v>
      </c>
      <c r="G16" s="176" t="n">
        <v>809</v>
      </c>
    </row>
    <row r="17" customFormat="false" ht="12.8" hidden="false" customHeight="false" outlineLevel="0" collapsed="false">
      <c r="A17" s="176" t="s">
        <v>485</v>
      </c>
      <c r="B17" s="176" t="n">
        <v>4500403</v>
      </c>
      <c r="C17" s="176" t="n">
        <v>0.81</v>
      </c>
      <c r="D17" s="176" t="n">
        <v>6570902</v>
      </c>
      <c r="E17" s="176" t="n">
        <v>5164988</v>
      </c>
      <c r="F17" s="176" t="n">
        <v>685</v>
      </c>
      <c r="G17" s="176" t="n">
        <v>871</v>
      </c>
    </row>
    <row r="18" customFormat="false" ht="35.05" hidden="false" customHeight="false" outlineLevel="0" collapsed="false">
      <c r="A18" s="176" t="s">
        <v>486</v>
      </c>
      <c r="B18" s="176" t="n">
        <v>2143665</v>
      </c>
      <c r="C18" s="176" t="n">
        <v>0.61</v>
      </c>
      <c r="D18" s="176" t="n">
        <v>3090416</v>
      </c>
      <c r="E18" s="176" t="n">
        <v>2447740</v>
      </c>
      <c r="F18" s="176" t="n">
        <v>694</v>
      </c>
      <c r="G18" s="176" t="n">
        <v>876</v>
      </c>
    </row>
    <row r="19" customFormat="false" ht="12.8" hidden="false" customHeight="false" outlineLevel="0" collapsed="false">
      <c r="A19" s="176" t="s">
        <v>487</v>
      </c>
      <c r="B19" s="176" t="n">
        <v>2017759</v>
      </c>
      <c r="C19" s="176" t="n">
        <v>0.78</v>
      </c>
      <c r="D19" s="176" t="n">
        <v>2893957</v>
      </c>
      <c r="E19" s="176" t="n">
        <v>2248518</v>
      </c>
      <c r="F19" s="176" t="n">
        <v>697</v>
      </c>
      <c r="G19" s="176" t="n">
        <v>897</v>
      </c>
    </row>
    <row r="20" customFormat="false" ht="12.8" hidden="false" customHeight="false" outlineLevel="0" collapsed="false">
      <c r="A20" s="176" t="s">
        <v>488</v>
      </c>
      <c r="B20" s="176" t="n">
        <v>3019283</v>
      </c>
      <c r="C20" s="176" t="n">
        <v>0.76</v>
      </c>
      <c r="D20" s="176" t="n">
        <v>4395295</v>
      </c>
      <c r="E20" s="176" t="n">
        <v>3493897</v>
      </c>
      <c r="F20" s="176" t="n">
        <v>687</v>
      </c>
      <c r="G20" s="176" t="n">
        <v>864</v>
      </c>
    </row>
    <row r="21" customFormat="false" ht="12.8" hidden="false" customHeight="false" outlineLevel="0" collapsed="false">
      <c r="A21" s="176" t="s">
        <v>489</v>
      </c>
      <c r="B21" s="176" t="n">
        <v>3278143</v>
      </c>
      <c r="C21" s="176" t="n">
        <v>0.85</v>
      </c>
      <c r="D21" s="176" t="n">
        <v>4625470</v>
      </c>
      <c r="E21" s="176" t="n">
        <v>3633574</v>
      </c>
      <c r="F21" s="176" t="n">
        <v>709</v>
      </c>
      <c r="G21" s="176" t="n">
        <v>902</v>
      </c>
    </row>
    <row r="22" customFormat="false" ht="12.8" hidden="false" customHeight="false" outlineLevel="0" collapsed="false">
      <c r="A22" s="176" t="s">
        <v>490</v>
      </c>
      <c r="B22" s="176" t="n">
        <v>1011385</v>
      </c>
      <c r="C22" s="176" t="n">
        <v>0.85</v>
      </c>
      <c r="D22" s="176" t="n">
        <v>1328302</v>
      </c>
      <c r="E22" s="176" t="n">
        <v>1099524</v>
      </c>
      <c r="F22" s="176" t="n">
        <v>761</v>
      </c>
      <c r="G22" s="176" t="n">
        <v>920</v>
      </c>
    </row>
    <row r="23" customFormat="false" ht="12.8" hidden="false" customHeight="false" outlineLevel="0" collapsed="false">
      <c r="A23" s="176" t="s">
        <v>491</v>
      </c>
      <c r="B23" s="176" t="n">
        <v>4140105</v>
      </c>
      <c r="C23" s="176" t="n">
        <v>1.1</v>
      </c>
      <c r="D23" s="176" t="n">
        <v>5928814</v>
      </c>
      <c r="E23" s="176" t="n">
        <v>4737568</v>
      </c>
      <c r="F23" s="176" t="n">
        <v>698</v>
      </c>
      <c r="G23" s="176" t="n">
        <v>874</v>
      </c>
    </row>
    <row r="24" customFormat="false" ht="23.85" hidden="false" customHeight="false" outlineLevel="0" collapsed="false">
      <c r="A24" s="176" t="s">
        <v>492</v>
      </c>
      <c r="B24" s="176" t="n">
        <v>4765586</v>
      </c>
      <c r="C24" s="176" t="n">
        <v>0.97</v>
      </c>
      <c r="D24" s="176" t="n">
        <v>6692824</v>
      </c>
      <c r="E24" s="176" t="n">
        <v>5466929</v>
      </c>
      <c r="F24" s="176" t="n">
        <v>712</v>
      </c>
      <c r="G24" s="176" t="n">
        <v>872</v>
      </c>
    </row>
    <row r="25" customFormat="false" ht="12.8" hidden="false" customHeight="false" outlineLevel="0" collapsed="false">
      <c r="A25" s="176" t="s">
        <v>493</v>
      </c>
      <c r="B25" s="176" t="n">
        <v>6986587</v>
      </c>
      <c r="C25" s="176" t="n">
        <v>0.86</v>
      </c>
      <c r="D25" s="176" t="n">
        <v>9895622</v>
      </c>
      <c r="E25" s="176" t="n">
        <v>7922631</v>
      </c>
      <c r="F25" s="176" t="n">
        <v>706</v>
      </c>
      <c r="G25" s="176" t="n">
        <v>882</v>
      </c>
    </row>
    <row r="26" customFormat="false" ht="12.8" hidden="false" customHeight="false" outlineLevel="0" collapsed="false">
      <c r="A26" s="176" t="s">
        <v>494</v>
      </c>
      <c r="B26" s="176" t="n">
        <v>3330725</v>
      </c>
      <c r="C26" s="176" t="n">
        <v>0.64</v>
      </c>
      <c r="D26" s="176" t="n">
        <v>5420380</v>
      </c>
      <c r="E26" s="176" t="n">
        <v>4283605</v>
      </c>
      <c r="F26" s="176" t="n">
        <v>614</v>
      </c>
      <c r="G26" s="176" t="n">
        <v>778</v>
      </c>
    </row>
    <row r="27" customFormat="false" ht="12.8" hidden="false" customHeight="false" outlineLevel="0" collapsed="false">
      <c r="A27" s="176" t="s">
        <v>495</v>
      </c>
      <c r="B27" s="176" t="n">
        <v>1968907</v>
      </c>
      <c r="C27" s="176" t="n">
        <v>0.96</v>
      </c>
      <c r="D27" s="176" t="n">
        <v>2991207</v>
      </c>
      <c r="E27" s="176" t="n">
        <v>2334928</v>
      </c>
      <c r="F27" s="176" t="n">
        <v>658</v>
      </c>
      <c r="G27" s="176" t="n">
        <v>843</v>
      </c>
    </row>
    <row r="28" customFormat="false" ht="12.8" hidden="false" customHeight="false" outlineLevel="0" collapsed="false">
      <c r="A28" s="176" t="s">
        <v>496</v>
      </c>
      <c r="B28" s="176" t="n">
        <v>4280438</v>
      </c>
      <c r="C28" s="176" t="n">
        <v>0.74</v>
      </c>
      <c r="D28" s="176" t="n">
        <v>6044171</v>
      </c>
      <c r="E28" s="176" t="n">
        <v>4804108</v>
      </c>
      <c r="F28" s="176" t="n">
        <v>708</v>
      </c>
      <c r="G28" s="176" t="n">
        <v>891</v>
      </c>
    </row>
    <row r="29" customFormat="false" ht="12.8" hidden="false" customHeight="false" outlineLevel="0" collapsed="false">
      <c r="A29" s="176" t="s">
        <v>497</v>
      </c>
      <c r="B29" s="176" t="n">
        <v>766716</v>
      </c>
      <c r="C29" s="176" t="n">
        <v>0.5</v>
      </c>
      <c r="D29" s="176" t="n">
        <v>1015165</v>
      </c>
      <c r="E29" s="176" t="n">
        <v>816492</v>
      </c>
      <c r="F29" s="176" t="n">
        <v>755</v>
      </c>
      <c r="G29" s="176" t="n">
        <v>939</v>
      </c>
    </row>
    <row r="30" customFormat="false" ht="12.8" hidden="false" customHeight="false" outlineLevel="0" collapsed="false">
      <c r="A30" s="176" t="s">
        <v>498</v>
      </c>
      <c r="B30" s="176" t="n">
        <v>1374529</v>
      </c>
      <c r="C30" s="176" t="n">
        <v>0.75</v>
      </c>
      <c r="D30" s="176" t="n">
        <v>1868516</v>
      </c>
      <c r="E30" s="176" t="n">
        <v>1453480</v>
      </c>
      <c r="F30" s="176" t="n">
        <v>736</v>
      </c>
      <c r="G30" s="176" t="n">
        <v>946</v>
      </c>
    </row>
    <row r="31" customFormat="false" ht="12.8" hidden="false" customHeight="false" outlineLevel="0" collapsed="false">
      <c r="A31" s="176" t="s">
        <v>499</v>
      </c>
      <c r="B31" s="176" t="n">
        <v>1756095</v>
      </c>
      <c r="C31" s="176" t="n">
        <v>0.81</v>
      </c>
      <c r="D31" s="176" t="n">
        <v>2790136</v>
      </c>
      <c r="E31" s="176" t="n">
        <v>2202901</v>
      </c>
      <c r="F31" s="176" t="n">
        <v>629</v>
      </c>
      <c r="G31" s="176" t="n">
        <v>797</v>
      </c>
    </row>
    <row r="32" customFormat="false" ht="23.85" hidden="false" customHeight="false" outlineLevel="0" collapsed="false">
      <c r="A32" s="176" t="s">
        <v>500</v>
      </c>
      <c r="B32" s="176" t="n">
        <v>1061433</v>
      </c>
      <c r="C32" s="176" t="n">
        <v>0.76</v>
      </c>
      <c r="D32" s="176" t="n">
        <v>1323459</v>
      </c>
      <c r="E32" s="176" t="n">
        <v>1087125</v>
      </c>
      <c r="F32" s="176" t="n">
        <v>802</v>
      </c>
      <c r="G32" s="176" t="n">
        <v>976</v>
      </c>
    </row>
    <row r="33" customFormat="false" ht="12.8" hidden="false" customHeight="false" outlineLevel="0" collapsed="false">
      <c r="A33" s="176" t="s">
        <v>501</v>
      </c>
      <c r="B33" s="176" t="n">
        <v>6081386</v>
      </c>
      <c r="C33" s="176" t="n">
        <v>0.87</v>
      </c>
      <c r="D33" s="176" t="n">
        <v>8899339</v>
      </c>
      <c r="E33" s="176" t="n">
        <v>7115472</v>
      </c>
      <c r="F33" s="176" t="n">
        <v>683</v>
      </c>
      <c r="G33" s="176" t="n">
        <v>855</v>
      </c>
    </row>
    <row r="34" customFormat="false" ht="12.8" hidden="false" customHeight="false" outlineLevel="0" collapsed="false">
      <c r="A34" s="176" t="s">
        <v>502</v>
      </c>
      <c r="B34" s="176" t="n">
        <v>1456500</v>
      </c>
      <c r="C34" s="176" t="n">
        <v>0.79</v>
      </c>
      <c r="D34" s="176" t="n">
        <v>2085287</v>
      </c>
      <c r="E34" s="176" t="n">
        <v>1632983</v>
      </c>
      <c r="F34" s="176" t="n">
        <v>698</v>
      </c>
      <c r="G34" s="176" t="n">
        <v>892</v>
      </c>
    </row>
    <row r="35" customFormat="false" ht="12.8" hidden="false" customHeight="false" outlineLevel="0" collapsed="false">
      <c r="A35" s="176" t="s">
        <v>503</v>
      </c>
      <c r="B35" s="176" t="n">
        <v>11210783</v>
      </c>
      <c r="C35" s="176" t="n">
        <v>1.07</v>
      </c>
      <c r="D35" s="176" t="n">
        <v>19651127</v>
      </c>
      <c r="E35" s="176" t="n">
        <v>15907539</v>
      </c>
      <c r="F35" s="176" t="n">
        <v>570</v>
      </c>
      <c r="G35" s="176" t="n">
        <v>705</v>
      </c>
    </row>
    <row r="36" customFormat="false" ht="23.85" hidden="false" customHeight="false" outlineLevel="0" collapsed="false">
      <c r="A36" s="176" t="s">
        <v>504</v>
      </c>
      <c r="B36" s="176" t="n">
        <v>6822902</v>
      </c>
      <c r="C36" s="176" t="n">
        <v>0.88</v>
      </c>
      <c r="D36" s="176" t="n">
        <v>9848060</v>
      </c>
      <c r="E36" s="176" t="n">
        <v>7812833</v>
      </c>
      <c r="F36" s="176" t="n">
        <v>693</v>
      </c>
      <c r="G36" s="176" t="n">
        <v>873</v>
      </c>
    </row>
    <row r="37" customFormat="false" ht="12.8" hidden="false" customHeight="false" outlineLevel="0" collapsed="false">
      <c r="A37" s="176" t="s">
        <v>505</v>
      </c>
      <c r="B37" s="176" t="n">
        <v>513838</v>
      </c>
      <c r="C37" s="176" t="n">
        <v>0.62</v>
      </c>
      <c r="D37" s="176" t="n">
        <v>723393</v>
      </c>
      <c r="E37" s="176" t="n">
        <v>577967</v>
      </c>
      <c r="F37" s="176" t="n">
        <v>710</v>
      </c>
      <c r="G37" s="176" t="n">
        <v>889</v>
      </c>
    </row>
    <row r="38" customFormat="false" ht="12.8" hidden="false" customHeight="false" outlineLevel="0" collapsed="false">
      <c r="A38" s="176" t="s">
        <v>506</v>
      </c>
      <c r="B38" s="176" t="n">
        <v>8030421</v>
      </c>
      <c r="C38" s="176" t="n">
        <v>0.79</v>
      </c>
      <c r="D38" s="176" t="n">
        <v>11570808</v>
      </c>
      <c r="E38" s="176" t="n">
        <v>9230566</v>
      </c>
      <c r="F38" s="176" t="n">
        <v>694</v>
      </c>
      <c r="G38" s="176" t="n">
        <v>870</v>
      </c>
    </row>
    <row r="39" customFormat="false" ht="12.8" hidden="false" customHeight="false" outlineLevel="0" collapsed="false">
      <c r="A39" s="176" t="s">
        <v>507</v>
      </c>
      <c r="B39" s="176" t="n">
        <v>2418307</v>
      </c>
      <c r="C39" s="176" t="n">
        <v>0.71</v>
      </c>
      <c r="D39" s="176" t="n">
        <v>3850568</v>
      </c>
      <c r="E39" s="176" t="n">
        <v>3004270</v>
      </c>
      <c r="F39" s="176" t="n">
        <v>628</v>
      </c>
      <c r="G39" s="176" t="n">
        <v>805</v>
      </c>
    </row>
    <row r="40" customFormat="false" ht="12.8" hidden="false" customHeight="false" outlineLevel="0" collapsed="false">
      <c r="A40" s="176" t="s">
        <v>508</v>
      </c>
      <c r="B40" s="176" t="n">
        <v>2773373</v>
      </c>
      <c r="C40" s="176" t="n">
        <v>0.78</v>
      </c>
      <c r="D40" s="176" t="n">
        <v>3930065</v>
      </c>
      <c r="E40" s="176" t="n">
        <v>3170882</v>
      </c>
      <c r="F40" s="176" t="n">
        <v>706</v>
      </c>
      <c r="G40" s="176" t="n">
        <v>875</v>
      </c>
    </row>
    <row r="41" customFormat="false" ht="12.8" hidden="false" customHeight="false" outlineLevel="0" collapsed="false">
      <c r="A41" s="176" t="s">
        <v>509</v>
      </c>
      <c r="B41" s="176" t="n">
        <v>8896590</v>
      </c>
      <c r="C41" s="176" t="n">
        <v>0.86</v>
      </c>
      <c r="D41" s="176" t="n">
        <v>12773801</v>
      </c>
      <c r="E41" s="176" t="n">
        <v>10381760</v>
      </c>
      <c r="F41" s="176" t="n">
        <v>696</v>
      </c>
      <c r="G41" s="176" t="n">
        <v>857</v>
      </c>
    </row>
    <row r="42" customFormat="false" ht="12.8" hidden="false" customHeight="false" outlineLevel="0" collapsed="false">
      <c r="A42" s="176" t="s">
        <v>510</v>
      </c>
      <c r="B42" s="176" t="n">
        <v>749232</v>
      </c>
      <c r="C42" s="176" t="n">
        <v>0.9</v>
      </c>
      <c r="D42" s="176" t="n">
        <v>1051511</v>
      </c>
      <c r="E42" s="176" t="n">
        <v>863702</v>
      </c>
      <c r="F42" s="176" t="n">
        <v>713</v>
      </c>
      <c r="G42" s="176" t="n">
        <v>867</v>
      </c>
    </row>
    <row r="43" customFormat="false" ht="23.85" hidden="false" customHeight="false" outlineLevel="0" collapsed="false">
      <c r="A43" s="176" t="s">
        <v>511</v>
      </c>
      <c r="B43" s="176" t="n">
        <v>3536404</v>
      </c>
      <c r="C43" s="176" t="n">
        <v>0.91</v>
      </c>
      <c r="D43" s="176" t="n">
        <v>4774839</v>
      </c>
      <c r="E43" s="176" t="n">
        <v>3813523</v>
      </c>
      <c r="F43" s="176" t="n">
        <v>741</v>
      </c>
      <c r="G43" s="176" t="n">
        <v>927</v>
      </c>
    </row>
    <row r="44" customFormat="false" ht="23.85" hidden="false" customHeight="false" outlineLevel="0" collapsed="false">
      <c r="A44" s="176" t="s">
        <v>512</v>
      </c>
      <c r="B44" s="176" t="n">
        <v>603643</v>
      </c>
      <c r="C44" s="176" t="n">
        <v>0.61</v>
      </c>
      <c r="D44" s="176" t="n">
        <v>844877</v>
      </c>
      <c r="E44" s="176" t="n">
        <v>659321</v>
      </c>
      <c r="F44" s="176" t="n">
        <v>714</v>
      </c>
      <c r="G44" s="176" t="n">
        <v>916</v>
      </c>
    </row>
    <row r="45" customFormat="false" ht="12.8" hidden="false" customHeight="false" outlineLevel="0" collapsed="false">
      <c r="A45" s="176" t="s">
        <v>513</v>
      </c>
      <c r="B45" s="176" t="n">
        <v>4605100</v>
      </c>
      <c r="C45" s="176" t="n">
        <v>0.87</v>
      </c>
      <c r="D45" s="176" t="n">
        <v>6495978</v>
      </c>
      <c r="E45" s="176" t="n">
        <v>5171538</v>
      </c>
      <c r="F45" s="176" t="n">
        <v>709</v>
      </c>
      <c r="G45" s="176" t="n">
        <v>890</v>
      </c>
    </row>
    <row r="46" customFormat="false" ht="12.8" hidden="false" customHeight="false" outlineLevel="0" collapsed="false">
      <c r="A46" s="176" t="s">
        <v>514</v>
      </c>
      <c r="B46" s="176" t="n">
        <v>15447273</v>
      </c>
      <c r="C46" s="176" t="n">
        <v>0.79</v>
      </c>
      <c r="D46" s="176" t="n">
        <v>26448193</v>
      </c>
      <c r="E46" s="176" t="n">
        <v>20165608</v>
      </c>
      <c r="F46" s="176" t="n">
        <v>584</v>
      </c>
      <c r="G46" s="176" t="n">
        <v>766</v>
      </c>
    </row>
    <row r="47" customFormat="false" ht="12.8" hidden="false" customHeight="false" outlineLevel="0" collapsed="false">
      <c r="A47" s="176" t="s">
        <v>515</v>
      </c>
      <c r="B47" s="176" t="n">
        <v>1661219</v>
      </c>
      <c r="C47" s="176" t="n">
        <v>0.81</v>
      </c>
      <c r="D47" s="176" t="n">
        <v>2900872</v>
      </c>
      <c r="E47" s="176" t="n">
        <v>2095086</v>
      </c>
      <c r="F47" s="176" t="n">
        <v>573</v>
      </c>
      <c r="G47" s="176" t="n">
        <v>793</v>
      </c>
    </row>
    <row r="48" customFormat="false" ht="12.8" hidden="false" customHeight="false" outlineLevel="0" collapsed="false">
      <c r="A48" s="176" t="s">
        <v>516</v>
      </c>
      <c r="B48" s="176" t="n">
        <v>543057</v>
      </c>
      <c r="C48" s="176" t="n">
        <v>0.9</v>
      </c>
      <c r="D48" s="176" t="n">
        <v>626630</v>
      </c>
      <c r="E48" s="176" t="n">
        <v>519298</v>
      </c>
      <c r="F48" s="176" t="n">
        <v>867</v>
      </c>
      <c r="G48" s="176" t="n">
        <v>1046</v>
      </c>
    </row>
    <row r="49" customFormat="false" ht="12.8" hidden="false" customHeight="false" outlineLevel="0" collapsed="false">
      <c r="A49" s="176" t="s">
        <v>517</v>
      </c>
      <c r="B49" s="176" t="n">
        <v>5602765</v>
      </c>
      <c r="C49" s="176" t="n">
        <v>0.81</v>
      </c>
      <c r="D49" s="176" t="n">
        <v>8260405</v>
      </c>
      <c r="E49" s="176" t="n">
        <v>6602567</v>
      </c>
      <c r="F49" s="176" t="n">
        <v>678</v>
      </c>
      <c r="G49" s="176" t="n">
        <v>849</v>
      </c>
    </row>
    <row r="50" customFormat="false" ht="12.8" hidden="false" customHeight="false" outlineLevel="0" collapsed="false">
      <c r="A50" s="176" t="s">
        <v>518</v>
      </c>
      <c r="B50" s="176" t="n">
        <v>5301630</v>
      </c>
      <c r="C50" s="176" t="n">
        <v>0.84</v>
      </c>
      <c r="D50" s="176" t="n">
        <v>6971406</v>
      </c>
      <c r="E50" s="176" t="n">
        <v>5553636</v>
      </c>
      <c r="F50" s="176" t="n">
        <v>760</v>
      </c>
      <c r="G50" s="176" t="n">
        <v>955</v>
      </c>
    </row>
    <row r="51" customFormat="false" ht="12.8" hidden="false" customHeight="false" outlineLevel="0" collapsed="false">
      <c r="A51" s="176" t="s">
        <v>519</v>
      </c>
      <c r="B51" s="176" t="n">
        <v>1177136</v>
      </c>
      <c r="C51" s="176" t="n">
        <v>0.83</v>
      </c>
      <c r="D51" s="176" t="n">
        <v>1854304</v>
      </c>
      <c r="E51" s="176" t="n">
        <v>1516395</v>
      </c>
      <c r="F51" s="176" t="n">
        <v>635</v>
      </c>
      <c r="G51" s="176" t="n">
        <v>776</v>
      </c>
    </row>
    <row r="52" customFormat="false" ht="12.8" hidden="false" customHeight="false" outlineLevel="0" collapsed="false">
      <c r="A52" s="176" t="s">
        <v>520</v>
      </c>
      <c r="B52" s="176" t="n">
        <v>4171427</v>
      </c>
      <c r="C52" s="176" t="n">
        <v>0.8</v>
      </c>
      <c r="D52" s="176" t="n">
        <v>5742713</v>
      </c>
      <c r="E52" s="176" t="n">
        <v>4585087</v>
      </c>
      <c r="F52" s="176" t="n">
        <v>726</v>
      </c>
      <c r="G52" s="176" t="n">
        <v>910</v>
      </c>
    </row>
    <row r="53" customFormat="false" ht="12.8" hidden="false" customHeight="false" outlineLevel="0" collapsed="false">
      <c r="A53" s="176" t="s">
        <v>521</v>
      </c>
      <c r="B53" s="176" t="n">
        <v>421473</v>
      </c>
      <c r="C53" s="176" t="n">
        <v>0.51</v>
      </c>
      <c r="D53" s="176" t="n">
        <v>582658</v>
      </c>
      <c r="E53" s="176" t="n">
        <v>459841</v>
      </c>
      <c r="F53" s="176" t="n">
        <v>723</v>
      </c>
      <c r="G53" s="176" t="n">
        <v>917</v>
      </c>
    </row>
    <row r="54" customFormat="false" ht="23.85" hidden="false" customHeight="false" outlineLevel="0" collapsed="false">
      <c r="A54" s="176" t="s">
        <v>522</v>
      </c>
      <c r="B54" s="176" t="n">
        <v>212159728</v>
      </c>
      <c r="C54" s="176" t="n">
        <v>0.84</v>
      </c>
      <c r="D54" s="176" t="n">
        <v>316128839</v>
      </c>
      <c r="E54" s="176" t="n">
        <v>250892271</v>
      </c>
      <c r="F54" s="176" t="n">
        <v>671</v>
      </c>
      <c r="G54" s="176" t="n">
        <v>846</v>
      </c>
    </row>
    <row r="55" customFormat="false" ht="12.8" hidden="false" customHeight="true" outlineLevel="0" collapsed="false">
      <c r="A55" s="177" t="s">
        <v>523</v>
      </c>
      <c r="B55" s="177"/>
      <c r="C55" s="177"/>
      <c r="D55" s="177"/>
      <c r="E55" s="177"/>
      <c r="F55" s="177"/>
      <c r="G55" s="177"/>
    </row>
    <row r="56" customFormat="false" ht="12.8" hidden="false" customHeight="true" outlineLevel="0" collapsed="false">
      <c r="A56" s="177" t="s">
        <v>524</v>
      </c>
      <c r="B56" s="177"/>
      <c r="C56" s="177"/>
      <c r="D56" s="177"/>
      <c r="E56" s="177"/>
      <c r="F56" s="177"/>
      <c r="G56" s="177"/>
    </row>
    <row r="57" customFormat="false" ht="23.85" hidden="false" customHeight="true" outlineLevel="0" collapsed="false">
      <c r="A57" s="177" t="s">
        <v>525</v>
      </c>
      <c r="B57" s="177"/>
      <c r="C57" s="177"/>
      <c r="D57" s="177"/>
      <c r="E57" s="177"/>
      <c r="F57" s="177"/>
      <c r="G57" s="177"/>
    </row>
    <row r="58" customFormat="false" ht="12.8" hidden="false" customHeight="false" outlineLevel="0" collapsed="false">
      <c r="A58" s="124"/>
      <c r="B58" s="124"/>
      <c r="C58" s="124"/>
      <c r="D58" s="124"/>
      <c r="E58" s="124"/>
      <c r="F58" s="124"/>
      <c r="G58" s="124"/>
    </row>
  </sheetData>
  <mergeCells count="3">
    <mergeCell ref="A55:G55"/>
    <mergeCell ref="A56:G56"/>
    <mergeCell ref="A57:G5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59"/>
  <sheetViews>
    <sheetView showFormulas="false" showGridLines="true" showRowColHeaders="true" showZeros="true" rightToLeft="false" tabSelected="false" showOutlineSymbols="true" defaultGridColor="true" view="normal" topLeftCell="A46" colorId="64" zoomScale="100" zoomScaleNormal="100" zoomScalePageLayoutView="100" workbookViewId="0">
      <selection pane="topLeft" activeCell="H27" activeCellId="1" sqref="B3:D14 H27"/>
    </sheetView>
  </sheetViews>
  <sheetFormatPr defaultColWidth="12.8046875" defaultRowHeight="12.8" zeroHeight="false" outlineLevelRow="0" outlineLevelCol="0"/>
  <cols>
    <col collapsed="false" customWidth="true" hidden="false" outlineLevel="0" max="1" min="1" style="1" width="44.64"/>
    <col collapsed="false" customWidth="true" hidden="false" outlineLevel="0" max="2" min="2" style="2" width="22.12"/>
    <col collapsed="false" customWidth="true" hidden="false" outlineLevel="0" max="4" min="4" style="0" width="28.25"/>
  </cols>
  <sheetData>
    <row r="1" customFormat="false" ht="35.05" hidden="false" customHeight="false" outlineLevel="0" collapsed="false">
      <c r="A1" s="1" t="s">
        <v>526</v>
      </c>
      <c r="B1" s="2" t="s">
        <v>27</v>
      </c>
    </row>
    <row r="2" customFormat="false" ht="46.25" hidden="false" customHeight="false" outlineLevel="0" collapsed="false">
      <c r="A2" s="3" t="s">
        <v>527</v>
      </c>
    </row>
    <row r="3" customFormat="false" ht="35.05" hidden="false" customHeight="false" outlineLevel="0" collapsed="false">
      <c r="A3" s="1" t="s">
        <v>117</v>
      </c>
      <c r="B3" s="2" t="n">
        <v>1647</v>
      </c>
    </row>
    <row r="4" customFormat="false" ht="35.05" hidden="false" customHeight="false" outlineLevel="0" collapsed="false">
      <c r="A4" s="1" t="s">
        <v>120</v>
      </c>
      <c r="B4" s="2" t="n">
        <v>1272</v>
      </c>
    </row>
    <row r="5" customFormat="false" ht="23.85" hidden="false" customHeight="false" outlineLevel="0" collapsed="false">
      <c r="A5" s="1" t="s">
        <v>123</v>
      </c>
      <c r="B5" s="2" t="n">
        <v>59</v>
      </c>
    </row>
    <row r="6" customFormat="false" ht="12.8" hidden="false" customHeight="false" outlineLevel="0" collapsed="false">
      <c r="A6" s="1" t="s">
        <v>126</v>
      </c>
      <c r="B6" s="2" t="n">
        <v>110</v>
      </c>
    </row>
    <row r="7" customFormat="false" ht="12.8" hidden="false" customHeight="false" outlineLevel="0" collapsed="false">
      <c r="A7" s="1" t="s">
        <v>128</v>
      </c>
      <c r="B7" s="2" t="n">
        <v>3127</v>
      </c>
    </row>
    <row r="8" customFormat="false" ht="12.8" hidden="false" customHeight="false" outlineLevel="0" collapsed="false">
      <c r="A8" s="1" t="s">
        <v>129</v>
      </c>
      <c r="B8" s="2" t="n">
        <f aca="false">SUM(B3:B7)</f>
        <v>6215</v>
      </c>
    </row>
    <row r="9" customFormat="false" ht="12.8" hidden="false" customHeight="false" outlineLevel="0" collapsed="false">
      <c r="A9" s="1" t="s">
        <v>131</v>
      </c>
      <c r="B9" s="2" t="n">
        <f aca="false">B8*1.206</f>
        <v>7495.29</v>
      </c>
    </row>
    <row r="10" customFormat="false" ht="35.05" hidden="false" customHeight="false" outlineLevel="0" collapsed="false">
      <c r="A10" s="124" t="s">
        <v>132</v>
      </c>
      <c r="B10" s="1" t="n">
        <v>10</v>
      </c>
    </row>
    <row r="11" customFormat="false" ht="12.8" hidden="false" customHeight="false" outlineLevel="0" collapsed="false">
      <c r="A11" s="3" t="s">
        <v>133</v>
      </c>
      <c r="B11" s="2" t="n">
        <f aca="false">B10*B9</f>
        <v>74952.9</v>
      </c>
    </row>
    <row r="13" customFormat="false" ht="12.8" hidden="false" customHeight="false" outlineLevel="0" collapsed="false">
      <c r="A13" s="1" t="s">
        <v>134</v>
      </c>
      <c r="B13" s="2" t="n">
        <f aca="false">B9*0.3</f>
        <v>2248.587</v>
      </c>
    </row>
    <row r="14" customFormat="false" ht="12.8" hidden="false" customHeight="false" outlineLevel="0" collapsed="false">
      <c r="A14" s="124" t="s">
        <v>135</v>
      </c>
      <c r="B14" s="2" t="n">
        <f aca="false">B9-B13</f>
        <v>5246.703</v>
      </c>
      <c r="D14" s="0" t="s">
        <v>135</v>
      </c>
      <c r="E14" s="101" t="n">
        <v>5246.7</v>
      </c>
    </row>
    <row r="15" customFormat="false" ht="12.8" hidden="false" customHeight="false" outlineLevel="0" collapsed="false">
      <c r="A15" s="3" t="s">
        <v>136</v>
      </c>
      <c r="B15" s="55" t="n">
        <f aca="false">B14*B10</f>
        <v>52467.03</v>
      </c>
      <c r="D15" s="0" t="s">
        <v>136</v>
      </c>
      <c r="E15" s="101" t="n">
        <v>52467.03</v>
      </c>
    </row>
    <row r="16" customFormat="false" ht="12.8" hidden="false" customHeight="false" outlineLevel="0" collapsed="false">
      <c r="A16" s="3" t="s">
        <v>138</v>
      </c>
      <c r="B16" s="55"/>
    </row>
    <row r="17" customFormat="false" ht="12.8" hidden="false" customHeight="false" outlineLevel="0" collapsed="false">
      <c r="D17" s="0" t="s">
        <v>135</v>
      </c>
      <c r="E17" s="101" t="n">
        <v>94594.27</v>
      </c>
    </row>
    <row r="18" customFormat="false" ht="35.05" hidden="false" customHeight="false" outlineLevel="0" collapsed="false">
      <c r="A18" s="3" t="s">
        <v>528</v>
      </c>
      <c r="D18" s="0" t="s">
        <v>136</v>
      </c>
      <c r="E18" s="101" t="n">
        <v>283782.82</v>
      </c>
    </row>
    <row r="19" customFormat="false" ht="15.8" hidden="false" customHeight="false" outlineLevel="0" collapsed="false">
      <c r="A19" s="1" t="s">
        <v>117</v>
      </c>
      <c r="B19" s="2" t="n">
        <v>11760</v>
      </c>
      <c r="G19" s="1" t="s">
        <v>117</v>
      </c>
      <c r="H19" s="178" t="n">
        <v>7560</v>
      </c>
    </row>
    <row r="20" customFormat="false" ht="15.8" hidden="false" customHeight="false" outlineLevel="0" collapsed="false">
      <c r="A20" s="1" t="s">
        <v>120</v>
      </c>
      <c r="B20" s="2" t="n">
        <v>16380</v>
      </c>
      <c r="G20" s="1" t="s">
        <v>120</v>
      </c>
      <c r="H20" s="178" t="n">
        <v>10920</v>
      </c>
    </row>
    <row r="21" customFormat="false" ht="15.8" hidden="false" customHeight="false" outlineLevel="0" collapsed="false">
      <c r="A21" s="1" t="s">
        <v>123</v>
      </c>
      <c r="B21" s="2" t="n">
        <v>105</v>
      </c>
      <c r="G21" s="1" t="s">
        <v>123</v>
      </c>
      <c r="H21" s="178" t="n">
        <v>53</v>
      </c>
    </row>
    <row r="22" customFormat="false" ht="15.8" hidden="false" customHeight="false" outlineLevel="0" collapsed="false">
      <c r="A22" s="1" t="s">
        <v>126</v>
      </c>
      <c r="B22" s="2" t="n">
        <v>67</v>
      </c>
      <c r="G22" s="1" t="s">
        <v>126</v>
      </c>
      <c r="H22" s="178" t="n">
        <v>45</v>
      </c>
    </row>
    <row r="23" customFormat="false" ht="15.8" hidden="false" customHeight="false" outlineLevel="0" collapsed="false">
      <c r="A23" s="1" t="s">
        <v>128</v>
      </c>
      <c r="B23" s="2" t="n">
        <v>75000</v>
      </c>
      <c r="G23" s="1" t="s">
        <v>128</v>
      </c>
      <c r="H23" s="2" t="n">
        <v>75000</v>
      </c>
    </row>
    <row r="24" customFormat="false" ht="15.8" hidden="false" customHeight="false" outlineLevel="0" collapsed="false">
      <c r="A24" s="1" t="s">
        <v>129</v>
      </c>
      <c r="B24" s="2" t="n">
        <f aca="false">SUM(B19:B23)</f>
        <v>103312</v>
      </c>
      <c r="G24" s="1" t="s">
        <v>129</v>
      </c>
      <c r="H24" s="2" t="n">
        <f aca="false">SUM(H19:H23)</f>
        <v>93578</v>
      </c>
    </row>
    <row r="25" customFormat="false" ht="15.8" hidden="false" customHeight="false" outlineLevel="0" collapsed="false">
      <c r="A25" s="1" t="s">
        <v>131</v>
      </c>
      <c r="B25" s="2" t="n">
        <f aca="false">B24*1.206</f>
        <v>124594.272</v>
      </c>
      <c r="G25" s="1" t="s">
        <v>131</v>
      </c>
      <c r="H25" s="2" t="n">
        <f aca="false">H24*1.206</f>
        <v>112855.068</v>
      </c>
    </row>
    <row r="26" customFormat="false" ht="15.8" hidden="false" customHeight="false" outlineLevel="0" collapsed="false">
      <c r="A26" s="124" t="s">
        <v>147</v>
      </c>
      <c r="B26" s="1" t="n">
        <v>5</v>
      </c>
      <c r="G26" s="124" t="s">
        <v>147</v>
      </c>
      <c r="H26" s="1" t="n">
        <v>6</v>
      </c>
    </row>
    <row r="27" customFormat="false" ht="15.8" hidden="false" customHeight="false" outlineLevel="0" collapsed="false">
      <c r="A27" s="3" t="s">
        <v>133</v>
      </c>
      <c r="B27" s="2" t="n">
        <f aca="false">B26*B25</f>
        <v>622971.36</v>
      </c>
      <c r="G27" s="3" t="s">
        <v>133</v>
      </c>
      <c r="H27" s="2" t="n">
        <f aca="false">H26*H25</f>
        <v>677130.408</v>
      </c>
    </row>
    <row r="28" customFormat="false" ht="15.8" hidden="false" customHeight="false" outlineLevel="0" collapsed="false">
      <c r="G28" s="1"/>
      <c r="H28" s="2"/>
    </row>
    <row r="29" customFormat="false" ht="15.8" hidden="false" customHeight="false" outlineLevel="0" collapsed="false">
      <c r="A29" s="1" t="s">
        <v>134</v>
      </c>
      <c r="B29" s="2" t="n">
        <f aca="false">100000*0.3</f>
        <v>30000</v>
      </c>
      <c r="G29" s="1" t="s">
        <v>134</v>
      </c>
      <c r="H29" s="2" t="n">
        <f aca="false">100000*0.3</f>
        <v>30000</v>
      </c>
    </row>
    <row r="30" customFormat="false" ht="15.8" hidden="false" customHeight="false" outlineLevel="0" collapsed="false">
      <c r="A30" s="124" t="s">
        <v>135</v>
      </c>
      <c r="B30" s="2" t="n">
        <f aca="false">B25-B29</f>
        <v>94594.272</v>
      </c>
      <c r="G30" s="124" t="s">
        <v>135</v>
      </c>
      <c r="H30" s="2" t="n">
        <f aca="false">H25-H29</f>
        <v>82855.068</v>
      </c>
    </row>
    <row r="31" customFormat="false" ht="15.8" hidden="false" customHeight="false" outlineLevel="0" collapsed="false">
      <c r="A31" s="3" t="s">
        <v>136</v>
      </c>
      <c r="B31" s="55" t="n">
        <f aca="false">B30*B26</f>
        <v>472971.36</v>
      </c>
      <c r="G31" s="3" t="s">
        <v>136</v>
      </c>
      <c r="H31" s="55" t="n">
        <f aca="false">H30*H26</f>
        <v>497130.408</v>
      </c>
    </row>
    <row r="32" customFormat="false" ht="15.8" hidden="false" customHeight="false" outlineLevel="0" collapsed="false">
      <c r="G32" s="1"/>
      <c r="H32" s="2"/>
    </row>
    <row r="33" customFormat="false" ht="15.8" hidden="false" customHeight="false" outlineLevel="0" collapsed="false">
      <c r="A33" s="1" t="s">
        <v>155</v>
      </c>
      <c r="B33" s="2" t="n">
        <f aca="false">B31+B15</f>
        <v>525438.39</v>
      </c>
      <c r="G33" s="1" t="s">
        <v>155</v>
      </c>
      <c r="H33" s="2" t="n">
        <f aca="false">H31+H15</f>
        <v>497130.408</v>
      </c>
    </row>
    <row r="36" customFormat="false" ht="23.85" hidden="false" customHeight="false" outlineLevel="0" collapsed="false">
      <c r="A36" s="179" t="s">
        <v>232</v>
      </c>
      <c r="B36" s="47" t="n">
        <v>250000</v>
      </c>
    </row>
    <row r="37" customFormat="false" ht="12.8" hidden="false" customHeight="false" outlineLevel="0" collapsed="false">
      <c r="A37" s="176" t="s">
        <v>529</v>
      </c>
      <c r="B37" s="47" t="n">
        <v>8000000</v>
      </c>
    </row>
    <row r="38" customFormat="false" ht="12.8" hidden="false" customHeight="false" outlineLevel="0" collapsed="false">
      <c r="A38" s="176" t="s">
        <v>530</v>
      </c>
      <c r="B38" s="47" t="n">
        <v>250000</v>
      </c>
    </row>
    <row r="39" customFormat="false" ht="12.8" hidden="false" customHeight="false" outlineLevel="0" collapsed="false">
      <c r="A39" s="176" t="s">
        <v>102</v>
      </c>
      <c r="B39" s="47" t="n">
        <v>500884</v>
      </c>
    </row>
    <row r="40" customFormat="false" ht="12.8" hidden="false" customHeight="false" outlineLevel="0" collapsed="false">
      <c r="A40" s="176" t="s">
        <v>103</v>
      </c>
      <c r="B40" s="47" t="n">
        <v>336249.85</v>
      </c>
    </row>
    <row r="41" customFormat="false" ht="12.8" hidden="false" customHeight="false" outlineLevel="0" collapsed="false">
      <c r="A41" s="1" t="s">
        <v>105</v>
      </c>
      <c r="B41" s="2" t="n">
        <f aca="false">SUM(B36:B40)</f>
        <v>9337133.85</v>
      </c>
    </row>
    <row r="42" customFormat="false" ht="12.8" hidden="false" customHeight="false" outlineLevel="0" collapsed="false">
      <c r="A42" s="1" t="s">
        <v>104</v>
      </c>
      <c r="B42" s="2" t="n">
        <f aca="false">B41*0.1</f>
        <v>933713.385</v>
      </c>
    </row>
    <row r="43" customFormat="false" ht="23.85" hidden="false" customHeight="false" outlineLevel="0" collapsed="false">
      <c r="B43" s="2" t="n">
        <f aca="false">B42+B41</f>
        <v>10270847.235</v>
      </c>
    </row>
    <row r="44" customFormat="false" ht="23.85" hidden="false" customHeight="false" outlineLevel="0" collapsed="false"/>
    <row r="54" customFormat="false" ht="23.85" hidden="false" customHeight="false" outlineLevel="0" collapsed="false">
      <c r="A54" s="1" t="s">
        <v>104</v>
      </c>
    </row>
    <row r="59" customFormat="false" ht="12.8" hidden="false" customHeight="false" outlineLevel="0" collapsed="false">
      <c r="A59" s="1" t="s">
        <v>531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5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2" activeCellId="1" sqref="B3:D14 E12"/>
    </sheetView>
  </sheetViews>
  <sheetFormatPr defaultColWidth="12.8046875" defaultRowHeight="12.8" zeroHeight="false" outlineLevelRow="0" outlineLevelCol="0"/>
  <cols>
    <col collapsed="false" customWidth="true" hidden="false" outlineLevel="0" max="1" min="1" style="10" width="34.12"/>
    <col collapsed="false" customWidth="true" hidden="false" outlineLevel="0" max="2" min="2" style="10" width="17.75"/>
    <col collapsed="false" customWidth="true" hidden="false" outlineLevel="0" max="4" min="4" style="10" width="19.45"/>
  </cols>
  <sheetData>
    <row r="1" customFormat="false" ht="12.8" hidden="false" customHeight="false" outlineLevel="0" collapsed="false">
      <c r="A1" s="1" t="s">
        <v>532</v>
      </c>
      <c r="B1" s="1" t="s">
        <v>437</v>
      </c>
      <c r="C1" s="10" t="s">
        <v>533</v>
      </c>
      <c r="D1" s="10" t="s">
        <v>534</v>
      </c>
      <c r="E1" s="10" t="s">
        <v>535</v>
      </c>
      <c r="F1" s="10" t="s">
        <v>536</v>
      </c>
    </row>
    <row r="2" customFormat="false" ht="46.25" hidden="false" customHeight="false" outlineLevel="0" collapsed="false">
      <c r="A2" s="180" t="s">
        <v>537</v>
      </c>
      <c r="B2" s="181" t="n">
        <v>21604731</v>
      </c>
      <c r="C2" s="181" t="n">
        <v>2822</v>
      </c>
      <c r="D2" s="181" t="n">
        <f aca="false">C2*365.25*24*0.85</f>
        <v>21027004.2</v>
      </c>
      <c r="E2" s="182" t="n">
        <f aca="false">B2/D2</f>
        <v>1.02747546890203</v>
      </c>
      <c r="F2" s="183" t="n">
        <f aca="false">E2*2204.6</f>
        <v>2265.17241874142</v>
      </c>
    </row>
    <row r="3" customFormat="false" ht="35.05" hidden="false" customHeight="false" outlineLevel="0" collapsed="false">
      <c r="A3" s="180" t="s">
        <v>538</v>
      </c>
      <c r="B3" s="181" t="n">
        <v>62444</v>
      </c>
      <c r="C3" s="181" t="n">
        <v>2822</v>
      </c>
      <c r="D3" s="181" t="n">
        <f aca="false">C3*365.25*24*0.85</f>
        <v>21027004.2</v>
      </c>
      <c r="E3" s="182" t="n">
        <f aca="false">B3/D3</f>
        <v>0.00296970502340985</v>
      </c>
      <c r="F3" s="183" t="n">
        <f aca="false">E3*2204.6</f>
        <v>6.54701169460935</v>
      </c>
    </row>
    <row r="4" customFormat="false" ht="35.05" hidden="false" customHeight="false" outlineLevel="0" collapsed="false">
      <c r="A4" s="180" t="s">
        <v>539</v>
      </c>
      <c r="B4" s="181" t="n">
        <v>108265</v>
      </c>
      <c r="C4" s="181" t="n">
        <v>2822</v>
      </c>
      <c r="D4" s="181" t="n">
        <f aca="false">C4*365.25*24*0.85</f>
        <v>21027004.2</v>
      </c>
      <c r="E4" s="182" t="n">
        <f aca="false">B4/D4</f>
        <v>0.00514885520401427</v>
      </c>
      <c r="F4" s="183" t="n">
        <f aca="false">E4*2204.6</f>
        <v>11.3511661827699</v>
      </c>
    </row>
    <row r="5" customFormat="false" ht="23.85" hidden="false" customHeight="false" outlineLevel="0" collapsed="false"/>
    <row r="7" customFormat="false" ht="12.8" hidden="false" customHeight="false" outlineLevel="0" collapsed="false">
      <c r="A7" s="10" t="s">
        <v>540</v>
      </c>
    </row>
    <row r="8" customFormat="false" ht="12.8" hidden="false" customHeight="false" outlineLevel="0" collapsed="false">
      <c r="A8" s="184" t="s">
        <v>541</v>
      </c>
    </row>
    <row r="10" customFormat="false" ht="35.05" hidden="false" customHeight="false" outlineLevel="0" collapsed="false"/>
    <row r="11" customFormat="false" ht="23.85" hidden="false" customHeight="false" outlineLevel="0" collapsed="false"/>
    <row r="18" customFormat="false" ht="35.05" hidden="false" customHeight="false" outlineLevel="0" collapsed="false"/>
    <row r="24" customFormat="false" ht="23.85" hidden="false" customHeight="false" outlineLevel="0" collapsed="false"/>
    <row r="32" customFormat="false" ht="23.85" hidden="false" customHeight="false" outlineLevel="0" collapsed="false"/>
    <row r="36" customFormat="false" ht="23.85" hidden="false" customHeight="false" outlineLevel="0" collapsed="false"/>
    <row r="43" customFormat="false" ht="23.85" hidden="false" customHeight="false" outlineLevel="0" collapsed="false"/>
    <row r="44" customFormat="false" ht="23.85" hidden="false" customHeight="false" outlineLevel="0" collapsed="false"/>
    <row r="54" customFormat="false" ht="23.85" hidden="false" customHeight="false" outlineLevel="0" collapsed="false"/>
  </sheetData>
  <hyperlinks>
    <hyperlink ref="A8" r:id="rId1" display="James H Miller Power Plant (Source)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15719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2024-02-27T18:28:29Z</dcterms:created>
  <dc:creator/>
  <dc:description/>
  <dc:language>en-US</dc:language>
  <cp:lastModifiedBy/>
  <dcterms:modified xsi:type="dcterms:W3CDTF">2024-04-01T20:01:24Z</dcterms:modified>
  <cp:revision>51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ProgId">
    <vt:lpwstr>Excel.Sheet</vt:lpwstr>
  </property>
</Properties>
</file>