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codeName="ThisWorkbook" defaultThemeVersion="124226"/>
  <mc:AlternateContent xmlns:mc="http://schemas.openxmlformats.org/markup-compatibility/2006">
    <mc:Choice Requires="x15">
      <x15ac:absPath xmlns:x15ac="http://schemas.microsoft.com/office/spreadsheetml/2010/11/ac" url="C:\Users\ASpaulding\Desktop\"/>
    </mc:Choice>
  </mc:AlternateContent>
  <xr:revisionPtr revIDLastSave="0" documentId="13_ncr:1_{4FEF6E12-C9A8-4A46-9C47-A4D8EBBE489A}" xr6:coauthVersionLast="47" xr6:coauthVersionMax="47" xr10:uidLastSave="{00000000-0000-0000-0000-000000000000}"/>
  <bookViews>
    <workbookView xWindow="150" yWindow="30" windowWidth="21930" windowHeight="12150" tabRatio="970" xr2:uid="{00000000-000D-0000-FFFF-FFFF00000000}"/>
  </bookViews>
  <sheets>
    <sheet name="Total GHG Reduction by Project" sheetId="11" r:id="rId1"/>
    <sheet name="Landfill.EPA.Tool" sheetId="1" r:id="rId2"/>
    <sheet name="AD.WARM Conversions" sheetId="7" r:id="rId3"/>
    <sheet name="Transit. US DOE Miles Est." sheetId="9" r:id="rId4"/>
    <sheet name="GHG Reduction Minus RTA buses" sheetId="10" r:id="rId5"/>
    <sheet name="Solar Installation" sheetId="12" r:id="rId6"/>
    <sheet name="LF. Calculations and References" sheetId="2" r:id="rId7"/>
    <sheet name="AD. EPA WARM Model" sheetId="8" r:id="rId8"/>
  </sheets>
  <externalReferences>
    <externalReference r:id="rId9"/>
    <externalReference r:id="rId10"/>
    <externalReference r:id="rId11"/>
  </externalReferences>
  <definedNames>
    <definedName name="anscount" hidden="1">1</definedName>
    <definedName name="ECN_para5">[1]LOOKUP!$A$26</definedName>
    <definedName name="Emission_Factor">#REF!</definedName>
    <definedName name="mTable">[2]MULTIPLIERS!$A$4:$Y$54</definedName>
    <definedName name="_xlnm.Print_Area" localSheetId="1">'Landfill.EPA.Tool'!$A$1:$L$32</definedName>
    <definedName name="_xlnm.Print_Area" localSheetId="6">'LF. Calculations and References'!$A$1:$M$74</definedName>
    <definedName name="_xlnm.Print_Titles" localSheetId="6">'LF. Calculations and References'!$1:$2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18" i="10" l="1"/>
  <c r="E17" i="10"/>
  <c r="D9" i="9"/>
  <c r="E12" i="9"/>
  <c r="D8" i="9"/>
  <c r="E47" i="12"/>
  <c r="D47" i="12"/>
  <c r="E11" i="12"/>
  <c r="E14" i="12"/>
  <c r="B46" i="12"/>
  <c r="D21" i="12"/>
  <c r="D22" i="12"/>
  <c r="D23" i="12"/>
  <c r="D24" i="12"/>
  <c r="D25" i="12"/>
  <c r="D26" i="12"/>
  <c r="D27" i="12"/>
  <c r="D28" i="12"/>
  <c r="D29" i="12"/>
  <c r="D30" i="12"/>
  <c r="D31" i="12"/>
  <c r="D32" i="12"/>
  <c r="D33" i="12"/>
  <c r="D34" i="12"/>
  <c r="D35" i="12"/>
  <c r="D36" i="12"/>
  <c r="D37" i="12"/>
  <c r="D38" i="12"/>
  <c r="D39" i="12"/>
  <c r="D40" i="12"/>
  <c r="D41" i="12"/>
  <c r="D42" i="12"/>
  <c r="D43" i="12"/>
  <c r="D44" i="12"/>
  <c r="D20" i="12"/>
  <c r="D11" i="12"/>
  <c r="E13" i="10"/>
  <c r="E10" i="10"/>
  <c r="E5" i="11"/>
  <c r="D5" i="11"/>
  <c r="D46" i="12" l="1"/>
  <c r="E15" i="12"/>
  <c r="E6" i="11" l="1"/>
  <c r="E10" i="11" s="1"/>
  <c r="D6" i="11"/>
  <c r="D10" i="11" s="1"/>
  <c r="O21" i="7"/>
  <c r="L4" i="7"/>
  <c r="L6" i="7"/>
  <c r="D5" i="9"/>
  <c r="D4" i="9"/>
  <c r="O30" i="7"/>
  <c r="O23" i="7"/>
  <c r="O26" i="7"/>
  <c r="O28" i="7"/>
  <c r="M23" i="7"/>
  <c r="M26" i="7"/>
  <c r="M28" i="7"/>
  <c r="M21" i="7"/>
  <c r="Q266" i="7"/>
  <c r="N266" i="7"/>
  <c r="I266" i="7"/>
  <c r="H266" i="7"/>
  <c r="L265" i="7"/>
  <c r="J265" i="7"/>
  <c r="Q264" i="7"/>
  <c r="N264" i="7"/>
  <c r="Q263" i="7"/>
  <c r="Q262" i="7"/>
  <c r="F262" i="7"/>
  <c r="Q261" i="7"/>
  <c r="L261" i="7"/>
  <c r="Q260" i="7"/>
  <c r="Q259" i="7"/>
  <c r="F259" i="7"/>
  <c r="Q258" i="7"/>
  <c r="Q257" i="7"/>
  <c r="Q256" i="7"/>
  <c r="L256" i="7"/>
  <c r="J256" i="7"/>
  <c r="F256" i="7"/>
  <c r="Q255" i="7"/>
  <c r="Q254" i="7"/>
  <c r="N254" i="7"/>
  <c r="M254" i="7"/>
  <c r="L254" i="7"/>
  <c r="Q253" i="7"/>
  <c r="J253" i="7"/>
  <c r="Q252" i="7"/>
  <c r="P252" i="7"/>
  <c r="Q251" i="7"/>
  <c r="J251" i="7"/>
  <c r="Q250" i="7"/>
  <c r="Q249" i="7"/>
  <c r="P249" i="7"/>
  <c r="L249" i="7"/>
  <c r="Q248" i="7"/>
  <c r="H248" i="7"/>
  <c r="F248" i="7"/>
  <c r="Q247" i="7"/>
  <c r="Q246" i="7"/>
  <c r="F246" i="7"/>
  <c r="Q245" i="7"/>
  <c r="P245" i="7"/>
  <c r="K245" i="7"/>
  <c r="J245" i="7"/>
  <c r="Q244" i="7"/>
  <c r="J244" i="7"/>
  <c r="Q243" i="7"/>
  <c r="Q242" i="7"/>
  <c r="N242" i="7"/>
  <c r="L242" i="7"/>
  <c r="H242" i="7"/>
  <c r="Q241" i="7"/>
  <c r="Q240" i="7"/>
  <c r="Q239" i="7"/>
  <c r="J239" i="7"/>
  <c r="Q238" i="7"/>
  <c r="Q237" i="7"/>
  <c r="Q236" i="7"/>
  <c r="F236" i="7"/>
  <c r="Q235" i="7"/>
  <c r="H235" i="7"/>
  <c r="F235" i="7"/>
  <c r="Q234" i="7"/>
  <c r="F234" i="7"/>
  <c r="Q233" i="7"/>
  <c r="J233" i="7"/>
  <c r="Q232" i="7"/>
  <c r="J232" i="7"/>
  <c r="Q231" i="7"/>
  <c r="F231" i="7"/>
  <c r="Q230" i="7"/>
  <c r="N230" i="7"/>
  <c r="L230" i="7"/>
  <c r="H230" i="7"/>
  <c r="Q229" i="7"/>
  <c r="Q228" i="7"/>
  <c r="N228" i="7"/>
  <c r="L228" i="7"/>
  <c r="P226" i="7"/>
  <c r="F224" i="7"/>
  <c r="H223" i="7"/>
  <c r="F223" i="7"/>
  <c r="P221" i="7"/>
  <c r="H221" i="7"/>
  <c r="J220" i="7"/>
  <c r="P216" i="7"/>
  <c r="J216" i="7"/>
  <c r="P215" i="7"/>
  <c r="Q214" i="7"/>
  <c r="F214" i="7"/>
  <c r="Q213" i="7"/>
  <c r="G213" i="7"/>
  <c r="F213" i="7"/>
  <c r="Q212" i="7"/>
  <c r="H212" i="7"/>
  <c r="F212" i="7"/>
  <c r="Q211" i="7"/>
  <c r="Q210" i="7"/>
  <c r="Q209" i="7"/>
  <c r="H209" i="7"/>
  <c r="Q208" i="7"/>
  <c r="Q207" i="7"/>
  <c r="J207" i="7"/>
  <c r="F207" i="7"/>
  <c r="Q206" i="7"/>
  <c r="Q201" i="7"/>
  <c r="O201" i="7"/>
  <c r="P201" i="7" s="1"/>
  <c r="M201" i="7"/>
  <c r="K201" i="7"/>
  <c r="J201" i="7"/>
  <c r="I201" i="7"/>
  <c r="G201" i="7"/>
  <c r="F266" i="7" s="1"/>
  <c r="F201" i="7"/>
  <c r="B201" i="7"/>
  <c r="Q200" i="7"/>
  <c r="O200" i="7"/>
  <c r="M200" i="7"/>
  <c r="K200" i="7"/>
  <c r="J200" i="7"/>
  <c r="I200" i="7"/>
  <c r="G200" i="7"/>
  <c r="F200" i="7"/>
  <c r="Q199" i="7"/>
  <c r="P199" i="7"/>
  <c r="O199" i="7"/>
  <c r="M199" i="7"/>
  <c r="L199" i="7"/>
  <c r="K264" i="7" s="1"/>
  <c r="K199" i="7"/>
  <c r="I199" i="7"/>
  <c r="H199" i="7"/>
  <c r="G199" i="7"/>
  <c r="F199" i="7"/>
  <c r="Q198" i="7"/>
  <c r="P263" i="7" s="1"/>
  <c r="P198" i="7"/>
  <c r="O198" i="7"/>
  <c r="M198" i="7"/>
  <c r="K198" i="7"/>
  <c r="B198" i="7" s="1"/>
  <c r="I198" i="7"/>
  <c r="G198" i="7"/>
  <c r="F198" i="7"/>
  <c r="Q197" i="7"/>
  <c r="P262" i="7" s="1"/>
  <c r="P197" i="7"/>
  <c r="O197" i="7"/>
  <c r="M197" i="7"/>
  <c r="K197" i="7"/>
  <c r="J262" i="7" s="1"/>
  <c r="I197" i="7"/>
  <c r="H262" i="7" s="1"/>
  <c r="G197" i="7"/>
  <c r="F197" i="7"/>
  <c r="B197" i="7"/>
  <c r="Q196" i="7"/>
  <c r="O196" i="7"/>
  <c r="P196" i="7" s="1"/>
  <c r="M196" i="7"/>
  <c r="K196" i="7"/>
  <c r="I196" i="7"/>
  <c r="G196" i="7"/>
  <c r="F196" i="7"/>
  <c r="Q195" i="7"/>
  <c r="P260" i="7" s="1"/>
  <c r="P195" i="7"/>
  <c r="O260" i="7" s="1"/>
  <c r="O195" i="7"/>
  <c r="N260" i="7" s="1"/>
  <c r="N195" i="7"/>
  <c r="M195" i="7"/>
  <c r="K195" i="7"/>
  <c r="I195" i="7"/>
  <c r="G195" i="7"/>
  <c r="F195" i="7"/>
  <c r="Q194" i="7"/>
  <c r="P194" i="7"/>
  <c r="O194" i="7"/>
  <c r="M194" i="7"/>
  <c r="K194" i="7"/>
  <c r="I194" i="7"/>
  <c r="G194" i="7"/>
  <c r="F194" i="7"/>
  <c r="Q193" i="7"/>
  <c r="O193" i="7"/>
  <c r="M193" i="7"/>
  <c r="K193" i="7"/>
  <c r="J258" i="7" s="1"/>
  <c r="I193" i="7"/>
  <c r="H258" i="7" s="1"/>
  <c r="H193" i="7"/>
  <c r="G193" i="7"/>
  <c r="F193" i="7"/>
  <c r="Q192" i="7"/>
  <c r="O192" i="7"/>
  <c r="M192" i="7"/>
  <c r="L257" i="7" s="1"/>
  <c r="K192" i="7"/>
  <c r="I192" i="7"/>
  <c r="H257" i="7" s="1"/>
  <c r="G192" i="7"/>
  <c r="F192" i="7"/>
  <c r="Q191" i="7"/>
  <c r="O191" i="7"/>
  <c r="N191" i="7"/>
  <c r="M256" i="7" s="1"/>
  <c r="M191" i="7"/>
  <c r="K191" i="7"/>
  <c r="I191" i="7"/>
  <c r="G191" i="7"/>
  <c r="H191" i="7" s="1"/>
  <c r="F191" i="7"/>
  <c r="Q190" i="7"/>
  <c r="O190" i="7"/>
  <c r="M190" i="7"/>
  <c r="L255" i="7" s="1"/>
  <c r="L190" i="7"/>
  <c r="K190" i="7"/>
  <c r="I190" i="7"/>
  <c r="G190" i="7"/>
  <c r="F190" i="7"/>
  <c r="Q189" i="7"/>
  <c r="P189" i="7"/>
  <c r="O189" i="7"/>
  <c r="M189" i="7"/>
  <c r="N189" i="7" s="1"/>
  <c r="K189" i="7"/>
  <c r="I189" i="7"/>
  <c r="H254" i="7" s="1"/>
  <c r="G189" i="7"/>
  <c r="F189" i="7"/>
  <c r="Q188" i="7"/>
  <c r="O188" i="7"/>
  <c r="P188" i="7" s="1"/>
  <c r="N188" i="7"/>
  <c r="M188" i="7"/>
  <c r="K188" i="7"/>
  <c r="I188" i="7"/>
  <c r="G188" i="7"/>
  <c r="F188" i="7"/>
  <c r="Q187" i="7"/>
  <c r="O187" i="7"/>
  <c r="P187" i="7" s="1"/>
  <c r="O252" i="7" s="1"/>
  <c r="M187" i="7"/>
  <c r="K187" i="7"/>
  <c r="I187" i="7"/>
  <c r="H187" i="7"/>
  <c r="G187" i="7"/>
  <c r="F252" i="7" s="1"/>
  <c r="F187" i="7"/>
  <c r="Q186" i="7"/>
  <c r="P186" i="7"/>
  <c r="O186" i="7"/>
  <c r="N251" i="7" s="1"/>
  <c r="M186" i="7"/>
  <c r="L251" i="7" s="1"/>
  <c r="K186" i="7"/>
  <c r="I186" i="7"/>
  <c r="G186" i="7"/>
  <c r="F186" i="7"/>
  <c r="B186" i="7"/>
  <c r="Q185" i="7"/>
  <c r="P250" i="7" s="1"/>
  <c r="O185" i="7"/>
  <c r="N250" i="7" s="1"/>
  <c r="N185" i="7"/>
  <c r="M185" i="7"/>
  <c r="K185" i="7"/>
  <c r="I185" i="7"/>
  <c r="G185" i="7"/>
  <c r="F185" i="7"/>
  <c r="Q184" i="7"/>
  <c r="O184" i="7"/>
  <c r="P184" i="7" s="1"/>
  <c r="O249" i="7" s="1"/>
  <c r="M184" i="7"/>
  <c r="K184" i="7"/>
  <c r="I184" i="7"/>
  <c r="G184" i="7"/>
  <c r="F184" i="7"/>
  <c r="Q183" i="7"/>
  <c r="P248" i="7" s="1"/>
  <c r="O183" i="7"/>
  <c r="M183" i="7"/>
  <c r="K183" i="7"/>
  <c r="I183" i="7"/>
  <c r="G183" i="7"/>
  <c r="F183" i="7"/>
  <c r="Q182" i="7"/>
  <c r="O182" i="7"/>
  <c r="M182" i="7"/>
  <c r="K182" i="7"/>
  <c r="I182" i="7"/>
  <c r="G182" i="7"/>
  <c r="F182" i="7"/>
  <c r="Q181" i="7"/>
  <c r="O181" i="7"/>
  <c r="N181" i="7"/>
  <c r="M246" i="7" s="1"/>
  <c r="M181" i="7"/>
  <c r="K181" i="7"/>
  <c r="I181" i="7"/>
  <c r="G181" i="7"/>
  <c r="F181" i="7"/>
  <c r="Q180" i="7"/>
  <c r="O180" i="7"/>
  <c r="M180" i="7"/>
  <c r="K180" i="7"/>
  <c r="L180" i="7" s="1"/>
  <c r="J180" i="7"/>
  <c r="I245" i="7" s="1"/>
  <c r="I180" i="7"/>
  <c r="G180" i="7"/>
  <c r="F180" i="7"/>
  <c r="Q179" i="7"/>
  <c r="P179" i="7"/>
  <c r="O179" i="7"/>
  <c r="M179" i="7"/>
  <c r="K179" i="7"/>
  <c r="I179" i="7"/>
  <c r="G179" i="7"/>
  <c r="F179" i="7"/>
  <c r="Q178" i="7"/>
  <c r="O178" i="7"/>
  <c r="M178" i="7"/>
  <c r="K178" i="7"/>
  <c r="I178" i="7"/>
  <c r="H243" i="7" s="1"/>
  <c r="H178" i="7"/>
  <c r="G178" i="7"/>
  <c r="F243" i="7" s="1"/>
  <c r="F178" i="7"/>
  <c r="Q177" i="7"/>
  <c r="P177" i="7"/>
  <c r="O177" i="7"/>
  <c r="M177" i="7"/>
  <c r="K177" i="7"/>
  <c r="L177" i="7" s="1"/>
  <c r="K242" i="7" s="1"/>
  <c r="J177" i="7"/>
  <c r="I177" i="7"/>
  <c r="G177" i="7"/>
  <c r="F177" i="7"/>
  <c r="Q176" i="7"/>
  <c r="P241" i="7" s="1"/>
  <c r="O176" i="7"/>
  <c r="M176" i="7"/>
  <c r="K176" i="7"/>
  <c r="L176" i="7" s="1"/>
  <c r="I176" i="7"/>
  <c r="G176" i="7"/>
  <c r="F176" i="7"/>
  <c r="Q175" i="7"/>
  <c r="O175" i="7"/>
  <c r="P175" i="7" s="1"/>
  <c r="M175" i="7"/>
  <c r="K175" i="7"/>
  <c r="I175" i="7"/>
  <c r="G175" i="7"/>
  <c r="F240" i="7" s="1"/>
  <c r="F175" i="7"/>
  <c r="Q174" i="7"/>
  <c r="O174" i="7"/>
  <c r="N239" i="7" s="1"/>
  <c r="M174" i="7"/>
  <c r="L239" i="7" s="1"/>
  <c r="K174" i="7"/>
  <c r="I174" i="7"/>
  <c r="G174" i="7"/>
  <c r="F174" i="7"/>
  <c r="Q173" i="7"/>
  <c r="P238" i="7" s="1"/>
  <c r="P173" i="7"/>
  <c r="O173" i="7"/>
  <c r="M173" i="7"/>
  <c r="K173" i="7"/>
  <c r="I173" i="7"/>
  <c r="H173" i="7"/>
  <c r="G173" i="7"/>
  <c r="F238" i="7" s="1"/>
  <c r="F173" i="7"/>
  <c r="Q172" i="7"/>
  <c r="O172" i="7"/>
  <c r="P172" i="7" s="1"/>
  <c r="M172" i="7"/>
  <c r="L237" i="7" s="1"/>
  <c r="K172" i="7"/>
  <c r="I172" i="7"/>
  <c r="G172" i="7"/>
  <c r="F172" i="7"/>
  <c r="Q171" i="7"/>
  <c r="O171" i="7"/>
  <c r="N236" i="7" s="1"/>
  <c r="M171" i="7"/>
  <c r="L236" i="7" s="1"/>
  <c r="K171" i="7"/>
  <c r="L171" i="7" s="1"/>
  <c r="J171" i="7"/>
  <c r="I171" i="7"/>
  <c r="G171" i="7"/>
  <c r="F171" i="7"/>
  <c r="Q170" i="7"/>
  <c r="O170" i="7"/>
  <c r="M170" i="7"/>
  <c r="K170" i="7"/>
  <c r="I170" i="7"/>
  <c r="G170" i="7"/>
  <c r="F170" i="7"/>
  <c r="Q169" i="7"/>
  <c r="P234" i="7" s="1"/>
  <c r="O169" i="7"/>
  <c r="N169" i="7"/>
  <c r="M234" i="7" s="1"/>
  <c r="M169" i="7"/>
  <c r="K169" i="7"/>
  <c r="L169" i="7" s="1"/>
  <c r="K234" i="7" s="1"/>
  <c r="J169" i="7"/>
  <c r="I169" i="7"/>
  <c r="G169" i="7"/>
  <c r="F169" i="7"/>
  <c r="Q168" i="7"/>
  <c r="P233" i="7" s="1"/>
  <c r="P168" i="7"/>
  <c r="O168" i="7"/>
  <c r="M168" i="7"/>
  <c r="K168" i="7"/>
  <c r="I168" i="7"/>
  <c r="I202" i="7" s="1"/>
  <c r="G168" i="7"/>
  <c r="F168" i="7"/>
  <c r="Q167" i="7"/>
  <c r="O167" i="7"/>
  <c r="M167" i="7"/>
  <c r="K167" i="7"/>
  <c r="I167" i="7"/>
  <c r="G167" i="7"/>
  <c r="F232" i="7" s="1"/>
  <c r="F167" i="7"/>
  <c r="B167" i="7"/>
  <c r="Q166" i="7"/>
  <c r="O166" i="7"/>
  <c r="M166" i="7"/>
  <c r="L231" i="7" s="1"/>
  <c r="K166" i="7"/>
  <c r="J166" i="7"/>
  <c r="I231" i="7" s="1"/>
  <c r="I166" i="7"/>
  <c r="H231" i="7" s="1"/>
  <c r="G166" i="7"/>
  <c r="H166" i="7" s="1"/>
  <c r="F166" i="7"/>
  <c r="B166" i="7"/>
  <c r="Q165" i="7"/>
  <c r="P165" i="7"/>
  <c r="O165" i="7"/>
  <c r="M165" i="7"/>
  <c r="K165" i="7"/>
  <c r="I165" i="7"/>
  <c r="J165" i="7" s="1"/>
  <c r="G165" i="7"/>
  <c r="F165" i="7"/>
  <c r="B165" i="7"/>
  <c r="Q164" i="7"/>
  <c r="P229" i="7" s="1"/>
  <c r="P164" i="7"/>
  <c r="O164" i="7"/>
  <c r="M164" i="7"/>
  <c r="K164" i="7"/>
  <c r="I164" i="7"/>
  <c r="H229" i="7" s="1"/>
  <c r="G164" i="7"/>
  <c r="F164" i="7"/>
  <c r="Q163" i="7"/>
  <c r="O163" i="7"/>
  <c r="P163" i="7" s="1"/>
  <c r="M163" i="7"/>
  <c r="K163" i="7"/>
  <c r="J228" i="7" s="1"/>
  <c r="I163" i="7"/>
  <c r="H228" i="7" s="1"/>
  <c r="G163" i="7"/>
  <c r="F228" i="7" s="1"/>
  <c r="F163" i="7"/>
  <c r="B163" i="7"/>
  <c r="Q162" i="7"/>
  <c r="O162" i="7"/>
  <c r="M162" i="7"/>
  <c r="K162" i="7"/>
  <c r="I162" i="7"/>
  <c r="G162" i="7"/>
  <c r="F227" i="7" s="1"/>
  <c r="F162" i="7"/>
  <c r="B162" i="7"/>
  <c r="Q161" i="7"/>
  <c r="O161" i="7"/>
  <c r="M161" i="7"/>
  <c r="K161" i="7"/>
  <c r="J226" i="7" s="1"/>
  <c r="J161" i="7"/>
  <c r="I161" i="7"/>
  <c r="H161" i="7"/>
  <c r="G226" i="7" s="1"/>
  <c r="G161" i="7"/>
  <c r="F161" i="7"/>
  <c r="Q160" i="7"/>
  <c r="P225" i="7" s="1"/>
  <c r="O160" i="7"/>
  <c r="M160" i="7"/>
  <c r="L160" i="7"/>
  <c r="K160" i="7"/>
  <c r="J160" i="7"/>
  <c r="I160" i="7"/>
  <c r="G160" i="7"/>
  <c r="F225" i="7" s="1"/>
  <c r="F160" i="7"/>
  <c r="Q159" i="7"/>
  <c r="P159" i="7"/>
  <c r="O224" i="7" s="1"/>
  <c r="O159" i="7"/>
  <c r="M159" i="7"/>
  <c r="K159" i="7"/>
  <c r="J159" i="7"/>
  <c r="I224" i="7" s="1"/>
  <c r="I159" i="7"/>
  <c r="G159" i="7"/>
  <c r="H159" i="7" s="1"/>
  <c r="G224" i="7" s="1"/>
  <c r="F159" i="7"/>
  <c r="Q158" i="7"/>
  <c r="P158" i="7"/>
  <c r="O158" i="7"/>
  <c r="M158" i="7"/>
  <c r="L158" i="7"/>
  <c r="K158" i="7"/>
  <c r="I158" i="7"/>
  <c r="G158" i="7"/>
  <c r="F158" i="7"/>
  <c r="Q157" i="7"/>
  <c r="O157" i="7"/>
  <c r="M157" i="7"/>
  <c r="K157" i="7"/>
  <c r="I157" i="7"/>
  <c r="G157" i="7"/>
  <c r="F222" i="7" s="1"/>
  <c r="F157" i="7"/>
  <c r="R156" i="7"/>
  <c r="Q221" i="7" s="1"/>
  <c r="Q156" i="7"/>
  <c r="O156" i="7"/>
  <c r="M156" i="7"/>
  <c r="L221" i="7" s="1"/>
  <c r="K156" i="7"/>
  <c r="J156" i="7"/>
  <c r="I156" i="7"/>
  <c r="G156" i="7"/>
  <c r="F156" i="7"/>
  <c r="Q155" i="7"/>
  <c r="R155" i="7" s="1"/>
  <c r="O155" i="7"/>
  <c r="N220" i="7" s="1"/>
  <c r="N155" i="7"/>
  <c r="M155" i="7"/>
  <c r="K155" i="7"/>
  <c r="J155" i="7"/>
  <c r="I155" i="7"/>
  <c r="G155" i="7"/>
  <c r="F155" i="7"/>
  <c r="Q154" i="7"/>
  <c r="O154" i="7"/>
  <c r="M154" i="7"/>
  <c r="K154" i="7"/>
  <c r="J154" i="7"/>
  <c r="I154" i="7"/>
  <c r="H154" i="7"/>
  <c r="G219" i="7" s="1"/>
  <c r="G154" i="7"/>
  <c r="F154" i="7"/>
  <c r="Q153" i="7"/>
  <c r="O153" i="7"/>
  <c r="M153" i="7"/>
  <c r="L218" i="7" s="1"/>
  <c r="K153" i="7"/>
  <c r="I153" i="7"/>
  <c r="G153" i="7"/>
  <c r="F218" i="7" s="1"/>
  <c r="F153" i="7"/>
  <c r="Q152" i="7"/>
  <c r="P217" i="7" s="1"/>
  <c r="O152" i="7"/>
  <c r="N152" i="7"/>
  <c r="M152" i="7"/>
  <c r="K152" i="7"/>
  <c r="I152" i="7"/>
  <c r="J152" i="7" s="1"/>
  <c r="G152" i="7"/>
  <c r="F217" i="7" s="1"/>
  <c r="F152" i="7"/>
  <c r="Q151" i="7"/>
  <c r="O151" i="7"/>
  <c r="M151" i="7"/>
  <c r="N151" i="7" s="1"/>
  <c r="M216" i="7" s="1"/>
  <c r="L151" i="7"/>
  <c r="K216" i="7" s="1"/>
  <c r="K151" i="7"/>
  <c r="J151" i="7"/>
  <c r="I151" i="7"/>
  <c r="H151" i="7"/>
  <c r="G151" i="7"/>
  <c r="F151" i="7"/>
  <c r="Q150" i="7"/>
  <c r="R150" i="7" s="1"/>
  <c r="O150" i="7"/>
  <c r="N215" i="7" s="1"/>
  <c r="M150" i="7"/>
  <c r="K150" i="7"/>
  <c r="I150" i="7"/>
  <c r="H150" i="7"/>
  <c r="G215" i="7" s="1"/>
  <c r="G150" i="7"/>
  <c r="F150" i="7"/>
  <c r="Q149" i="7"/>
  <c r="P214" i="7" s="1"/>
  <c r="P149" i="7"/>
  <c r="O149" i="7"/>
  <c r="M149" i="7"/>
  <c r="K149" i="7"/>
  <c r="J214" i="7" s="1"/>
  <c r="I149" i="7"/>
  <c r="H214" i="7" s="1"/>
  <c r="G149" i="7"/>
  <c r="F149" i="7"/>
  <c r="Q148" i="7"/>
  <c r="O148" i="7"/>
  <c r="M148" i="7"/>
  <c r="K148" i="7"/>
  <c r="I148" i="7"/>
  <c r="H148" i="7"/>
  <c r="G148" i="7"/>
  <c r="F148" i="7"/>
  <c r="Q147" i="7"/>
  <c r="P212" i="7" s="1"/>
  <c r="O147" i="7"/>
  <c r="N147" i="7"/>
  <c r="M147" i="7"/>
  <c r="K147" i="7"/>
  <c r="I147" i="7"/>
  <c r="G147" i="7"/>
  <c r="F147" i="7"/>
  <c r="Q146" i="7"/>
  <c r="P211" i="7" s="1"/>
  <c r="P146" i="7"/>
  <c r="O211" i="7" s="1"/>
  <c r="O146" i="7"/>
  <c r="M146" i="7"/>
  <c r="K146" i="7"/>
  <c r="I146" i="7"/>
  <c r="G146" i="7"/>
  <c r="F146" i="7"/>
  <c r="Q145" i="7"/>
  <c r="O145" i="7"/>
  <c r="P145" i="7" s="1"/>
  <c r="O210" i="7" s="1"/>
  <c r="N145" i="7"/>
  <c r="M210" i="7" s="1"/>
  <c r="M145" i="7"/>
  <c r="K145" i="7"/>
  <c r="I145" i="7"/>
  <c r="G145" i="7"/>
  <c r="F210" i="7" s="1"/>
  <c r="F145" i="7"/>
  <c r="Q144" i="7"/>
  <c r="P209" i="7" s="1"/>
  <c r="P144" i="7"/>
  <c r="O144" i="7"/>
  <c r="M144" i="7"/>
  <c r="K144" i="7"/>
  <c r="I144" i="7"/>
  <c r="G144" i="7"/>
  <c r="F144" i="7"/>
  <c r="Q143" i="7"/>
  <c r="P143" i="7"/>
  <c r="O143" i="7"/>
  <c r="M143" i="7"/>
  <c r="N143" i="7" s="1"/>
  <c r="M208" i="7" s="1"/>
  <c r="K143" i="7"/>
  <c r="I143" i="7"/>
  <c r="H143" i="7"/>
  <c r="G143" i="7"/>
  <c r="F143" i="7"/>
  <c r="Q142" i="7"/>
  <c r="O142" i="7"/>
  <c r="P142" i="7" s="1"/>
  <c r="M142" i="7"/>
  <c r="K142" i="7"/>
  <c r="I142" i="7"/>
  <c r="G142" i="7"/>
  <c r="F142" i="7"/>
  <c r="Q141" i="7"/>
  <c r="P141" i="7"/>
  <c r="O141" i="7"/>
  <c r="M141" i="7"/>
  <c r="K141" i="7"/>
  <c r="I141" i="7"/>
  <c r="G141" i="7"/>
  <c r="F141" i="7"/>
  <c r="O136" i="7"/>
  <c r="N136" i="7"/>
  <c r="M136" i="7"/>
  <c r="K136" i="7"/>
  <c r="I136" i="7"/>
  <c r="G136" i="7"/>
  <c r="H136" i="7" s="1"/>
  <c r="F136" i="7"/>
  <c r="O135" i="7"/>
  <c r="M135" i="7"/>
  <c r="K135" i="7"/>
  <c r="J135" i="7"/>
  <c r="K265" i="7" s="1"/>
  <c r="I135" i="7"/>
  <c r="G135" i="7"/>
  <c r="B135" i="7" s="1"/>
  <c r="F135" i="7"/>
  <c r="O134" i="7"/>
  <c r="P264" i="7" s="1"/>
  <c r="N134" i="7"/>
  <c r="O264" i="7" s="1"/>
  <c r="M134" i="7"/>
  <c r="K134" i="7"/>
  <c r="J134" i="7"/>
  <c r="I134" i="7"/>
  <c r="G134" i="7"/>
  <c r="F134" i="7"/>
  <c r="O133" i="7"/>
  <c r="N133" i="7"/>
  <c r="M133" i="7"/>
  <c r="K133" i="7"/>
  <c r="L133" i="7" s="1"/>
  <c r="I133" i="7"/>
  <c r="H133" i="7"/>
  <c r="G133" i="7"/>
  <c r="F133" i="7"/>
  <c r="O132" i="7"/>
  <c r="M132" i="7"/>
  <c r="N132" i="7" s="1"/>
  <c r="O262" i="7" s="1"/>
  <c r="K132" i="7"/>
  <c r="L262" i="7" s="1"/>
  <c r="I132" i="7"/>
  <c r="G132" i="7"/>
  <c r="H132" i="7" s="1"/>
  <c r="F132" i="7"/>
  <c r="O131" i="7"/>
  <c r="P261" i="7" s="1"/>
  <c r="M131" i="7"/>
  <c r="N261" i="7" s="1"/>
  <c r="K131" i="7"/>
  <c r="I131" i="7"/>
  <c r="H131" i="7"/>
  <c r="G131" i="7"/>
  <c r="F131" i="7"/>
  <c r="O130" i="7"/>
  <c r="N130" i="7"/>
  <c r="M130" i="7"/>
  <c r="K130" i="7"/>
  <c r="L130" i="7" s="1"/>
  <c r="Q130" i="7" s="1"/>
  <c r="I130" i="7"/>
  <c r="G130" i="7"/>
  <c r="F130" i="7"/>
  <c r="B130" i="7"/>
  <c r="O129" i="7"/>
  <c r="N129" i="7"/>
  <c r="M129" i="7"/>
  <c r="K129" i="7"/>
  <c r="I129" i="7"/>
  <c r="G129" i="7"/>
  <c r="F129" i="7"/>
  <c r="O128" i="7"/>
  <c r="P258" i="7" s="1"/>
  <c r="M128" i="7"/>
  <c r="N128" i="7" s="1"/>
  <c r="L128" i="7"/>
  <c r="K128" i="7"/>
  <c r="I128" i="7"/>
  <c r="G128" i="7"/>
  <c r="H128" i="7" s="1"/>
  <c r="F128" i="7"/>
  <c r="O127" i="7"/>
  <c r="P257" i="7" s="1"/>
  <c r="N127" i="7"/>
  <c r="M127" i="7"/>
  <c r="L127" i="7"/>
  <c r="K127" i="7"/>
  <c r="I127" i="7"/>
  <c r="H127" i="7"/>
  <c r="G127" i="7"/>
  <c r="F127" i="7"/>
  <c r="O126" i="7"/>
  <c r="N126" i="7"/>
  <c r="M126" i="7"/>
  <c r="K126" i="7"/>
  <c r="L126" i="7" s="1"/>
  <c r="J126" i="7"/>
  <c r="I126" i="7"/>
  <c r="G126" i="7"/>
  <c r="B126" i="7" s="1"/>
  <c r="F126" i="7"/>
  <c r="O125" i="7"/>
  <c r="N125" i="7"/>
  <c r="M125" i="7"/>
  <c r="K125" i="7"/>
  <c r="I125" i="7"/>
  <c r="G125" i="7"/>
  <c r="F125" i="7"/>
  <c r="O124" i="7"/>
  <c r="B124" i="7" s="1"/>
  <c r="N124" i="7"/>
  <c r="Q124" i="7" s="1"/>
  <c r="M124" i="7"/>
  <c r="L124" i="7"/>
  <c r="K124" i="7"/>
  <c r="I124" i="7"/>
  <c r="J124" i="7" s="1"/>
  <c r="H124" i="7"/>
  <c r="G124" i="7"/>
  <c r="F124" i="7"/>
  <c r="O123" i="7"/>
  <c r="N123" i="7"/>
  <c r="M123" i="7"/>
  <c r="N253" i="7" s="1"/>
  <c r="K123" i="7"/>
  <c r="L253" i="7" s="1"/>
  <c r="I123" i="7"/>
  <c r="H123" i="7"/>
  <c r="G123" i="7"/>
  <c r="F123" i="7"/>
  <c r="O122" i="7"/>
  <c r="N122" i="7"/>
  <c r="M122" i="7"/>
  <c r="K122" i="7"/>
  <c r="L252" i="7" s="1"/>
  <c r="I122" i="7"/>
  <c r="G122" i="7"/>
  <c r="F122" i="7"/>
  <c r="O121" i="7"/>
  <c r="B121" i="7" s="1"/>
  <c r="N121" i="7"/>
  <c r="M121" i="7"/>
  <c r="K121" i="7"/>
  <c r="I121" i="7"/>
  <c r="H121" i="7"/>
  <c r="G121" i="7"/>
  <c r="F121" i="7"/>
  <c r="O120" i="7"/>
  <c r="B120" i="7" s="1"/>
  <c r="N120" i="7"/>
  <c r="M120" i="7"/>
  <c r="L120" i="7"/>
  <c r="K120" i="7"/>
  <c r="J120" i="7"/>
  <c r="I120" i="7"/>
  <c r="H120" i="7"/>
  <c r="Q120" i="7" s="1"/>
  <c r="G120" i="7"/>
  <c r="F120" i="7"/>
  <c r="O119" i="7"/>
  <c r="N119" i="7"/>
  <c r="M119" i="7"/>
  <c r="N249" i="7" s="1"/>
  <c r="L119" i="7"/>
  <c r="K119" i="7"/>
  <c r="I119" i="7"/>
  <c r="J119" i="7" s="1"/>
  <c r="G119" i="7"/>
  <c r="F119" i="7"/>
  <c r="O118" i="7"/>
  <c r="N118" i="7"/>
  <c r="M118" i="7"/>
  <c r="K118" i="7"/>
  <c r="L118" i="7" s="1"/>
  <c r="I118" i="7"/>
  <c r="J118" i="7" s="1"/>
  <c r="G118" i="7"/>
  <c r="F118" i="7"/>
  <c r="O117" i="7"/>
  <c r="M117" i="7"/>
  <c r="N117" i="7" s="1"/>
  <c r="K117" i="7"/>
  <c r="L117" i="7" s="1"/>
  <c r="I117" i="7"/>
  <c r="J117" i="7" s="1"/>
  <c r="H117" i="7"/>
  <c r="G117" i="7"/>
  <c r="F117" i="7"/>
  <c r="O116" i="7"/>
  <c r="P246" i="7" s="1"/>
  <c r="M116" i="7"/>
  <c r="N116" i="7" s="1"/>
  <c r="K116" i="7"/>
  <c r="L116" i="7" s="1"/>
  <c r="I116" i="7"/>
  <c r="J246" i="7" s="1"/>
  <c r="G116" i="7"/>
  <c r="F116" i="7"/>
  <c r="B116" i="7"/>
  <c r="Q115" i="7"/>
  <c r="O115" i="7"/>
  <c r="M115" i="7"/>
  <c r="N115" i="7" s="1"/>
  <c r="K115" i="7"/>
  <c r="L115" i="7" s="1"/>
  <c r="J115" i="7"/>
  <c r="I115" i="7"/>
  <c r="G115" i="7"/>
  <c r="H245" i="7" s="1"/>
  <c r="F115" i="7"/>
  <c r="B115" i="7"/>
  <c r="O114" i="7"/>
  <c r="M114" i="7"/>
  <c r="N114" i="7" s="1"/>
  <c r="L114" i="7"/>
  <c r="K114" i="7"/>
  <c r="L244" i="7" s="1"/>
  <c r="J114" i="7"/>
  <c r="I114" i="7"/>
  <c r="G114" i="7"/>
  <c r="B114" i="7" s="1"/>
  <c r="F114" i="7"/>
  <c r="O113" i="7"/>
  <c r="N113" i="7"/>
  <c r="M113" i="7"/>
  <c r="K113" i="7"/>
  <c r="J113" i="7"/>
  <c r="I113" i="7"/>
  <c r="H113" i="7"/>
  <c r="G113" i="7"/>
  <c r="F113" i="7"/>
  <c r="O112" i="7"/>
  <c r="N112" i="7"/>
  <c r="M112" i="7"/>
  <c r="K112" i="7"/>
  <c r="L112" i="7" s="1"/>
  <c r="I112" i="7"/>
  <c r="J112" i="7" s="1"/>
  <c r="H112" i="7"/>
  <c r="G112" i="7"/>
  <c r="F112" i="7"/>
  <c r="O111" i="7"/>
  <c r="M111" i="7"/>
  <c r="N111" i="7" s="1"/>
  <c r="K111" i="7"/>
  <c r="L241" i="7" s="1"/>
  <c r="I111" i="7"/>
  <c r="J111" i="7" s="1"/>
  <c r="K241" i="7" s="1"/>
  <c r="H111" i="7"/>
  <c r="G111" i="7"/>
  <c r="F111" i="7"/>
  <c r="O110" i="7"/>
  <c r="P240" i="7" s="1"/>
  <c r="M110" i="7"/>
  <c r="N110" i="7" s="1"/>
  <c r="K110" i="7"/>
  <c r="L240" i="7" s="1"/>
  <c r="I110" i="7"/>
  <c r="J110" i="7" s="1"/>
  <c r="G110" i="7"/>
  <c r="B110" i="7" s="1"/>
  <c r="F110" i="7"/>
  <c r="O109" i="7"/>
  <c r="M109" i="7"/>
  <c r="N109" i="7" s="1"/>
  <c r="K109" i="7"/>
  <c r="I109" i="7"/>
  <c r="H109" i="7"/>
  <c r="G109" i="7"/>
  <c r="F109" i="7"/>
  <c r="O108" i="7"/>
  <c r="M108" i="7"/>
  <c r="N108" i="7" s="1"/>
  <c r="K108" i="7"/>
  <c r="B108" i="7" s="1"/>
  <c r="J108" i="7"/>
  <c r="I108" i="7"/>
  <c r="G108" i="7"/>
  <c r="F108" i="7"/>
  <c r="O107" i="7"/>
  <c r="P237" i="7" s="1"/>
  <c r="M107" i="7"/>
  <c r="L107" i="7"/>
  <c r="K107" i="7"/>
  <c r="I107" i="7"/>
  <c r="G107" i="7"/>
  <c r="F107" i="7"/>
  <c r="O106" i="7"/>
  <c r="P236" i="7" s="1"/>
  <c r="N106" i="7"/>
  <c r="M106" i="7"/>
  <c r="K106" i="7"/>
  <c r="I106" i="7"/>
  <c r="J106" i="7" s="1"/>
  <c r="H106" i="7"/>
  <c r="Q106" i="7" s="1"/>
  <c r="G106" i="7"/>
  <c r="F106" i="7"/>
  <c r="O105" i="7"/>
  <c r="N105" i="7"/>
  <c r="M105" i="7"/>
  <c r="K105" i="7"/>
  <c r="L105" i="7" s="1"/>
  <c r="I105" i="7"/>
  <c r="J105" i="7" s="1"/>
  <c r="G105" i="7"/>
  <c r="F105" i="7"/>
  <c r="O104" i="7"/>
  <c r="M104" i="7"/>
  <c r="N104" i="7" s="1"/>
  <c r="L104" i="7"/>
  <c r="K104" i="7"/>
  <c r="J104" i="7"/>
  <c r="I104" i="7"/>
  <c r="J234" i="7" s="1"/>
  <c r="H104" i="7"/>
  <c r="G104" i="7"/>
  <c r="F104" i="7"/>
  <c r="O103" i="7"/>
  <c r="M103" i="7"/>
  <c r="N103" i="7" s="1"/>
  <c r="L103" i="7"/>
  <c r="K103" i="7"/>
  <c r="J103" i="7"/>
  <c r="I103" i="7"/>
  <c r="H103" i="7"/>
  <c r="G103" i="7"/>
  <c r="F103" i="7"/>
  <c r="O102" i="7"/>
  <c r="M102" i="7"/>
  <c r="N102" i="7" s="1"/>
  <c r="K102" i="7"/>
  <c r="L232" i="7" s="1"/>
  <c r="J102" i="7"/>
  <c r="I102" i="7"/>
  <c r="H102" i="7"/>
  <c r="G102" i="7"/>
  <c r="F102" i="7"/>
  <c r="O101" i="7"/>
  <c r="M101" i="7"/>
  <c r="N101" i="7" s="1"/>
  <c r="L101" i="7"/>
  <c r="K101" i="7"/>
  <c r="I101" i="7"/>
  <c r="B101" i="7" s="1"/>
  <c r="H101" i="7"/>
  <c r="G101" i="7"/>
  <c r="F101" i="7"/>
  <c r="O100" i="7"/>
  <c r="N100" i="7"/>
  <c r="M100" i="7"/>
  <c r="K100" i="7"/>
  <c r="I100" i="7"/>
  <c r="H100" i="7"/>
  <c r="G100" i="7"/>
  <c r="F100" i="7"/>
  <c r="B100" i="7"/>
  <c r="Q99" i="7"/>
  <c r="O99" i="7"/>
  <c r="M99" i="7"/>
  <c r="N99" i="7" s="1"/>
  <c r="K99" i="7"/>
  <c r="L229" i="7" s="1"/>
  <c r="I99" i="7"/>
  <c r="J99" i="7" s="1"/>
  <c r="H99" i="7"/>
  <c r="G99" i="7"/>
  <c r="F99" i="7"/>
  <c r="O98" i="7"/>
  <c r="P228" i="7" s="1"/>
  <c r="N98" i="7"/>
  <c r="O228" i="7" s="1"/>
  <c r="M98" i="7"/>
  <c r="K98" i="7"/>
  <c r="I98" i="7"/>
  <c r="G98" i="7"/>
  <c r="F98" i="7"/>
  <c r="P97" i="7"/>
  <c r="Q227" i="7" s="1"/>
  <c r="O97" i="7"/>
  <c r="M97" i="7"/>
  <c r="N97" i="7" s="1"/>
  <c r="L97" i="7"/>
  <c r="K97" i="7"/>
  <c r="I97" i="7"/>
  <c r="J227" i="7" s="1"/>
  <c r="G97" i="7"/>
  <c r="H97" i="7" s="1"/>
  <c r="F97" i="7"/>
  <c r="O96" i="7"/>
  <c r="M96" i="7"/>
  <c r="B96" i="7" s="1"/>
  <c r="K96" i="7"/>
  <c r="J96" i="7"/>
  <c r="I96" i="7"/>
  <c r="G96" i="7"/>
  <c r="H96" i="7" s="1"/>
  <c r="F96" i="7"/>
  <c r="P95" i="7"/>
  <c r="O95" i="7"/>
  <c r="M95" i="7"/>
  <c r="N95" i="7" s="1"/>
  <c r="K95" i="7"/>
  <c r="L95" i="7" s="1"/>
  <c r="J95" i="7"/>
  <c r="I95" i="7"/>
  <c r="H95" i="7"/>
  <c r="G95" i="7"/>
  <c r="F95" i="7"/>
  <c r="B95" i="7"/>
  <c r="O94" i="7"/>
  <c r="P94" i="7" s="1"/>
  <c r="Q94" i="7" s="1"/>
  <c r="N94" i="7"/>
  <c r="M94" i="7"/>
  <c r="L94" i="7"/>
  <c r="K94" i="7"/>
  <c r="I94" i="7"/>
  <c r="G94" i="7"/>
  <c r="H94" i="7" s="1"/>
  <c r="F94" i="7"/>
  <c r="O93" i="7"/>
  <c r="P93" i="7" s="1"/>
  <c r="M93" i="7"/>
  <c r="B93" i="7" s="1"/>
  <c r="K93" i="7"/>
  <c r="I93" i="7"/>
  <c r="G93" i="7"/>
  <c r="H93" i="7" s="1"/>
  <c r="F93" i="7"/>
  <c r="O92" i="7"/>
  <c r="B92" i="7" s="1"/>
  <c r="N92" i="7"/>
  <c r="M92" i="7"/>
  <c r="K92" i="7"/>
  <c r="I92" i="7"/>
  <c r="J222" i="7" s="1"/>
  <c r="H92" i="7"/>
  <c r="G92" i="7"/>
  <c r="F92" i="7"/>
  <c r="O91" i="7"/>
  <c r="M91" i="7"/>
  <c r="K91" i="7"/>
  <c r="L91" i="7" s="1"/>
  <c r="I91" i="7"/>
  <c r="G91" i="7"/>
  <c r="F91" i="7"/>
  <c r="O90" i="7"/>
  <c r="M90" i="7"/>
  <c r="K90" i="7"/>
  <c r="I90" i="7"/>
  <c r="J90" i="7" s="1"/>
  <c r="G90" i="7"/>
  <c r="H90" i="7" s="1"/>
  <c r="I220" i="7" s="1"/>
  <c r="F90" i="7"/>
  <c r="O89" i="7"/>
  <c r="M89" i="7"/>
  <c r="K89" i="7"/>
  <c r="L89" i="7" s="1"/>
  <c r="I89" i="7"/>
  <c r="J89" i="7" s="1"/>
  <c r="G89" i="7"/>
  <c r="F89" i="7"/>
  <c r="O88" i="7"/>
  <c r="M88" i="7"/>
  <c r="L88" i="7"/>
  <c r="K88" i="7"/>
  <c r="J88" i="7"/>
  <c r="I88" i="7"/>
  <c r="G88" i="7"/>
  <c r="F88" i="7"/>
  <c r="O87" i="7"/>
  <c r="M87" i="7"/>
  <c r="L87" i="7"/>
  <c r="K87" i="7"/>
  <c r="L217" i="7" s="1"/>
  <c r="I87" i="7"/>
  <c r="J87" i="7" s="1"/>
  <c r="G87" i="7"/>
  <c r="B87" i="7" s="1"/>
  <c r="F87" i="7"/>
  <c r="P86" i="7"/>
  <c r="O86" i="7"/>
  <c r="M86" i="7"/>
  <c r="K86" i="7"/>
  <c r="L86" i="7" s="1"/>
  <c r="I86" i="7"/>
  <c r="J86" i="7" s="1"/>
  <c r="G86" i="7"/>
  <c r="H86" i="7" s="1"/>
  <c r="I216" i="7" s="1"/>
  <c r="F86" i="7"/>
  <c r="B86" i="7"/>
  <c r="O85" i="7"/>
  <c r="M85" i="7"/>
  <c r="N85" i="7" s="1"/>
  <c r="K85" i="7"/>
  <c r="L85" i="7" s="1"/>
  <c r="I85" i="7"/>
  <c r="J85" i="7" s="1"/>
  <c r="G85" i="7"/>
  <c r="F85" i="7"/>
  <c r="O84" i="7"/>
  <c r="N84" i="7"/>
  <c r="O214" i="7" s="1"/>
  <c r="M84" i="7"/>
  <c r="N214" i="7" s="1"/>
  <c r="L84" i="7"/>
  <c r="K84" i="7"/>
  <c r="L214" i="7" s="1"/>
  <c r="I84" i="7"/>
  <c r="G84" i="7"/>
  <c r="B84" i="7" s="1"/>
  <c r="F84" i="7"/>
  <c r="O83" i="7"/>
  <c r="M83" i="7"/>
  <c r="N83" i="7" s="1"/>
  <c r="K83" i="7"/>
  <c r="I83" i="7"/>
  <c r="G83" i="7"/>
  <c r="F83" i="7"/>
  <c r="O82" i="7"/>
  <c r="M82" i="7"/>
  <c r="N82" i="7" s="1"/>
  <c r="K82" i="7"/>
  <c r="L82" i="7" s="1"/>
  <c r="J82" i="7"/>
  <c r="I82" i="7"/>
  <c r="G82" i="7"/>
  <c r="F82" i="7"/>
  <c r="O81" i="7"/>
  <c r="M81" i="7"/>
  <c r="N81" i="7" s="1"/>
  <c r="K81" i="7"/>
  <c r="L81" i="7" s="1"/>
  <c r="I81" i="7"/>
  <c r="J81" i="7" s="1"/>
  <c r="G81" i="7"/>
  <c r="B81" i="7" s="1"/>
  <c r="F81" i="7"/>
  <c r="O80" i="7"/>
  <c r="P210" i="7" s="1"/>
  <c r="M80" i="7"/>
  <c r="N80" i="7" s="1"/>
  <c r="K80" i="7"/>
  <c r="L80" i="7" s="1"/>
  <c r="I80" i="7"/>
  <c r="J210" i="7" s="1"/>
  <c r="G80" i="7"/>
  <c r="F80" i="7"/>
  <c r="O79" i="7"/>
  <c r="N79" i="7"/>
  <c r="M79" i="7"/>
  <c r="K79" i="7"/>
  <c r="L79" i="7" s="1"/>
  <c r="I79" i="7"/>
  <c r="G79" i="7"/>
  <c r="F79" i="7"/>
  <c r="O78" i="7"/>
  <c r="N78" i="7"/>
  <c r="M78" i="7"/>
  <c r="K78" i="7"/>
  <c r="L208" i="7" s="1"/>
  <c r="I78" i="7"/>
  <c r="J78" i="7" s="1"/>
  <c r="G78" i="7"/>
  <c r="F78" i="7"/>
  <c r="O77" i="7"/>
  <c r="M77" i="7"/>
  <c r="N77" i="7" s="1"/>
  <c r="K77" i="7"/>
  <c r="J77" i="7"/>
  <c r="I77" i="7"/>
  <c r="G77" i="7"/>
  <c r="F77" i="7"/>
  <c r="O76" i="7"/>
  <c r="M76" i="7"/>
  <c r="K76" i="7"/>
  <c r="I76" i="7"/>
  <c r="H76" i="7"/>
  <c r="G76" i="7"/>
  <c r="H206" i="7" s="1"/>
  <c r="F76" i="7"/>
  <c r="K72" i="7"/>
  <c r="J72" i="7"/>
  <c r="I72" i="7"/>
  <c r="J136" i="7" s="1"/>
  <c r="H72" i="7"/>
  <c r="G72" i="7"/>
  <c r="F72" i="7"/>
  <c r="L71" i="7"/>
  <c r="K71" i="7"/>
  <c r="N135" i="7" s="1"/>
  <c r="J71" i="7"/>
  <c r="I71" i="7"/>
  <c r="L200" i="7" s="1"/>
  <c r="H71" i="7"/>
  <c r="G71" i="7"/>
  <c r="F71" i="7" s="1"/>
  <c r="K70" i="7"/>
  <c r="J70" i="7"/>
  <c r="I70" i="7"/>
  <c r="H70" i="7"/>
  <c r="J199" i="7" s="1"/>
  <c r="G70" i="7"/>
  <c r="F70" i="7"/>
  <c r="K69" i="7"/>
  <c r="J69" i="7"/>
  <c r="I69" i="7"/>
  <c r="J133" i="7" s="1"/>
  <c r="H69" i="7"/>
  <c r="G69" i="7"/>
  <c r="F69" i="7" s="1"/>
  <c r="K68" i="7"/>
  <c r="J68" i="7"/>
  <c r="I68" i="7"/>
  <c r="J132" i="7" s="1"/>
  <c r="H68" i="7"/>
  <c r="G68" i="7"/>
  <c r="F68" i="7" s="1"/>
  <c r="K67" i="7"/>
  <c r="J67" i="7"/>
  <c r="L131" i="7" s="1"/>
  <c r="I67" i="7"/>
  <c r="J131" i="7" s="1"/>
  <c r="H67" i="7"/>
  <c r="G67" i="7"/>
  <c r="F67" i="7" s="1"/>
  <c r="K66" i="7"/>
  <c r="J66" i="7"/>
  <c r="I66" i="7"/>
  <c r="J130" i="7" s="1"/>
  <c r="H66" i="7"/>
  <c r="H130" i="7" s="1"/>
  <c r="G66" i="7"/>
  <c r="F66" i="7"/>
  <c r="K65" i="7"/>
  <c r="J65" i="7"/>
  <c r="L129" i="7" s="1"/>
  <c r="I65" i="7"/>
  <c r="J129" i="7" s="1"/>
  <c r="H65" i="7"/>
  <c r="G65" i="7"/>
  <c r="K64" i="7"/>
  <c r="J64" i="7"/>
  <c r="I64" i="7"/>
  <c r="H64" i="7"/>
  <c r="G64" i="7"/>
  <c r="F64" i="7"/>
  <c r="K63" i="7"/>
  <c r="J63" i="7"/>
  <c r="I63" i="7"/>
  <c r="H63" i="7"/>
  <c r="G63" i="7"/>
  <c r="F63" i="7" s="1"/>
  <c r="K62" i="7"/>
  <c r="J62" i="7"/>
  <c r="I62" i="7"/>
  <c r="H62" i="7"/>
  <c r="G62" i="7"/>
  <c r="F62" i="7"/>
  <c r="K61" i="7"/>
  <c r="J61" i="7"/>
  <c r="L125" i="7" s="1"/>
  <c r="I61" i="7"/>
  <c r="H61" i="7"/>
  <c r="G61" i="7"/>
  <c r="F61" i="7" s="1"/>
  <c r="K60" i="7"/>
  <c r="J60" i="7"/>
  <c r="I60" i="7"/>
  <c r="H60" i="7"/>
  <c r="G60" i="7"/>
  <c r="F60" i="7"/>
  <c r="K59" i="7"/>
  <c r="J59" i="7"/>
  <c r="I59" i="7"/>
  <c r="J123" i="7" s="1"/>
  <c r="H59" i="7"/>
  <c r="G59" i="7"/>
  <c r="K58" i="7"/>
  <c r="J58" i="7"/>
  <c r="I58" i="7"/>
  <c r="H58" i="7"/>
  <c r="G58" i="7"/>
  <c r="F58" i="7"/>
  <c r="K57" i="7"/>
  <c r="J57" i="7"/>
  <c r="I57" i="7"/>
  <c r="H57" i="7"/>
  <c r="G57" i="7"/>
  <c r="F57" i="7" s="1"/>
  <c r="K56" i="7"/>
  <c r="J56" i="7"/>
  <c r="I56" i="7"/>
  <c r="H56" i="7"/>
  <c r="J185" i="7" s="1"/>
  <c r="G56" i="7"/>
  <c r="F56" i="7" s="1"/>
  <c r="K55" i="7"/>
  <c r="J55" i="7"/>
  <c r="N184" i="7" s="1"/>
  <c r="I55" i="7"/>
  <c r="H55" i="7"/>
  <c r="G55" i="7"/>
  <c r="F55" i="7" s="1"/>
  <c r="K54" i="7"/>
  <c r="J54" i="7"/>
  <c r="N183" i="7" s="1"/>
  <c r="I54" i="7"/>
  <c r="H54" i="7"/>
  <c r="J183" i="7" s="1"/>
  <c r="G54" i="7"/>
  <c r="F54" i="7" s="1"/>
  <c r="K53" i="7"/>
  <c r="J53" i="7"/>
  <c r="N182" i="7" s="1"/>
  <c r="I53" i="7"/>
  <c r="H53" i="7"/>
  <c r="G53" i="7"/>
  <c r="K52" i="7"/>
  <c r="J52" i="7"/>
  <c r="I52" i="7"/>
  <c r="L181" i="7" s="1"/>
  <c r="H52" i="7"/>
  <c r="H116" i="7" s="1"/>
  <c r="G52" i="7"/>
  <c r="H181" i="7" s="1"/>
  <c r="F52" i="7"/>
  <c r="K51" i="7"/>
  <c r="J51" i="7"/>
  <c r="N180" i="7" s="1"/>
  <c r="I51" i="7"/>
  <c r="H51" i="7"/>
  <c r="H115" i="7" s="1"/>
  <c r="G51" i="7"/>
  <c r="F51" i="7" s="1"/>
  <c r="K50" i="7"/>
  <c r="J50" i="7"/>
  <c r="N179" i="7" s="1"/>
  <c r="I50" i="7"/>
  <c r="H50" i="7"/>
  <c r="G50" i="7"/>
  <c r="F50" i="7"/>
  <c r="K49" i="7"/>
  <c r="J49" i="7"/>
  <c r="I49" i="7"/>
  <c r="H49" i="7"/>
  <c r="G49" i="7"/>
  <c r="F49" i="7" s="1"/>
  <c r="K48" i="7"/>
  <c r="J48" i="7"/>
  <c r="I48" i="7"/>
  <c r="H48" i="7"/>
  <c r="G48" i="7"/>
  <c r="F48" i="7"/>
  <c r="K47" i="7"/>
  <c r="J47" i="7"/>
  <c r="N176" i="7" s="1"/>
  <c r="I47" i="7"/>
  <c r="H47" i="7"/>
  <c r="G47" i="7"/>
  <c r="F47" i="7" s="1"/>
  <c r="K46" i="7"/>
  <c r="J46" i="7"/>
  <c r="N175" i="7" s="1"/>
  <c r="I46" i="7"/>
  <c r="H46" i="7"/>
  <c r="J175" i="7" s="1"/>
  <c r="G46" i="7"/>
  <c r="F46" i="7"/>
  <c r="K45" i="7"/>
  <c r="J45" i="7"/>
  <c r="L109" i="7" s="1"/>
  <c r="I45" i="7"/>
  <c r="H45" i="7"/>
  <c r="G45" i="7"/>
  <c r="F45" i="7" s="1"/>
  <c r="K44" i="7"/>
  <c r="J44" i="7"/>
  <c r="I44" i="7"/>
  <c r="H44" i="7"/>
  <c r="H108" i="7" s="1"/>
  <c r="G44" i="7"/>
  <c r="F44" i="7" s="1"/>
  <c r="K43" i="7"/>
  <c r="J43" i="7"/>
  <c r="I43" i="7"/>
  <c r="J107" i="7" s="1"/>
  <c r="H43" i="7"/>
  <c r="J172" i="7" s="1"/>
  <c r="G43" i="7"/>
  <c r="K42" i="7"/>
  <c r="J42" i="7"/>
  <c r="L106" i="7" s="1"/>
  <c r="I42" i="7"/>
  <c r="H42" i="7"/>
  <c r="G42" i="7"/>
  <c r="F42" i="7" s="1"/>
  <c r="K41" i="7"/>
  <c r="J41" i="7"/>
  <c r="I41" i="7"/>
  <c r="H41" i="7"/>
  <c r="G41" i="7"/>
  <c r="F41" i="7" s="1"/>
  <c r="K40" i="7"/>
  <c r="J40" i="7"/>
  <c r="I40" i="7"/>
  <c r="H40" i="7"/>
  <c r="G40" i="7"/>
  <c r="F40" i="7"/>
  <c r="K39" i="7"/>
  <c r="J39" i="7"/>
  <c r="I39" i="7"/>
  <c r="L168" i="7" s="1"/>
  <c r="H39" i="7"/>
  <c r="G39" i="7"/>
  <c r="F39" i="7" s="1"/>
  <c r="K38" i="7"/>
  <c r="J38" i="7"/>
  <c r="N167" i="7" s="1"/>
  <c r="I38" i="7"/>
  <c r="H38" i="7"/>
  <c r="G38" i="7"/>
  <c r="F38" i="7"/>
  <c r="K37" i="7"/>
  <c r="J37" i="7"/>
  <c r="N166" i="7" s="1"/>
  <c r="I37" i="7"/>
  <c r="L166" i="7" s="1"/>
  <c r="H37" i="7"/>
  <c r="G37" i="7"/>
  <c r="F37" i="7" s="1"/>
  <c r="K36" i="7"/>
  <c r="J36" i="7"/>
  <c r="N165" i="7" s="1"/>
  <c r="I36" i="7"/>
  <c r="H36" i="7"/>
  <c r="G36" i="7"/>
  <c r="F36" i="7"/>
  <c r="K35" i="7"/>
  <c r="J35" i="7"/>
  <c r="L99" i="7" s="1"/>
  <c r="I35" i="7"/>
  <c r="H35" i="7"/>
  <c r="G35" i="7"/>
  <c r="F35" i="7" s="1"/>
  <c r="K34" i="7"/>
  <c r="J34" i="7"/>
  <c r="I34" i="7"/>
  <c r="H34" i="7"/>
  <c r="H98" i="7" s="1"/>
  <c r="G34" i="7"/>
  <c r="F34" i="7" s="1"/>
  <c r="L33" i="7"/>
  <c r="R162" i="7" s="1"/>
  <c r="K33" i="7"/>
  <c r="J33" i="7"/>
  <c r="I33" i="7"/>
  <c r="J97" i="7" s="1"/>
  <c r="H33" i="7"/>
  <c r="G33" i="7"/>
  <c r="F33" i="7"/>
  <c r="L32" i="7"/>
  <c r="K32" i="7"/>
  <c r="P161" i="7" s="1"/>
  <c r="J32" i="7"/>
  <c r="L96" i="7" s="1"/>
  <c r="I32" i="7"/>
  <c r="H32" i="7"/>
  <c r="G32" i="7"/>
  <c r="F32" i="7"/>
  <c r="L31" i="7"/>
  <c r="R160" i="7" s="1"/>
  <c r="K31" i="7"/>
  <c r="J31" i="7"/>
  <c r="I31" i="7"/>
  <c r="H31" i="7"/>
  <c r="G31" i="7"/>
  <c r="F31" i="7"/>
  <c r="L30" i="7"/>
  <c r="R159" i="7" s="1"/>
  <c r="K30" i="7"/>
  <c r="J30" i="7"/>
  <c r="N159" i="7" s="1"/>
  <c r="I30" i="7"/>
  <c r="J94" i="7" s="1"/>
  <c r="H30" i="7"/>
  <c r="G30" i="7"/>
  <c r="F30" i="7"/>
  <c r="L29" i="7"/>
  <c r="R158" i="7" s="1"/>
  <c r="K29" i="7"/>
  <c r="J29" i="7"/>
  <c r="L93" i="7" s="1"/>
  <c r="I29" i="7"/>
  <c r="H29" i="7"/>
  <c r="G29" i="7"/>
  <c r="L28" i="7"/>
  <c r="K28" i="7"/>
  <c r="J28" i="7"/>
  <c r="L92" i="7" s="1"/>
  <c r="I28" i="7"/>
  <c r="L157" i="7" s="1"/>
  <c r="H28" i="7"/>
  <c r="G28" i="7"/>
  <c r="F28" i="7" s="1"/>
  <c r="L27" i="7"/>
  <c r="P91" i="7" s="1"/>
  <c r="K27" i="7"/>
  <c r="J27" i="7"/>
  <c r="I27" i="7"/>
  <c r="L156" i="7" s="1"/>
  <c r="H27" i="7"/>
  <c r="G27" i="7"/>
  <c r="F27" i="7" s="1"/>
  <c r="L26" i="7"/>
  <c r="K26" i="7"/>
  <c r="N90" i="7" s="1"/>
  <c r="J26" i="7"/>
  <c r="I26" i="7"/>
  <c r="L155" i="7" s="1"/>
  <c r="H26" i="7"/>
  <c r="G26" i="7"/>
  <c r="F26" i="7" s="1"/>
  <c r="L25" i="7"/>
  <c r="P89" i="7" s="1"/>
  <c r="K25" i="7"/>
  <c r="P154" i="7" s="1"/>
  <c r="J25" i="7"/>
  <c r="I25" i="7"/>
  <c r="H25" i="7"/>
  <c r="G25" i="7"/>
  <c r="F25" i="7"/>
  <c r="L24" i="7"/>
  <c r="K24" i="7"/>
  <c r="J24" i="7"/>
  <c r="I24" i="7"/>
  <c r="H24" i="7"/>
  <c r="G24" i="7"/>
  <c r="H153" i="7" s="1"/>
  <c r="G218" i="7" s="1"/>
  <c r="F24" i="7"/>
  <c r="L23" i="7"/>
  <c r="P87" i="7" s="1"/>
  <c r="K23" i="7"/>
  <c r="P152" i="7" s="1"/>
  <c r="J23" i="7"/>
  <c r="I23" i="7"/>
  <c r="H23" i="7"/>
  <c r="G23" i="7"/>
  <c r="H152" i="7" s="1"/>
  <c r="G217" i="7" s="1"/>
  <c r="L22" i="7"/>
  <c r="R151" i="7" s="1"/>
  <c r="K22" i="7"/>
  <c r="N86" i="7" s="1"/>
  <c r="J22" i="7"/>
  <c r="I22" i="7"/>
  <c r="H22" i="7"/>
  <c r="G22" i="7"/>
  <c r="F22" i="7" s="1"/>
  <c r="L21" i="7"/>
  <c r="P85" i="7" s="1"/>
  <c r="Q215" i="7" s="1"/>
  <c r="K21" i="7"/>
  <c r="J21" i="7"/>
  <c r="N150" i="7" s="1"/>
  <c r="I21" i="7"/>
  <c r="L150" i="7" s="1"/>
  <c r="H21" i="7"/>
  <c r="G21" i="7"/>
  <c r="F21" i="7"/>
  <c r="K20" i="7"/>
  <c r="J20" i="7"/>
  <c r="I20" i="7"/>
  <c r="H20" i="7"/>
  <c r="G20" i="7"/>
  <c r="H149" i="7" s="1"/>
  <c r="K19" i="7"/>
  <c r="J19" i="7"/>
  <c r="N148" i="7" s="1"/>
  <c r="I19" i="7"/>
  <c r="L148" i="7" s="1"/>
  <c r="H19" i="7"/>
  <c r="G19" i="7"/>
  <c r="F19" i="7"/>
  <c r="K18" i="7"/>
  <c r="J18" i="7"/>
  <c r="I18" i="7"/>
  <c r="L147" i="7" s="1"/>
  <c r="K212" i="7" s="1"/>
  <c r="H18" i="7"/>
  <c r="G18" i="7"/>
  <c r="H147" i="7" s="1"/>
  <c r="G212" i="7" s="1"/>
  <c r="K17" i="7"/>
  <c r="J17" i="7"/>
  <c r="I17" i="7"/>
  <c r="L146" i="7" s="1"/>
  <c r="H17" i="7"/>
  <c r="J146" i="7" s="1"/>
  <c r="G17" i="7"/>
  <c r="F17" i="7"/>
  <c r="K16" i="7"/>
  <c r="J16" i="7"/>
  <c r="I16" i="7"/>
  <c r="L145" i="7" s="1"/>
  <c r="H16" i="7"/>
  <c r="J145" i="7" s="1"/>
  <c r="G16" i="7"/>
  <c r="F16" i="7" s="1"/>
  <c r="K15" i="7"/>
  <c r="J15" i="7"/>
  <c r="I15" i="7"/>
  <c r="L144" i="7" s="1"/>
  <c r="H15" i="7"/>
  <c r="G15" i="7"/>
  <c r="F15" i="7"/>
  <c r="K14" i="7"/>
  <c r="J14" i="7"/>
  <c r="L78" i="7" s="1"/>
  <c r="I14" i="7"/>
  <c r="L143" i="7" s="1"/>
  <c r="H14" i="7"/>
  <c r="G14" i="7"/>
  <c r="F14" i="7" s="1"/>
  <c r="K13" i="7"/>
  <c r="J13" i="7"/>
  <c r="I13" i="7"/>
  <c r="L142" i="7" s="1"/>
  <c r="K207" i="7" s="1"/>
  <c r="H13" i="7"/>
  <c r="H77" i="7" s="1"/>
  <c r="G13" i="7"/>
  <c r="H142" i="7" s="1"/>
  <c r="F13" i="7"/>
  <c r="K12" i="7"/>
  <c r="J12" i="7"/>
  <c r="L76" i="7" s="1"/>
  <c r="I12" i="7"/>
  <c r="L141" i="7" s="1"/>
  <c r="H12" i="7"/>
  <c r="G12" i="7"/>
  <c r="F12" i="7" s="1"/>
  <c r="D6" i="9" l="1"/>
  <c r="D7" i="9"/>
  <c r="G246" i="7"/>
  <c r="M230" i="7"/>
  <c r="O226" i="7"/>
  <c r="Q77" i="7"/>
  <c r="Q223" i="7"/>
  <c r="R153" i="7"/>
  <c r="P88" i="7"/>
  <c r="Q88" i="7" s="1"/>
  <c r="L174" i="7"/>
  <c r="J109" i="7"/>
  <c r="M137" i="7"/>
  <c r="N76" i="7"/>
  <c r="Q76" i="7" s="1"/>
  <c r="L136" i="7"/>
  <c r="Q136" i="7" s="1"/>
  <c r="B136" i="7"/>
  <c r="G243" i="7"/>
  <c r="K215" i="7"/>
  <c r="L165" i="7"/>
  <c r="J100" i="7"/>
  <c r="Q100" i="7" s="1"/>
  <c r="H81" i="7"/>
  <c r="Q81" i="7" s="1"/>
  <c r="N93" i="7"/>
  <c r="O223" i="7" s="1"/>
  <c r="M212" i="7"/>
  <c r="J195" i="7"/>
  <c r="I260" i="7" s="1"/>
  <c r="H260" i="7"/>
  <c r="I211" i="7"/>
  <c r="F29" i="7"/>
  <c r="H158" i="7"/>
  <c r="G223" i="7" s="1"/>
  <c r="N212" i="7"/>
  <c r="B147" i="7"/>
  <c r="L233" i="7"/>
  <c r="N168" i="7"/>
  <c r="M233" i="7" s="1"/>
  <c r="L102" i="7"/>
  <c r="P147" i="7"/>
  <c r="O212" i="7" s="1"/>
  <c r="H246" i="7"/>
  <c r="B181" i="7"/>
  <c r="J181" i="7"/>
  <c r="I246" i="7" s="1"/>
  <c r="H167" i="7"/>
  <c r="G238" i="7"/>
  <c r="M260" i="7"/>
  <c r="H122" i="7"/>
  <c r="B122" i="7"/>
  <c r="P219" i="7"/>
  <c r="R154" i="7"/>
  <c r="H238" i="7"/>
  <c r="B173" i="7"/>
  <c r="J83" i="7"/>
  <c r="K213" i="7" s="1"/>
  <c r="P92" i="7"/>
  <c r="Q92" i="7" s="1"/>
  <c r="F229" i="7"/>
  <c r="B164" i="7"/>
  <c r="H253" i="7"/>
  <c r="J188" i="7"/>
  <c r="I253" i="7" s="1"/>
  <c r="B107" i="7"/>
  <c r="H241" i="7"/>
  <c r="J176" i="7"/>
  <c r="I241" i="7" s="1"/>
  <c r="B98" i="7"/>
  <c r="H107" i="7"/>
  <c r="Q107" i="7" s="1"/>
  <c r="Q133" i="7"/>
  <c r="N156" i="7"/>
  <c r="M221" i="7" s="1"/>
  <c r="L225" i="7"/>
  <c r="B160" i="7"/>
  <c r="H163" i="7"/>
  <c r="N248" i="7"/>
  <c r="B183" i="7"/>
  <c r="B185" i="7"/>
  <c r="F43" i="7"/>
  <c r="H172" i="7"/>
  <c r="M241" i="7"/>
  <c r="I248" i="7"/>
  <c r="Q95" i="7"/>
  <c r="N237" i="7"/>
  <c r="N107" i="7"/>
  <c r="O237" i="7" s="1"/>
  <c r="N213" i="7"/>
  <c r="P148" i="7"/>
  <c r="O213" i="7" s="1"/>
  <c r="M232" i="7"/>
  <c r="O137" i="7"/>
  <c r="H89" i="7"/>
  <c r="Q89" i="7" s="1"/>
  <c r="H219" i="7"/>
  <c r="I219" i="7"/>
  <c r="K223" i="7"/>
  <c r="F242" i="7"/>
  <c r="H177" i="7"/>
  <c r="B177" i="7"/>
  <c r="Q224" i="7"/>
  <c r="S159" i="7"/>
  <c r="Q116" i="7"/>
  <c r="Q220" i="7"/>
  <c r="S155" i="7"/>
  <c r="L223" i="7"/>
  <c r="N158" i="7"/>
  <c r="M223" i="7" s="1"/>
  <c r="K236" i="7"/>
  <c r="K211" i="7"/>
  <c r="J170" i="7"/>
  <c r="H105" i="7"/>
  <c r="Q105" i="7" s="1"/>
  <c r="H88" i="7"/>
  <c r="B88" i="7"/>
  <c r="H218" i="7"/>
  <c r="B153" i="7"/>
  <c r="I242" i="7"/>
  <c r="L192" i="7"/>
  <c r="K257" i="7" s="1"/>
  <c r="J257" i="7"/>
  <c r="O217" i="7"/>
  <c r="J101" i="7"/>
  <c r="Q101" i="7" s="1"/>
  <c r="F202" i="7"/>
  <c r="J142" i="7"/>
  <c r="I207" i="7" s="1"/>
  <c r="J153" i="7"/>
  <c r="I218" i="7" s="1"/>
  <c r="H118" i="7"/>
  <c r="Q118" i="7" s="1"/>
  <c r="F206" i="7"/>
  <c r="G202" i="7"/>
  <c r="B141" i="7"/>
  <c r="C141" i="7" s="1"/>
  <c r="L153" i="7"/>
  <c r="K218" i="7" s="1"/>
  <c r="J218" i="7"/>
  <c r="K202" i="7"/>
  <c r="L222" i="7"/>
  <c r="B157" i="7"/>
  <c r="J167" i="7"/>
  <c r="I232" i="7" s="1"/>
  <c r="H232" i="7"/>
  <c r="F241" i="7"/>
  <c r="B176" i="7"/>
  <c r="G256" i="7"/>
  <c r="H259" i="7"/>
  <c r="J194" i="7"/>
  <c r="H87" i="7"/>
  <c r="Q87" i="7" s="1"/>
  <c r="B131" i="7"/>
  <c r="H141" i="7"/>
  <c r="L207" i="7"/>
  <c r="N157" i="7"/>
  <c r="M222" i="7" s="1"/>
  <c r="G231" i="7"/>
  <c r="H176" i="7"/>
  <c r="J80" i="7"/>
  <c r="L83" i="7"/>
  <c r="M213" i="7" s="1"/>
  <c r="H220" i="7"/>
  <c r="B90" i="7"/>
  <c r="Q97" i="7"/>
  <c r="L100" i="7"/>
  <c r="L108" i="7"/>
  <c r="H134" i="7"/>
  <c r="Q134" i="7" s="1"/>
  <c r="O207" i="7"/>
  <c r="N222" i="7"/>
  <c r="P157" i="7"/>
  <c r="O222" i="7" s="1"/>
  <c r="L226" i="7"/>
  <c r="N161" i="7"/>
  <c r="M226" i="7" s="1"/>
  <c r="H164" i="7"/>
  <c r="J238" i="7"/>
  <c r="L173" i="7"/>
  <c r="K238" i="7" s="1"/>
  <c r="P174" i="7"/>
  <c r="O239" i="7" s="1"/>
  <c r="N96" i="7"/>
  <c r="N210" i="7"/>
  <c r="B145" i="7"/>
  <c r="G216" i="7"/>
  <c r="S151" i="7"/>
  <c r="J217" i="7"/>
  <c r="K225" i="7"/>
  <c r="N235" i="7"/>
  <c r="P170" i="7"/>
  <c r="O235" i="7" s="1"/>
  <c r="J206" i="7"/>
  <c r="J76" i="7"/>
  <c r="I137" i="7"/>
  <c r="J209" i="7"/>
  <c r="B79" i="7"/>
  <c r="J79" i="7"/>
  <c r="K209" i="7" s="1"/>
  <c r="H110" i="7"/>
  <c r="K220" i="7"/>
  <c r="K222" i="7"/>
  <c r="I250" i="7"/>
  <c r="L187" i="7"/>
  <c r="K252" i="7" s="1"/>
  <c r="J122" i="7"/>
  <c r="F65" i="7"/>
  <c r="H194" i="7"/>
  <c r="K137" i="7"/>
  <c r="B89" i="7"/>
  <c r="L90" i="7"/>
  <c r="M220" i="7" s="1"/>
  <c r="B94" i="7"/>
  <c r="B97" i="7"/>
  <c r="B102" i="7"/>
  <c r="Q117" i="7"/>
  <c r="B127" i="7"/>
  <c r="L134" i="7"/>
  <c r="B134" i="7"/>
  <c r="L209" i="7"/>
  <c r="N144" i="7"/>
  <c r="M209" i="7" s="1"/>
  <c r="N160" i="7"/>
  <c r="M225" i="7" s="1"/>
  <c r="J237" i="7"/>
  <c r="L172" i="7"/>
  <c r="K237" i="7" s="1"/>
  <c r="P183" i="7"/>
  <c r="O248" i="7" s="1"/>
  <c r="G252" i="7"/>
  <c r="O266" i="7"/>
  <c r="Q225" i="7"/>
  <c r="Q112" i="7"/>
  <c r="H233" i="7"/>
  <c r="J168" i="7"/>
  <c r="I233" i="7" s="1"/>
  <c r="N196" i="7"/>
  <c r="M261" i="7" s="1"/>
  <c r="F59" i="7"/>
  <c r="H188" i="7"/>
  <c r="M215" i="7"/>
  <c r="M248" i="7"/>
  <c r="P224" i="7"/>
  <c r="R224" i="7" s="1"/>
  <c r="B159" i="7"/>
  <c r="J178" i="7"/>
  <c r="I243" i="7" s="1"/>
  <c r="G207" i="7"/>
  <c r="J243" i="7"/>
  <c r="L178" i="7"/>
  <c r="K243" i="7" s="1"/>
  <c r="B80" i="7"/>
  <c r="H210" i="7"/>
  <c r="J221" i="7"/>
  <c r="J91" i="7"/>
  <c r="Q111" i="7"/>
  <c r="J242" i="7"/>
  <c r="H80" i="7"/>
  <c r="H83" i="7"/>
  <c r="N174" i="7"/>
  <c r="M239" i="7" s="1"/>
  <c r="L77" i="7"/>
  <c r="L137" i="7" s="1"/>
  <c r="B77" i="7"/>
  <c r="H217" i="7"/>
  <c r="B152" i="7"/>
  <c r="J173" i="7"/>
  <c r="I238" i="7" s="1"/>
  <c r="L111" i="7"/>
  <c r="K206" i="7"/>
  <c r="F23" i="7"/>
  <c r="P153" i="7"/>
  <c r="O218" i="7" s="1"/>
  <c r="N88" i="7"/>
  <c r="R200" i="7"/>
  <c r="P135" i="7"/>
  <c r="F137" i="7"/>
  <c r="H85" i="7"/>
  <c r="Q85" i="7" s="1"/>
  <c r="B85" i="7"/>
  <c r="J98" i="7"/>
  <c r="Q98" i="7" s="1"/>
  <c r="Q102" i="7"/>
  <c r="B106" i="7"/>
  <c r="H236" i="7"/>
  <c r="B128" i="7"/>
  <c r="G208" i="7"/>
  <c r="F215" i="7"/>
  <c r="B150" i="7"/>
  <c r="N225" i="7"/>
  <c r="P160" i="7"/>
  <c r="O225" i="7" s="1"/>
  <c r="F233" i="7"/>
  <c r="H168" i="7"/>
  <c r="B168" i="7"/>
  <c r="H247" i="7"/>
  <c r="J182" i="7"/>
  <c r="I247" i="7" s="1"/>
  <c r="N238" i="7"/>
  <c r="F250" i="7"/>
  <c r="H185" i="7"/>
  <c r="N199" i="7"/>
  <c r="M264" i="7" s="1"/>
  <c r="L264" i="7"/>
  <c r="L216" i="7"/>
  <c r="G214" i="7"/>
  <c r="S149" i="7"/>
  <c r="P96" i="7"/>
  <c r="Q96" i="7" s="1"/>
  <c r="R161" i="7"/>
  <c r="L132" i="7"/>
  <c r="Q132" i="7" s="1"/>
  <c r="N142" i="7"/>
  <c r="M207" i="7" s="1"/>
  <c r="J149" i="7"/>
  <c r="P155" i="7"/>
  <c r="O220" i="7" s="1"/>
  <c r="H162" i="7"/>
  <c r="G227" i="7" s="1"/>
  <c r="J164" i="7"/>
  <c r="I229" i="7" s="1"/>
  <c r="I230" i="7"/>
  <c r="O238" i="7"/>
  <c r="F249" i="7"/>
  <c r="B184" i="7"/>
  <c r="H184" i="7"/>
  <c r="N187" i="7"/>
  <c r="M252" i="7" s="1"/>
  <c r="L186" i="7"/>
  <c r="J121" i="7"/>
  <c r="Q121" i="7" s="1"/>
  <c r="H78" i="7"/>
  <c r="Q78" i="7" s="1"/>
  <c r="B78" i="7"/>
  <c r="H84" i="7"/>
  <c r="N89" i="7"/>
  <c r="O219" i="7" s="1"/>
  <c r="J116" i="7"/>
  <c r="K246" i="7" s="1"/>
  <c r="H255" i="7"/>
  <c r="B125" i="7"/>
  <c r="G137" i="7"/>
  <c r="H213" i="7"/>
  <c r="B148" i="7"/>
  <c r="B155" i="7"/>
  <c r="F254" i="7"/>
  <c r="H189" i="7"/>
  <c r="B189" i="7"/>
  <c r="J197" i="7"/>
  <c r="I262" i="7" s="1"/>
  <c r="N198" i="7"/>
  <c r="M263" i="7" s="1"/>
  <c r="L263" i="7"/>
  <c r="M244" i="7"/>
  <c r="J84" i="7"/>
  <c r="Q104" i="7"/>
  <c r="Q109" i="7"/>
  <c r="H114" i="7"/>
  <c r="Q114" i="7" s="1"/>
  <c r="H125" i="7"/>
  <c r="Q125" i="7" s="1"/>
  <c r="J127" i="7"/>
  <c r="Q127" i="7" s="1"/>
  <c r="P206" i="7"/>
  <c r="Q202" i="7"/>
  <c r="J147" i="7"/>
  <c r="J148" i="7"/>
  <c r="I213" i="7" s="1"/>
  <c r="L149" i="7"/>
  <c r="P150" i="7"/>
  <c r="O215" i="7" s="1"/>
  <c r="R152" i="7"/>
  <c r="S156" i="7"/>
  <c r="R225" i="7"/>
  <c r="L163" i="7"/>
  <c r="K228" i="7" s="1"/>
  <c r="B179" i="7"/>
  <c r="F244" i="7"/>
  <c r="N246" i="7"/>
  <c r="P181" i="7"/>
  <c r="O246" i="7" s="1"/>
  <c r="J193" i="7"/>
  <c r="I258" i="7" s="1"/>
  <c r="M231" i="7"/>
  <c r="Q108" i="7"/>
  <c r="F53" i="7"/>
  <c r="H182" i="7"/>
  <c r="B76" i="7"/>
  <c r="C76" i="7" s="1"/>
  <c r="B109" i="7"/>
  <c r="L110" i="7"/>
  <c r="M240" i="7" s="1"/>
  <c r="B113" i="7"/>
  <c r="J255" i="7"/>
  <c r="J125" i="7"/>
  <c r="J213" i="7"/>
  <c r="N149" i="7"/>
  <c r="M214" i="7" s="1"/>
  <c r="B154" i="7"/>
  <c r="F219" i="7"/>
  <c r="I226" i="7"/>
  <c r="L162" i="7"/>
  <c r="K227" i="7" s="1"/>
  <c r="H169" i="7"/>
  <c r="J235" i="7"/>
  <c r="L170" i="7"/>
  <c r="K235" i="7" s="1"/>
  <c r="B170" i="7"/>
  <c r="N171" i="7"/>
  <c r="M236" i="7" s="1"/>
  <c r="B178" i="7"/>
  <c r="H179" i="7"/>
  <c r="J189" i="7"/>
  <c r="I254" i="7" s="1"/>
  <c r="N190" i="7"/>
  <c r="M255" i="7" s="1"/>
  <c r="H244" i="7"/>
  <c r="M202" i="7"/>
  <c r="F230" i="7"/>
  <c r="H165" i="7"/>
  <c r="K221" i="7"/>
  <c r="P222" i="7"/>
  <c r="J236" i="7"/>
  <c r="B171" i="7"/>
  <c r="K233" i="7"/>
  <c r="N207" i="7"/>
  <c r="P220" i="7"/>
  <c r="L164" i="7"/>
  <c r="K229" i="7" s="1"/>
  <c r="J229" i="7"/>
  <c r="N172" i="7"/>
  <c r="M237" i="7" s="1"/>
  <c r="K210" i="7"/>
  <c r="M249" i="7"/>
  <c r="B82" i="7"/>
  <c r="B91" i="7"/>
  <c r="L98" i="7"/>
  <c r="Q103" i="7"/>
  <c r="Q113" i="7"/>
  <c r="B119" i="7"/>
  <c r="B142" i="7"/>
  <c r="F209" i="7"/>
  <c r="B144" i="7"/>
  <c r="H144" i="7"/>
  <c r="L227" i="7"/>
  <c r="R227" i="7" s="1"/>
  <c r="N162" i="7"/>
  <c r="M227" i="7" s="1"/>
  <c r="L235" i="7"/>
  <c r="J179" i="7"/>
  <c r="O251" i="7"/>
  <c r="J254" i="7"/>
  <c r="L189" i="7"/>
  <c r="K254" i="7" s="1"/>
  <c r="L193" i="7"/>
  <c r="K258" i="7" s="1"/>
  <c r="J263" i="7"/>
  <c r="O208" i="7"/>
  <c r="I236" i="7"/>
  <c r="H126" i="7"/>
  <c r="Q126" i="7" s="1"/>
  <c r="J163" i="7"/>
  <c r="I228" i="7" s="1"/>
  <c r="L198" i="7"/>
  <c r="K263" i="7" s="1"/>
  <c r="K255" i="7"/>
  <c r="N186" i="7"/>
  <c r="L121" i="7"/>
  <c r="B83" i="7"/>
  <c r="K208" i="7"/>
  <c r="S160" i="7"/>
  <c r="H82" i="7"/>
  <c r="Q82" i="7" s="1"/>
  <c r="H91" i="7"/>
  <c r="B103" i="7"/>
  <c r="B118" i="7"/>
  <c r="H119" i="7"/>
  <c r="Q119" i="7" s="1"/>
  <c r="N131" i="7"/>
  <c r="O261" i="7" s="1"/>
  <c r="B143" i="7"/>
  <c r="F208" i="7"/>
  <c r="L212" i="7"/>
  <c r="L213" i="7"/>
  <c r="F216" i="7"/>
  <c r="R216" i="7" s="1"/>
  <c r="B151" i="7"/>
  <c r="H155" i="7"/>
  <c r="G220" i="7" s="1"/>
  <c r="F220" i="7"/>
  <c r="F221" i="7"/>
  <c r="B156" i="7"/>
  <c r="H156" i="7"/>
  <c r="G221" i="7" s="1"/>
  <c r="L161" i="7"/>
  <c r="K226" i="7" s="1"/>
  <c r="N170" i="7"/>
  <c r="M235" i="7" s="1"/>
  <c r="O240" i="7"/>
  <c r="N245" i="7"/>
  <c r="B180" i="7"/>
  <c r="P180" i="7"/>
  <c r="O245" i="7" s="1"/>
  <c r="P185" i="7"/>
  <c r="O250" i="7" s="1"/>
  <c r="P251" i="7"/>
  <c r="J192" i="7"/>
  <c r="I257" i="7" s="1"/>
  <c r="N211" i="7"/>
  <c r="B129" i="7"/>
  <c r="J219" i="7"/>
  <c r="N234" i="7"/>
  <c r="P169" i="7"/>
  <c r="O234" i="7" s="1"/>
  <c r="N177" i="7"/>
  <c r="M242" i="7" s="1"/>
  <c r="B191" i="7"/>
  <c r="H256" i="7"/>
  <c r="P90" i="7"/>
  <c r="J92" i="7"/>
  <c r="L122" i="7"/>
  <c r="J144" i="7"/>
  <c r="H157" i="7"/>
  <c r="G222" i="7" s="1"/>
  <c r="B158" i="7"/>
  <c r="N227" i="7"/>
  <c r="N232" i="7"/>
  <c r="P235" i="7"/>
  <c r="P171" i="7"/>
  <c r="O236" i="7" s="1"/>
  <c r="F239" i="7"/>
  <c r="H174" i="7"/>
  <c r="B174" i="7"/>
  <c r="J240" i="7"/>
  <c r="B175" i="7"/>
  <c r="H249" i="7"/>
  <c r="J184" i="7"/>
  <c r="I249" i="7" s="1"/>
  <c r="B190" i="7"/>
  <c r="J191" i="7"/>
  <c r="S191" i="7" s="1"/>
  <c r="F255" i="7"/>
  <c r="H208" i="7"/>
  <c r="R222" i="7"/>
  <c r="N226" i="7"/>
  <c r="N163" i="7"/>
  <c r="O253" i="7"/>
  <c r="F261" i="7"/>
  <c r="H196" i="7"/>
  <c r="B196" i="7"/>
  <c r="M247" i="7"/>
  <c r="N87" i="7"/>
  <c r="J93" i="7"/>
  <c r="Q93" i="7" s="1"/>
  <c r="H129" i="7"/>
  <c r="Q129" i="7" s="1"/>
  <c r="L206" i="7"/>
  <c r="J143" i="7"/>
  <c r="I208" i="7" s="1"/>
  <c r="H145" i="7"/>
  <c r="F211" i="7"/>
  <c r="B146" i="7"/>
  <c r="N216" i="7"/>
  <c r="P151" i="7"/>
  <c r="O216" i="7" s="1"/>
  <c r="M217" i="7"/>
  <c r="L154" i="7"/>
  <c r="K219" i="7" s="1"/>
  <c r="F18" i="7"/>
  <c r="F20" i="7"/>
  <c r="R157" i="7"/>
  <c r="M224" i="7"/>
  <c r="M245" i="7"/>
  <c r="B99" i="7"/>
  <c r="B105" i="7"/>
  <c r="L123" i="7"/>
  <c r="Q123" i="7" s="1"/>
  <c r="J128" i="7"/>
  <c r="Q128" i="7" s="1"/>
  <c r="B133" i="7"/>
  <c r="H135" i="7"/>
  <c r="I265" i="7" s="1"/>
  <c r="N141" i="7"/>
  <c r="J208" i="7"/>
  <c r="H146" i="7"/>
  <c r="B149" i="7"/>
  <c r="N217" i="7"/>
  <c r="R217" i="7" s="1"/>
  <c r="N153" i="7"/>
  <c r="M218" i="7" s="1"/>
  <c r="H222" i="7"/>
  <c r="J157" i="7"/>
  <c r="I222" i="7" s="1"/>
  <c r="J158" i="7"/>
  <c r="I223" i="7" s="1"/>
  <c r="P162" i="7"/>
  <c r="O227" i="7" s="1"/>
  <c r="O230" i="7"/>
  <c r="N231" i="7"/>
  <c r="P166" i="7"/>
  <c r="O231" i="7" s="1"/>
  <c r="P167" i="7"/>
  <c r="O232" i="7" s="1"/>
  <c r="H239" i="7"/>
  <c r="J174" i="7"/>
  <c r="I239" i="7" s="1"/>
  <c r="L175" i="7"/>
  <c r="K240" i="7" s="1"/>
  <c r="B182" i="7"/>
  <c r="F247" i="7"/>
  <c r="H183" i="7"/>
  <c r="H190" i="7"/>
  <c r="L191" i="7"/>
  <c r="K256" i="7" s="1"/>
  <c r="N192" i="7"/>
  <c r="M257" i="7" s="1"/>
  <c r="J261" i="7"/>
  <c r="N262" i="7"/>
  <c r="N252" i="7"/>
  <c r="B132" i="7"/>
  <c r="H207" i="7"/>
  <c r="N178" i="7"/>
  <c r="L113" i="7"/>
  <c r="N200" i="7"/>
  <c r="L135" i="7"/>
  <c r="Q86" i="7"/>
  <c r="N91" i="7"/>
  <c r="B104" i="7"/>
  <c r="B111" i="7"/>
  <c r="B112" i="7"/>
  <c r="O202" i="7"/>
  <c r="N206" i="7"/>
  <c r="L220" i="7"/>
  <c r="J223" i="7"/>
  <c r="R223" i="7" s="1"/>
  <c r="H224" i="7"/>
  <c r="P230" i="7"/>
  <c r="P231" i="7"/>
  <c r="B169" i="7"/>
  <c r="J190" i="7"/>
  <c r="H195" i="7"/>
  <c r="F260" i="7"/>
  <c r="B195" i="7"/>
  <c r="L196" i="7"/>
  <c r="K261" i="7" s="1"/>
  <c r="F265" i="7"/>
  <c r="B200" i="7"/>
  <c r="H200" i="7"/>
  <c r="G265" i="7" s="1"/>
  <c r="J241" i="7"/>
  <c r="P239" i="7"/>
  <c r="N241" i="7"/>
  <c r="N243" i="7"/>
  <c r="P178" i="7"/>
  <c r="O243" i="7" s="1"/>
  <c r="H252" i="7"/>
  <c r="R252" i="7" s="1"/>
  <c r="B187" i="7"/>
  <c r="P190" i="7"/>
  <c r="O255" i="7" s="1"/>
  <c r="N255" i="7"/>
  <c r="S199" i="7"/>
  <c r="G264" i="7"/>
  <c r="Q216" i="7"/>
  <c r="H79" i="7"/>
  <c r="Q79" i="7" s="1"/>
  <c r="B123" i="7"/>
  <c r="J141" i="7"/>
  <c r="P208" i="7"/>
  <c r="H211" i="7"/>
  <c r="H267" i="7" s="1"/>
  <c r="H216" i="7"/>
  <c r="N218" i="7"/>
  <c r="J224" i="7"/>
  <c r="L159" i="7"/>
  <c r="K224" i="7" s="1"/>
  <c r="F226" i="7"/>
  <c r="B161" i="7"/>
  <c r="P227" i="7"/>
  <c r="N164" i="7"/>
  <c r="M229" i="7" s="1"/>
  <c r="J231" i="7"/>
  <c r="F237" i="7"/>
  <c r="B172" i="7"/>
  <c r="P176" i="7"/>
  <c r="O241" i="7" s="1"/>
  <c r="N244" i="7"/>
  <c r="J247" i="7"/>
  <c r="L182" i="7"/>
  <c r="K247" i="7" s="1"/>
  <c r="J187" i="7"/>
  <c r="I252" i="7" s="1"/>
  <c r="L188" i="7"/>
  <c r="K253" i="7" s="1"/>
  <c r="H264" i="7"/>
  <c r="H265" i="7"/>
  <c r="N240" i="7"/>
  <c r="N209" i="7"/>
  <c r="L215" i="7"/>
  <c r="N223" i="7"/>
  <c r="I225" i="7"/>
  <c r="N229" i="7"/>
  <c r="L167" i="7"/>
  <c r="K232" i="7" s="1"/>
  <c r="H234" i="7"/>
  <c r="H170" i="7"/>
  <c r="P242" i="7"/>
  <c r="O244" i="7"/>
  <c r="L245" i="7"/>
  <c r="J248" i="7"/>
  <c r="L183" i="7"/>
  <c r="K248" i="7" s="1"/>
  <c r="L250" i="7"/>
  <c r="J252" i="7"/>
  <c r="O254" i="7"/>
  <c r="B193" i="7"/>
  <c r="B194" i="7"/>
  <c r="H198" i="7"/>
  <c r="J266" i="7"/>
  <c r="L201" i="7"/>
  <c r="K266" i="7" s="1"/>
  <c r="F258" i="7"/>
  <c r="B117" i="7"/>
  <c r="O209" i="7"/>
  <c r="L210" i="7"/>
  <c r="J211" i="7"/>
  <c r="P218" i="7"/>
  <c r="N224" i="7"/>
  <c r="J225" i="7"/>
  <c r="H226" i="7"/>
  <c r="O229" i="7"/>
  <c r="I234" i="7"/>
  <c r="H237" i="7"/>
  <c r="P244" i="7"/>
  <c r="L246" i="7"/>
  <c r="R246" i="7" s="1"/>
  <c r="M250" i="7"/>
  <c r="P254" i="7"/>
  <c r="H192" i="7"/>
  <c r="F257" i="7"/>
  <c r="B192" i="7"/>
  <c r="S193" i="7"/>
  <c r="G258" i="7"/>
  <c r="H197" i="7"/>
  <c r="J198" i="7"/>
  <c r="I263" i="7" s="1"/>
  <c r="J264" i="7"/>
  <c r="L266" i="7"/>
  <c r="P207" i="7"/>
  <c r="L211" i="7"/>
  <c r="P213" i="7"/>
  <c r="H215" i="7"/>
  <c r="L219" i="7"/>
  <c r="N221" i="7"/>
  <c r="P223" i="7"/>
  <c r="H227" i="7"/>
  <c r="P232" i="7"/>
  <c r="L238" i="7"/>
  <c r="N247" i="7"/>
  <c r="J249" i="7"/>
  <c r="P255" i="7"/>
  <c r="N256" i="7"/>
  <c r="N257" i="7"/>
  <c r="P192" i="7"/>
  <c r="O257" i="7" s="1"/>
  <c r="N259" i="7"/>
  <c r="N197" i="7"/>
  <c r="P200" i="7"/>
  <c r="O265" i="7" s="1"/>
  <c r="N146" i="7"/>
  <c r="M211" i="7" s="1"/>
  <c r="J150" i="7"/>
  <c r="I215" i="7" s="1"/>
  <c r="L152" i="7"/>
  <c r="K217" i="7" s="1"/>
  <c r="N154" i="7"/>
  <c r="M219" i="7" s="1"/>
  <c r="P156" i="7"/>
  <c r="L224" i="7"/>
  <c r="H160" i="7"/>
  <c r="G225" i="7" s="1"/>
  <c r="J162" i="7"/>
  <c r="I227" i="7" s="1"/>
  <c r="J230" i="7"/>
  <c r="N233" i="7"/>
  <c r="N173" i="7"/>
  <c r="M238" i="7" s="1"/>
  <c r="H175" i="7"/>
  <c r="L243" i="7"/>
  <c r="F245" i="7"/>
  <c r="H180" i="7"/>
  <c r="P182" i="7"/>
  <c r="O247" i="7" s="1"/>
  <c r="L248" i="7"/>
  <c r="L184" i="7"/>
  <c r="K249" i="7" s="1"/>
  <c r="H250" i="7"/>
  <c r="P191" i="7"/>
  <c r="O256" i="7" s="1"/>
  <c r="O259" i="7"/>
  <c r="N263" i="7"/>
  <c r="N265" i="7"/>
  <c r="N208" i="7"/>
  <c r="J212" i="7"/>
  <c r="J215" i="7"/>
  <c r="N219" i="7"/>
  <c r="H225" i="7"/>
  <c r="O233" i="7"/>
  <c r="L234" i="7"/>
  <c r="H171" i="7"/>
  <c r="H240" i="7"/>
  <c r="O242" i="7"/>
  <c r="L179" i="7"/>
  <c r="K244" i="7" s="1"/>
  <c r="P247" i="7"/>
  <c r="F253" i="7"/>
  <c r="B188" i="7"/>
  <c r="P256" i="7"/>
  <c r="P259" i="7"/>
  <c r="O263" i="7"/>
  <c r="P266" i="7"/>
  <c r="J250" i="7"/>
  <c r="H186" i="7"/>
  <c r="F251" i="7"/>
  <c r="L258" i="7"/>
  <c r="L194" i="7"/>
  <c r="K259" i="7" s="1"/>
  <c r="J259" i="7"/>
  <c r="J260" i="7"/>
  <c r="L185" i="7"/>
  <c r="K250" i="7" s="1"/>
  <c r="H251" i="7"/>
  <c r="N193" i="7"/>
  <c r="M258" i="7" s="1"/>
  <c r="N194" i="7"/>
  <c r="M259" i="7" s="1"/>
  <c r="L259" i="7"/>
  <c r="L195" i="7"/>
  <c r="K260" i="7" s="1"/>
  <c r="H261" i="7"/>
  <c r="P265" i="7"/>
  <c r="P243" i="7"/>
  <c r="L247" i="7"/>
  <c r="J186" i="7"/>
  <c r="I251" i="7" s="1"/>
  <c r="P253" i="7"/>
  <c r="N258" i="7"/>
  <c r="P193" i="7"/>
  <c r="O258" i="7" s="1"/>
  <c r="L260" i="7"/>
  <c r="J196" i="7"/>
  <c r="I261" i="7" s="1"/>
  <c r="F264" i="7"/>
  <c r="B199" i="7"/>
  <c r="N201" i="7"/>
  <c r="F263" i="7"/>
  <c r="L197" i="7"/>
  <c r="K262" i="7" s="1"/>
  <c r="H201" i="7"/>
  <c r="H263" i="7"/>
  <c r="E19" i="1"/>
  <c r="R231" i="7" l="1"/>
  <c r="R248" i="7"/>
  <c r="R213" i="7"/>
  <c r="R232" i="7"/>
  <c r="R212" i="7"/>
  <c r="Q80" i="7"/>
  <c r="I210" i="7"/>
  <c r="G229" i="7"/>
  <c r="R229" i="7" s="1"/>
  <c r="S164" i="7"/>
  <c r="Q222" i="7"/>
  <c r="S157" i="7"/>
  <c r="G234" i="7"/>
  <c r="R234" i="7" s="1"/>
  <c r="S169" i="7"/>
  <c r="S187" i="7"/>
  <c r="I259" i="7"/>
  <c r="S167" i="7"/>
  <c r="G232" i="7"/>
  <c r="G240" i="7"/>
  <c r="S175" i="7"/>
  <c r="R237" i="7"/>
  <c r="G260" i="7"/>
  <c r="R260" i="7" s="1"/>
  <c r="S195" i="7"/>
  <c r="R202" i="7"/>
  <c r="G209" i="7"/>
  <c r="S144" i="7"/>
  <c r="D76" i="7"/>
  <c r="C77" i="7"/>
  <c r="S161" i="7"/>
  <c r="Q226" i="7"/>
  <c r="L202" i="7"/>
  <c r="C142" i="7"/>
  <c r="D141" i="7"/>
  <c r="R258" i="7"/>
  <c r="G247" i="7"/>
  <c r="R247" i="7" s="1"/>
  <c r="S182" i="7"/>
  <c r="S172" i="7"/>
  <c r="G237" i="7"/>
  <c r="I217" i="7"/>
  <c r="M262" i="7"/>
  <c r="R208" i="7"/>
  <c r="R219" i="7"/>
  <c r="Q217" i="7"/>
  <c r="Q267" i="7" s="1"/>
  <c r="S152" i="7"/>
  <c r="Q110" i="7"/>
  <c r="R206" i="7"/>
  <c r="F267" i="7"/>
  <c r="S158" i="7"/>
  <c r="M251" i="7"/>
  <c r="G233" i="7"/>
  <c r="R233" i="7" s="1"/>
  <c r="S168" i="7"/>
  <c r="G253" i="7"/>
  <c r="R253" i="7" s="1"/>
  <c r="S188" i="7"/>
  <c r="H137" i="7"/>
  <c r="R238" i="7"/>
  <c r="M266" i="7"/>
  <c r="R266" i="7" s="1"/>
  <c r="R251" i="7"/>
  <c r="I240" i="7"/>
  <c r="S150" i="7"/>
  <c r="K231" i="7"/>
  <c r="S166" i="7"/>
  <c r="Q219" i="7"/>
  <c r="S154" i="7"/>
  <c r="S171" i="7"/>
  <c r="G236" i="7"/>
  <c r="R236" i="7" s="1"/>
  <c r="S170" i="7"/>
  <c r="G235" i="7"/>
  <c r="R235" i="7" s="1"/>
  <c r="R226" i="7"/>
  <c r="M265" i="7"/>
  <c r="S196" i="7"/>
  <c r="G261" i="7"/>
  <c r="R261" i="7" s="1"/>
  <c r="S148" i="7"/>
  <c r="R207" i="7"/>
  <c r="G210" i="7"/>
  <c r="S145" i="7"/>
  <c r="M228" i="7"/>
  <c r="G239" i="7"/>
  <c r="R239" i="7" s="1"/>
  <c r="S174" i="7"/>
  <c r="R220" i="7"/>
  <c r="Q91" i="7"/>
  <c r="I221" i="7"/>
  <c r="I244" i="7"/>
  <c r="P267" i="7"/>
  <c r="G250" i="7"/>
  <c r="S185" i="7"/>
  <c r="R215" i="7"/>
  <c r="Q265" i="7"/>
  <c r="R265" i="7" s="1"/>
  <c r="S200" i="7"/>
  <c r="S142" i="7"/>
  <c r="J267" i="7"/>
  <c r="H202" i="7"/>
  <c r="G206" i="7"/>
  <c r="S141" i="7"/>
  <c r="Q131" i="7"/>
  <c r="L267" i="7"/>
  <c r="S178" i="7"/>
  <c r="G230" i="7"/>
  <c r="R230" i="7" s="1"/>
  <c r="S165" i="7"/>
  <c r="K251" i="7"/>
  <c r="I206" i="7"/>
  <c r="J202" i="7"/>
  <c r="G211" i="7"/>
  <c r="S146" i="7"/>
  <c r="S201" i="7"/>
  <c r="G266" i="7"/>
  <c r="I255" i="7"/>
  <c r="I256" i="7"/>
  <c r="R256" i="7" s="1"/>
  <c r="G249" i="7"/>
  <c r="R249" i="7" s="1"/>
  <c r="S184" i="7"/>
  <c r="N137" i="7"/>
  <c r="G262" i="7"/>
  <c r="R262" i="7" s="1"/>
  <c r="S197" i="7"/>
  <c r="M206" i="7"/>
  <c r="N202" i="7"/>
  <c r="R209" i="7"/>
  <c r="S162" i="7"/>
  <c r="R210" i="7"/>
  <c r="G241" i="7"/>
  <c r="S176" i="7"/>
  <c r="S181" i="7"/>
  <c r="K214" i="7"/>
  <c r="K267" i="7" s="1"/>
  <c r="R241" i="7"/>
  <c r="K239" i="7"/>
  <c r="G251" i="7"/>
  <c r="S186" i="7"/>
  <c r="S179" i="7"/>
  <c r="G244" i="7"/>
  <c r="I237" i="7"/>
  <c r="G263" i="7"/>
  <c r="R263" i="7" s="1"/>
  <c r="S198" i="7"/>
  <c r="S190" i="7"/>
  <c r="G255" i="7"/>
  <c r="R255" i="7" s="1"/>
  <c r="I209" i="7"/>
  <c r="P202" i="7"/>
  <c r="I212" i="7"/>
  <c r="S147" i="7"/>
  <c r="G228" i="7"/>
  <c r="S163" i="7"/>
  <c r="Q218" i="7"/>
  <c r="R218" i="7" s="1"/>
  <c r="S153" i="7"/>
  <c r="O221" i="7"/>
  <c r="R221" i="7" s="1"/>
  <c r="S192" i="7"/>
  <c r="G257" i="7"/>
  <c r="R257" i="7" s="1"/>
  <c r="M243" i="7"/>
  <c r="R243" i="7" s="1"/>
  <c r="S183" i="7"/>
  <c r="G248" i="7"/>
  <c r="R211" i="7"/>
  <c r="O206" i="7"/>
  <c r="Q84" i="7"/>
  <c r="Q135" i="7"/>
  <c r="S194" i="7"/>
  <c r="G259" i="7"/>
  <c r="R259" i="7" s="1"/>
  <c r="J137" i="7"/>
  <c r="Q122" i="7"/>
  <c r="K230" i="7"/>
  <c r="G245" i="7"/>
  <c r="R245" i="7" s="1"/>
  <c r="S180" i="7"/>
  <c r="M253" i="7"/>
  <c r="N267" i="7"/>
  <c r="Q90" i="7"/>
  <c r="R244" i="7"/>
  <c r="S189" i="7"/>
  <c r="G254" i="7"/>
  <c r="R254" i="7" s="1"/>
  <c r="I214" i="7"/>
  <c r="R214" i="7" s="1"/>
  <c r="R250" i="7"/>
  <c r="S143" i="7"/>
  <c r="Q83" i="7"/>
  <c r="P137" i="7"/>
  <c r="I235" i="7"/>
  <c r="S177" i="7"/>
  <c r="G242" i="7"/>
  <c r="R242" i="7" s="1"/>
  <c r="S173" i="7"/>
  <c r="I264" i="7"/>
  <c r="R264" i="7" s="1"/>
  <c r="A24" i="1"/>
  <c r="I24" i="1"/>
  <c r="E24" i="1"/>
  <c r="H30" i="1"/>
  <c r="A19" i="1"/>
  <c r="C19" i="1" s="1"/>
  <c r="E30" i="1"/>
  <c r="A3" i="1"/>
  <c r="C143" i="7" l="1"/>
  <c r="D142" i="7"/>
  <c r="O267" i="7"/>
  <c r="R228" i="7"/>
  <c r="C78" i="7"/>
  <c r="D77" i="7"/>
  <c r="I267" i="7"/>
  <c r="Q137" i="7"/>
  <c r="R240" i="7"/>
  <c r="S202" i="7"/>
  <c r="L5" i="7" s="1"/>
  <c r="M267" i="7"/>
  <c r="G267" i="7"/>
  <c r="R267" i="7"/>
  <c r="I19" i="1"/>
  <c r="D22" i="1"/>
  <c r="D26" i="1"/>
  <c r="K19" i="1"/>
  <c r="G19" i="1"/>
  <c r="D24" i="1"/>
  <c r="D78" i="7" l="1"/>
  <c r="C79" i="7"/>
  <c r="D143" i="7"/>
  <c r="C144" i="7"/>
  <c r="L19" i="1"/>
  <c r="H26" i="1"/>
  <c r="H24" i="1"/>
  <c r="H22" i="1"/>
  <c r="C145" i="7" l="1"/>
  <c r="D144" i="7"/>
  <c r="C80" i="7"/>
  <c r="D79" i="7"/>
  <c r="L22" i="1"/>
  <c r="L24" i="1"/>
  <c r="L26" i="1"/>
  <c r="C81" i="7" l="1"/>
  <c r="D80" i="7"/>
  <c r="D145" i="7"/>
  <c r="C146" i="7"/>
  <c r="C147" i="7" l="1"/>
  <c r="D146" i="7"/>
  <c r="C82" i="7"/>
  <c r="D81" i="7"/>
  <c r="C83" i="7" l="1"/>
  <c r="D82" i="7"/>
  <c r="C148" i="7"/>
  <c r="D147" i="7"/>
  <c r="D148" i="7" l="1"/>
  <c r="C149" i="7"/>
  <c r="C84" i="7"/>
  <c r="D83" i="7"/>
  <c r="C150" i="7" l="1"/>
  <c r="D149" i="7"/>
  <c r="D84" i="7"/>
  <c r="C85" i="7"/>
  <c r="D85" i="7" l="1"/>
  <c r="C86" i="7"/>
  <c r="C151" i="7"/>
  <c r="D150" i="7"/>
  <c r="D151" i="7" l="1"/>
  <c r="C152" i="7"/>
  <c r="D86" i="7"/>
  <c r="C87" i="7"/>
  <c r="D87" i="7" l="1"/>
  <c r="C88" i="7"/>
  <c r="C153" i="7"/>
  <c r="D152" i="7"/>
  <c r="C154" i="7" l="1"/>
  <c r="D153" i="7"/>
  <c r="C89" i="7"/>
  <c r="D88" i="7"/>
  <c r="C90" i="7" l="1"/>
  <c r="D89" i="7"/>
  <c r="C155" i="7"/>
  <c r="D154" i="7"/>
  <c r="C156" i="7" l="1"/>
  <c r="D155" i="7"/>
  <c r="D90" i="7"/>
  <c r="C91" i="7"/>
  <c r="C92" i="7" l="1"/>
  <c r="D91" i="7"/>
  <c r="D156" i="7"/>
  <c r="C157" i="7"/>
  <c r="D157" i="7" l="1"/>
  <c r="C158" i="7"/>
  <c r="C93" i="7"/>
  <c r="D92" i="7"/>
  <c r="D93" i="7" l="1"/>
  <c r="C94" i="7"/>
  <c r="D158" i="7"/>
  <c r="C159" i="7"/>
  <c r="C160" i="7" l="1"/>
  <c r="D159" i="7"/>
  <c r="D94" i="7"/>
  <c r="C95" i="7"/>
  <c r="C96" i="7" l="1"/>
  <c r="D95" i="7"/>
  <c r="C161" i="7"/>
  <c r="D160" i="7"/>
  <c r="C162" i="7" l="1"/>
  <c r="D161" i="7"/>
  <c r="D96" i="7"/>
  <c r="C97" i="7"/>
  <c r="C98" i="7" l="1"/>
  <c r="D97" i="7"/>
  <c r="C163" i="7"/>
  <c r="D162" i="7"/>
  <c r="D163" i="7" l="1"/>
  <c r="C164" i="7"/>
  <c r="D98" i="7"/>
  <c r="C99" i="7"/>
  <c r="C100" i="7" l="1"/>
  <c r="D99" i="7"/>
  <c r="C165" i="7"/>
  <c r="D164" i="7"/>
  <c r="C166" i="7" l="1"/>
  <c r="D165" i="7"/>
  <c r="C101" i="7"/>
  <c r="D100" i="7"/>
  <c r="C102" i="7" l="1"/>
  <c r="D101" i="7"/>
  <c r="C167" i="7"/>
  <c r="D166" i="7"/>
  <c r="D167" i="7" l="1"/>
  <c r="C168" i="7"/>
  <c r="C103" i="7"/>
  <c r="D102" i="7"/>
  <c r="C169" i="7" l="1"/>
  <c r="D168" i="7"/>
  <c r="D103" i="7"/>
  <c r="C104" i="7"/>
  <c r="D104" i="7" l="1"/>
  <c r="C105" i="7"/>
  <c r="D169" i="7"/>
  <c r="C170" i="7"/>
  <c r="C171" i="7" l="1"/>
  <c r="D170" i="7"/>
  <c r="C106" i="7"/>
  <c r="D105" i="7"/>
  <c r="C107" i="7" l="1"/>
  <c r="D106" i="7"/>
  <c r="C172" i="7"/>
  <c r="D171" i="7"/>
  <c r="D172" i="7" l="1"/>
  <c r="C173" i="7"/>
  <c r="C108" i="7"/>
  <c r="D107" i="7"/>
  <c r="C174" i="7" l="1"/>
  <c r="D173" i="7"/>
  <c r="D108" i="7"/>
  <c r="C109" i="7"/>
  <c r="C110" i="7" l="1"/>
  <c r="D109" i="7"/>
  <c r="C175" i="7"/>
  <c r="D174" i="7"/>
  <c r="C176" i="7" l="1"/>
  <c r="D175" i="7"/>
  <c r="D110" i="7"/>
  <c r="C111" i="7"/>
  <c r="D111" i="7" l="1"/>
  <c r="C112" i="7"/>
  <c r="D176" i="7"/>
  <c r="C177" i="7"/>
  <c r="C178" i="7" l="1"/>
  <c r="D177" i="7"/>
  <c r="C113" i="7"/>
  <c r="D112" i="7"/>
  <c r="C114" i="7" l="1"/>
  <c r="D113" i="7"/>
  <c r="D178" i="7"/>
  <c r="C179" i="7"/>
  <c r="C180" i="7" l="1"/>
  <c r="D179" i="7"/>
  <c r="D114" i="7"/>
  <c r="C115" i="7"/>
  <c r="D115" i="7" l="1"/>
  <c r="C116" i="7"/>
  <c r="C181" i="7"/>
  <c r="D180" i="7"/>
  <c r="D116" i="7" l="1"/>
  <c r="C117" i="7"/>
  <c r="D181" i="7"/>
  <c r="C182" i="7"/>
  <c r="D182" i="7" l="1"/>
  <c r="C183" i="7"/>
  <c r="C118" i="7"/>
  <c r="D117" i="7"/>
  <c r="D118" i="7" l="1"/>
  <c r="C119" i="7"/>
  <c r="C184" i="7"/>
  <c r="D183" i="7"/>
  <c r="D184" i="7" l="1"/>
  <c r="C185" i="7"/>
  <c r="C120" i="7"/>
  <c r="D119" i="7"/>
  <c r="C121" i="7" l="1"/>
  <c r="D120" i="7"/>
  <c r="D185" i="7"/>
  <c r="C186" i="7"/>
  <c r="D121" i="7" l="1"/>
  <c r="C122" i="7"/>
  <c r="C187" i="7"/>
  <c r="D186" i="7"/>
  <c r="C188" i="7" l="1"/>
  <c r="D187" i="7"/>
  <c r="D122" i="7"/>
  <c r="C123" i="7"/>
  <c r="C124" i="7" l="1"/>
  <c r="D123" i="7"/>
  <c r="C189" i="7"/>
  <c r="D188" i="7"/>
  <c r="C190" i="7" l="1"/>
  <c r="D189" i="7"/>
  <c r="C125" i="7"/>
  <c r="D124" i="7"/>
  <c r="D125" i="7" l="1"/>
  <c r="C126" i="7"/>
  <c r="D190" i="7"/>
  <c r="C191" i="7"/>
  <c r="C192" i="7" l="1"/>
  <c r="D191" i="7"/>
  <c r="C127" i="7"/>
  <c r="D126" i="7"/>
  <c r="C128" i="7" l="1"/>
  <c r="D127" i="7"/>
  <c r="C193" i="7"/>
  <c r="D192" i="7"/>
  <c r="D193" i="7" l="1"/>
  <c r="C194" i="7"/>
  <c r="D128" i="7"/>
  <c r="C129" i="7"/>
  <c r="D129" i="7" l="1"/>
  <c r="C130" i="7"/>
  <c r="C195" i="7"/>
  <c r="D194" i="7"/>
  <c r="C196" i="7" l="1"/>
  <c r="D195" i="7"/>
  <c r="C131" i="7"/>
  <c r="D130" i="7"/>
  <c r="C132" i="7" l="1"/>
  <c r="D131" i="7"/>
  <c r="D196" i="7"/>
  <c r="C197" i="7"/>
  <c r="C198" i="7" l="1"/>
  <c r="D197" i="7"/>
  <c r="D132" i="7"/>
  <c r="C133" i="7"/>
  <c r="C134" i="7" l="1"/>
  <c r="D133" i="7"/>
  <c r="C199" i="7"/>
  <c r="D198" i="7"/>
  <c r="D199" i="7" l="1"/>
  <c r="C200" i="7"/>
  <c r="D134" i="7"/>
  <c r="C135" i="7"/>
  <c r="C136" i="7" l="1"/>
  <c r="D136" i="7" s="1"/>
  <c r="D135" i="7"/>
  <c r="D200" i="7"/>
  <c r="C201" i="7"/>
  <c r="D201" i="7" s="1"/>
</calcChain>
</file>

<file path=xl/sharedStrings.xml><?xml version="1.0" encoding="utf-8"?>
<sst xmlns="http://schemas.openxmlformats.org/spreadsheetml/2006/main" count="717" uniqueCount="330">
  <si>
    <t>Direct Equivalent Emissions Reduced</t>
  </si>
  <si>
    <t>Avoided Equivalent Emissions Reduced</t>
  </si>
  <si>
    <t>Total Equivalent Emissions Reduced</t>
  </si>
  <si>
    <t>or</t>
  </si>
  <si>
    <t>hours/year</t>
  </si>
  <si>
    <t>metric tons/short ton</t>
  </si>
  <si>
    <t>days/year</t>
  </si>
  <si>
    <t>Calculations and References</t>
  </si>
  <si>
    <r>
      <t>Equivalent to any one of the following annual benefits</t>
    </r>
    <r>
      <rPr>
        <b/>
        <sz val="9"/>
        <rFont val="Arial"/>
        <family val="2"/>
      </rPr>
      <t>:</t>
    </r>
  </si>
  <si>
    <t>million standard cubic feet per day (mmscfd)</t>
  </si>
  <si>
    <t>standard cubic feet per minute (scfm)</t>
  </si>
  <si>
    <t xml:space="preserve"> per year)</t>
  </si>
  <si>
    <r>
      <t xml:space="preserve">million metric tons of carbon dioxide </t>
    </r>
    <r>
      <rPr>
        <sz val="8"/>
        <rFont val="Arial"/>
        <family val="2"/>
      </rPr>
      <t>equivalents per year</t>
    </r>
  </si>
  <si>
    <t>tons of methane per year</t>
  </si>
  <si>
    <t>tons of carbon dioxide
per year</t>
  </si>
  <si>
    <t>tons of carbon dioxide per year</t>
  </si>
  <si>
    <t>pounds/short ton</t>
  </si>
  <si>
    <t>pounds methane/standard cubic foot methane</t>
  </si>
  <si>
    <t>standard cubic feet methane/standard cubic foot landfill gas</t>
  </si>
  <si>
    <t>Btu/standard cubic foot natural gas</t>
  </si>
  <si>
    <t>kilowatts/megawatt</t>
  </si>
  <si>
    <t>Btu/kilowatt-hour (weighted average for engines, gas turbines, and boiler/steam turbines)</t>
  </si>
  <si>
    <t>pounds carbon dioxide/standard cubic foot natural gas</t>
  </si>
  <si>
    <t>standard cubic feet/million standard cubic feet</t>
  </si>
  <si>
    <t>metric tons/million metric tons</t>
  </si>
  <si>
    <t>hours/day</t>
  </si>
  <si>
    <t>minutes/hour</t>
  </si>
  <si>
    <t>[Total = Direct + Avoided]</t>
  </si>
  <si>
    <t>[Reduction of methane emitted directly from the landfill]</t>
  </si>
  <si>
    <t>[Offset of carbon dioxide from avoiding the use of fossil fuels]</t>
  </si>
  <si>
    <t>Direct Equivalent Emissions Reduced Calculations for Electricity Generation Projects:</t>
  </si>
  <si>
    <t>Avoided Equivalent Emissions Reduced Calculations for Electricity Generation Projects:</t>
  </si>
  <si>
    <r>
      <t>tons CO</t>
    </r>
    <r>
      <rPr>
        <vertAlign val="subscript"/>
        <sz val="10"/>
        <rFont val="Arial"/>
        <family val="2"/>
      </rPr>
      <t>2</t>
    </r>
    <r>
      <rPr>
        <sz val="10"/>
        <rFont val="Arial"/>
        <family val="2"/>
      </rPr>
      <t>/yr = MMTCO</t>
    </r>
    <r>
      <rPr>
        <vertAlign val="subscript"/>
        <sz val="10"/>
        <rFont val="Arial"/>
        <family val="2"/>
      </rPr>
      <t>2</t>
    </r>
    <r>
      <rPr>
        <sz val="10"/>
        <rFont val="Arial"/>
        <family val="2"/>
      </rPr>
      <t>E/yr * (1E+06 metric tons/million metric tons) / (0.9072 metric tons/short ton)</t>
    </r>
  </si>
  <si>
    <t>Conversion Factors</t>
  </si>
  <si>
    <t>Methane Conversions</t>
  </si>
  <si>
    <t>Heating Values and Heat Rates</t>
  </si>
  <si>
    <t>Emission Factors</t>
  </si>
  <si>
    <t>Global Warming Potentials (GWPs)</t>
  </si>
  <si>
    <t>Factors Used in the Calculations:</t>
  </si>
  <si>
    <r>
      <t>Btu/standard cubic foot methane</t>
    </r>
    <r>
      <rPr>
        <sz val="8"/>
        <rFont val="Arial"/>
        <family val="2"/>
      </rPr>
      <t/>
    </r>
  </si>
  <si>
    <r>
      <t xml:space="preserve">[Ref: </t>
    </r>
    <r>
      <rPr>
        <i/>
        <sz val="8"/>
        <rFont val="Arial"/>
        <family val="2"/>
      </rPr>
      <t>Chemical Engineers’ Handbook</t>
    </r>
    <r>
      <rPr>
        <sz val="8"/>
        <rFont val="Arial"/>
        <family val="2"/>
      </rPr>
      <t>. John H Perry, ed. McGraw-Hill Book Company: New York, 1963. Pg 9-9.]</t>
    </r>
  </si>
  <si>
    <t>References</t>
  </si>
  <si>
    <t>kilowatt-hours per household (average annual electricity usage)</t>
  </si>
  <si>
    <t>gross capacity factor for generation units of electricity projects (to account for availability and operating load)</t>
  </si>
  <si>
    <t>net capacity factor for generation units of electricity projects (to account for availability, operating load, and parasitic losses)</t>
  </si>
  <si>
    <t>Capacity and Other Factors</t>
  </si>
  <si>
    <t>Environmental and Energy Benefit Equivalencies:</t>
  </si>
  <si>
    <t>Emission Reductions and Environmental and Energy Benefits for Landfill Gas Energy Projects</t>
  </si>
  <si>
    <t>Environmental Benefits</t>
  </si>
  <si>
    <t>factor for power delivered to households for electricity projects (to account for transmission and distribution losses)</t>
  </si>
  <si>
    <t>gross capacity factor for direct-use projects (to account for availability of landfill gas)</t>
  </si>
  <si>
    <t>Direct Equivalent Emissions Reduced Calculations for Direct-Use Projects:</t>
  </si>
  <si>
    <t>Avoided Equivalent Emissions Reduced Calculations for Direct-Use Projects:</t>
  </si>
  <si>
    <t>View Calculations and References</t>
  </si>
  <si>
    <t>Return to Tool</t>
  </si>
  <si>
    <t xml:space="preserve">         For electricity generation projects,
         enter megawatt (MW) capacity:</t>
  </si>
  <si>
    <t xml:space="preserve">     For direct-use projects,
     enter landfill gas utilized by project:</t>
  </si>
  <si>
    <t xml:space="preserve">     - OR -</t>
  </si>
  <si>
    <r>
      <t>MMTCO</t>
    </r>
    <r>
      <rPr>
        <b/>
        <vertAlign val="subscript"/>
        <sz val="10"/>
        <color indexed="17"/>
        <rFont val="Arial"/>
        <family val="2"/>
      </rPr>
      <t>2</t>
    </r>
    <r>
      <rPr>
        <b/>
        <sz val="10"/>
        <color indexed="17"/>
        <rFont val="Arial"/>
        <family val="2"/>
      </rPr>
      <t>E/yr</t>
    </r>
  </si>
  <si>
    <r>
      <t>tons CH</t>
    </r>
    <r>
      <rPr>
        <b/>
        <vertAlign val="subscript"/>
        <sz val="10"/>
        <color indexed="17"/>
        <rFont val="Arial"/>
        <family val="2"/>
      </rPr>
      <t>4</t>
    </r>
    <r>
      <rPr>
        <b/>
        <sz val="10"/>
        <color indexed="17"/>
        <rFont val="Arial"/>
        <family val="2"/>
      </rPr>
      <t>/yr</t>
    </r>
  </si>
  <si>
    <r>
      <t>tons CO</t>
    </r>
    <r>
      <rPr>
        <b/>
        <vertAlign val="subscript"/>
        <sz val="10"/>
        <color indexed="17"/>
        <rFont val="Arial"/>
        <family val="2"/>
      </rPr>
      <t>2</t>
    </r>
    <r>
      <rPr>
        <b/>
        <sz val="10"/>
        <color indexed="17"/>
        <rFont val="Arial"/>
        <family val="2"/>
      </rPr>
      <t>/yr</t>
    </r>
  </si>
  <si>
    <r>
      <t>Energy Benefits</t>
    </r>
    <r>
      <rPr>
        <sz val="10"/>
        <rFont val="Arial"/>
        <family val="2"/>
      </rPr>
      <t xml:space="preserve"> (based on project size entered)</t>
    </r>
    <r>
      <rPr>
        <b/>
        <sz val="10"/>
        <rFont val="Arial"/>
        <family val="2"/>
      </rPr>
      <t>:</t>
    </r>
  </si>
  <si>
    <t>cubic feet of natural gas per household (average annual household heating usage; transmission and distribution losses considered negligible)</t>
  </si>
  <si>
    <t>• CO2 emissions from __ gallons of gasoline consumed:</t>
  </si>
  <si>
    <t>metric tons carbon dioxide sequestered annually by one acre of average U.S. forest</t>
  </si>
  <si>
    <t>• Carbon sequestered by __ acres of U.S. forests in one year:</t>
  </si>
  <si>
    <r>
      <t>MMTCO</t>
    </r>
    <r>
      <rPr>
        <vertAlign val="subscript"/>
        <sz val="10"/>
        <rFont val="Arial"/>
        <family val="2"/>
      </rPr>
      <t>2</t>
    </r>
    <r>
      <rPr>
        <sz val="10"/>
        <rFont val="Arial"/>
        <family val="2"/>
      </rPr>
      <t>E/yr = million standard cubic feet per day (mmscfd) of LFG utilized * 0.90 [gross capacity factor] * (365 days/year) *
(1E+06 standard cubic feet/million standard cubic feet) * (0.5 standard cubic feet methane/standard cubic foot landfill gas) *
(1,012 Btu/standard cubic foot methane) / (1,050 Btu/standard cubic foot natural gas) * (0.12037 pounds carbon dioxide/standard cubic foot natural gas) /
(2,000 pounds/short ton) * (0.9072 metric tons/short ton) / (1E+06 metric tons/million metric tons)</t>
    </r>
  </si>
  <si>
    <t>metric tons carbon dioxide emitted per railcar of coal burned</t>
  </si>
  <si>
    <t>metric tons carbon dioxide emitted per barrel of oil consumed</t>
  </si>
  <si>
    <t>metric tons carbon dioxide emitted per gallon of gasoline consumed</t>
  </si>
  <si>
    <r>
      <t xml:space="preserve">[Ref: </t>
    </r>
    <r>
      <rPr>
        <i/>
        <sz val="8"/>
        <rFont val="Arial"/>
        <family val="2"/>
      </rPr>
      <t>Compilation of Air Pollutant Emission Factors (AP-42)</t>
    </r>
    <r>
      <rPr>
        <sz val="8"/>
        <rFont val="Arial"/>
        <family val="2"/>
      </rPr>
      <t>. US EPA. Volume 1, Fifth Edition. Sept 1985. App. A, Pg A-6.]</t>
    </r>
  </si>
  <si>
    <t>National Average</t>
  </si>
  <si>
    <t>varies</t>
  </si>
  <si>
    <t>[Ref: 2013 Revisions to the Greenhouse Gas Reporting Rule. U.S. EPA. Nov. 2013. Table C-1.</t>
  </si>
  <si>
    <r>
      <t>Conversion from kg CO</t>
    </r>
    <r>
      <rPr>
        <vertAlign val="subscript"/>
        <sz val="8"/>
        <rFont val="Arial"/>
        <family val="2"/>
      </rPr>
      <t>2</t>
    </r>
    <r>
      <rPr>
        <sz val="8"/>
        <rFont val="Arial"/>
        <family val="2"/>
      </rPr>
      <t>/mmBtu assumed weighted national average for heating value of 1,029 Btu/scf.]</t>
    </r>
  </si>
  <si>
    <r>
      <t>Select the AVERT region for the location of the electricity project. As an alternative, you may use the national average value. (See 'CO</t>
    </r>
    <r>
      <rPr>
        <vertAlign val="subscript"/>
        <sz val="10"/>
        <color indexed="17"/>
        <rFont val="Arial"/>
        <family val="2"/>
      </rPr>
      <t>2</t>
    </r>
    <r>
      <rPr>
        <sz val="10"/>
        <color indexed="17"/>
        <rFont val="Arial"/>
        <family val="2"/>
      </rPr>
      <t xml:space="preserve"> Emission Factors' tab for map and names of AVERT regions.):</t>
    </r>
  </si>
  <si>
    <r>
      <rPr>
        <sz val="10"/>
        <rFont val="Arial"/>
        <family val="2"/>
      </rPr>
      <t xml:space="preserve">For additional environmental benefit options, view the </t>
    </r>
    <r>
      <rPr>
        <u/>
        <sz val="10"/>
        <color indexed="12"/>
        <rFont val="Arial"/>
        <family val="2"/>
      </rPr>
      <t>Greenhouse Gas Equivalencies Calculator</t>
    </r>
    <r>
      <rPr>
        <sz val="10"/>
        <rFont val="Arial"/>
        <family val="2"/>
      </rPr>
      <t xml:space="preserve"> on EPA's Energy and the Environment website.</t>
    </r>
  </si>
  <si>
    <r>
      <rPr>
        <sz val="8"/>
        <rFont val="Arial"/>
        <family val="2"/>
      </rPr>
      <t xml:space="preserve">Environmental factors are from the Greenhouse Gas Equivalencies Calculator on EPA's Energy and the Environment website at </t>
    </r>
    <r>
      <rPr>
        <u/>
        <sz val="8"/>
        <color indexed="12"/>
        <rFont val="Arial"/>
        <family val="2"/>
      </rPr>
      <t xml:space="preserve">
https://www.epa.gov/energy/greenhouse-gas-equivalencies-calculator</t>
    </r>
  </si>
  <si>
    <r>
      <rPr>
        <b/>
        <sz val="10"/>
        <color rgb="FF0000FF"/>
        <rFont val="Arial"/>
        <family val="2"/>
      </rPr>
      <t xml:space="preserve">Instructions:  </t>
    </r>
    <r>
      <rPr>
        <sz val="10"/>
        <color rgb="FF0000FF"/>
        <rFont val="Arial"/>
        <family val="2"/>
      </rPr>
      <t>This calculator estimates the direct methane, avoided carbon dioxide and total GHG reductions attributable to an LFG energy project for the current year, calculated from the project size entered by the user. Estimates can be calculated for two types of LFG energy projects: (1) Electricity and (2) Direct-use. For electricity projects, users may either select the AVERT region where the project is located or use the national average value. Additional information about the AVERT regions and national average value as well as equations and references for all calculations in this tool are available in the final two tabs of this file.</t>
    </r>
  </si>
  <si>
    <t>https://www.govinfo.gov/content/pkg/FR-2013-11-29/pdf/2013-27996.pdf</t>
  </si>
  <si>
    <r>
      <rPr>
        <sz val="8"/>
        <rFont val="Arial"/>
        <family val="2"/>
      </rPr>
      <t xml:space="preserve">• For acres of forest:  Greenhouse Gas Equivalencies Calculator at </t>
    </r>
    <r>
      <rPr>
        <u/>
        <sz val="8"/>
        <color indexed="12"/>
        <rFont val="Arial"/>
        <family val="2"/>
      </rPr>
      <t>https://www.epa.gov/energy/greenhouse-gases-equivalencies-calculator-calculations-and-references#pineforests</t>
    </r>
  </si>
  <si>
    <t>https://www.epa.gov/sites/default/files/2020-11/documents/appa.pdf</t>
  </si>
  <si>
    <t>(PDF, 32 pp, 104K)</t>
  </si>
  <si>
    <t>(PDF, 79 pp, 932K)</t>
  </si>
  <si>
    <r>
      <rPr>
        <sz val="8"/>
        <rFont val="Arial"/>
        <family val="2"/>
      </rPr>
      <t xml:space="preserve">• For railcars of coal:  Greenhouse Gas Equivalencies Calculator at </t>
    </r>
    <r>
      <rPr>
        <u/>
        <sz val="8"/>
        <color indexed="12"/>
        <rFont val="Arial"/>
        <family val="2"/>
      </rPr>
      <t>https://www.epa.gov/energy/greenhouse-gases-equivalencies-calculator-calculations-and-references#railcars</t>
    </r>
  </si>
  <si>
    <r>
      <rPr>
        <sz val="8"/>
        <rFont val="Arial"/>
        <family val="2"/>
      </rPr>
      <t xml:space="preserve">• For barrels of oil:  Greenhouse Gas Equivalencies Calculator at </t>
    </r>
    <r>
      <rPr>
        <u/>
        <sz val="8"/>
        <color indexed="12"/>
        <rFont val="Arial"/>
        <family val="2"/>
      </rPr>
      <t>https://www.epa.gov/energy/greenhouse-gases-equivalencies-calculator-calculations-and-references#oil</t>
    </r>
  </si>
  <si>
    <r>
      <rPr>
        <sz val="8"/>
        <rFont val="Arial"/>
        <family val="2"/>
      </rPr>
      <t xml:space="preserve">• For gallons of gasoline:  Greenhouse Gas Equivalencies Calculator at </t>
    </r>
    <r>
      <rPr>
        <u/>
        <sz val="8"/>
        <color indexed="12"/>
        <rFont val="Arial"/>
        <family val="2"/>
      </rPr>
      <t>https://www.epa.gov/energy/greenhouse-gases-equivalencies-calculator-calculations-and-references#gasoline</t>
    </r>
  </si>
  <si>
    <t>Last Updated: May 2023</t>
  </si>
  <si>
    <r>
      <t>pounds carbon dioxide/kilowatt-hour; regional grid factors for 2022 from EPA's AVERT (see 'CO</t>
    </r>
    <r>
      <rPr>
        <vertAlign val="subscript"/>
        <sz val="10"/>
        <rFont val="Arial"/>
        <family val="2"/>
      </rPr>
      <t>2</t>
    </r>
    <r>
      <rPr>
        <sz val="10"/>
        <rFont val="Arial"/>
        <family val="2"/>
      </rPr>
      <t xml:space="preserve"> Emission Factors' tab)</t>
    </r>
  </si>
  <si>
    <t>pounds carbon dioxide/kilowatt-hour (estimated national average electric power plant emission rate for 2022 from EPA's AVERT)</t>
  </si>
  <si>
    <r>
      <t xml:space="preserve">• For households:  </t>
    </r>
    <r>
      <rPr>
        <i/>
        <sz val="8"/>
        <rFont val="Arial"/>
        <family val="2"/>
      </rPr>
      <t>2020 Residential Energy Consumption Survey: Consumption &amp; Expenditures Tables</t>
    </r>
    <r>
      <rPr>
        <sz val="8"/>
        <rFont val="Arial"/>
        <family val="2"/>
      </rPr>
      <t xml:space="preserve"> (Release date March 29, 2023). US DOE/EIA. Table CE2.1.</t>
    </r>
  </si>
  <si>
    <t>https://www.eia.gov/consumption/residential/data/2020/index.php?view=consumption</t>
  </si>
  <si>
    <t>GWP of methane [updated May 2023 to reflect the Fifth Assessment Report of the Intergovernmental Panel on Climate Change (IPCC)]</t>
  </si>
  <si>
    <r>
      <t>MMTCO</t>
    </r>
    <r>
      <rPr>
        <vertAlign val="subscript"/>
        <sz val="10"/>
        <rFont val="Arial"/>
        <family val="2"/>
      </rPr>
      <t>2</t>
    </r>
    <r>
      <rPr>
        <sz val="10"/>
        <rFont val="Arial"/>
        <family val="2"/>
      </rPr>
      <t>E/yr = megawatts (MW) of generating capacity * 0.93 [gross capacity factor] * (8,760 hours/year) * (1,000 kilowatts/megawatt) *
(11,700 Btu/kilowatt-hour) / (1,012 Btu/standard cubic foot methane) * (0.0423 pounds methane/standard cubic foot methane) / (2,000 pounds/short ton) *
(0.9072 metric tons/short ton) / (1E+06 metric tons/million metric tons) * 28 [GWP of methane]</t>
    </r>
  </si>
  <si>
    <r>
      <t>tons CH</t>
    </r>
    <r>
      <rPr>
        <vertAlign val="subscript"/>
        <sz val="10"/>
        <rFont val="Arial"/>
        <family val="2"/>
      </rPr>
      <t>4</t>
    </r>
    <r>
      <rPr>
        <sz val="10"/>
        <rFont val="Arial"/>
        <family val="2"/>
      </rPr>
      <t>/yr = MMTCO</t>
    </r>
    <r>
      <rPr>
        <vertAlign val="subscript"/>
        <sz val="10"/>
        <rFont val="Arial"/>
        <family val="2"/>
      </rPr>
      <t>2</t>
    </r>
    <r>
      <rPr>
        <sz val="10"/>
        <rFont val="Arial"/>
        <family val="2"/>
      </rPr>
      <t>E/yr * (1E+06 metric tons/million metric tons) / (0.9072 metric tons/short ton) / 28 [GWP of methane]</t>
    </r>
  </si>
  <si>
    <r>
      <t>MMTCO</t>
    </r>
    <r>
      <rPr>
        <vertAlign val="subscript"/>
        <sz val="10"/>
        <rFont val="Arial"/>
        <family val="2"/>
      </rPr>
      <t>2</t>
    </r>
    <r>
      <rPr>
        <sz val="10"/>
        <rFont val="Arial"/>
        <family val="2"/>
      </rPr>
      <t>E/yr = million standard cubic feet per day (mmscfd) of LFG utilized * (365 days/year) * (1E+06 standard cubic feet/million standard cubic feet) *
(0.5 standard cubic feet methane/standard cubic foot landfill gas) * (0.0423 pounds methane/standard cubic foot methane) / (2,000 pounds/short ton) *
(0.9072 metric tons/short ton) / (1E+06 metric tons/million metric tons) * 28 [GWP of methane]</t>
    </r>
  </si>
  <si>
    <r>
      <t>MMTCO</t>
    </r>
    <r>
      <rPr>
        <vertAlign val="subscript"/>
        <sz val="10"/>
        <rFont val="Arial"/>
        <family val="2"/>
      </rPr>
      <t>2</t>
    </r>
    <r>
      <rPr>
        <sz val="10"/>
        <rFont val="Arial"/>
        <family val="2"/>
      </rPr>
      <t>E/yr = megawatts (MW) of generating capacity * 0.85 [net capacity factor] * (8,760 hours/year) * (1,000 kilowatts/megawatt) *
(regional or national grid factor for 2022 in pounds/kilowatt-hour) / (2,000 pounds/short ton) * (0.9072 metric tons/short ton) / (1E+06 metric tons/million metric tons)</t>
    </r>
  </si>
  <si>
    <t>Color Legend for Cells</t>
  </si>
  <si>
    <t>WARM User’s Guide</t>
  </si>
  <si>
    <t>User inputs</t>
  </si>
  <si>
    <t>Calculating Greenhouse Gas Emissions, Energy Impacts, and Economic Impacts with the Excel© Version of the Waste Reduction Model</t>
  </si>
  <si>
    <t>Calculated or locked cells</t>
  </si>
  <si>
    <t>NA</t>
  </si>
  <si>
    <t>Data cannot be entered</t>
  </si>
  <si>
    <t>Color Legend For Tabs</t>
  </si>
  <si>
    <t>WHAT IS THE WASTE REDUCTION MODEL?</t>
  </si>
  <si>
    <t>EPA created the Waste Reduction Model (WARM) to provide high-level comparisons of potential greenhouse gas (GHG) emissions reductions, energy savings, and economic impacts when considering different materials management practices. Materials management practices include - source reduction, recycling, anaerobic digestion, combustion, composting and landfilling.  
WARM is a comparative tool rather than a comprehensive measurement tool. WARM was not developed for and, as such, should not be used for final site-specific materials management decisions, when other human health and environmental impacts of the different management methods may need to be considered (such as air pollution, water pollution, noise, etc.). It also should not be used for developing GhG inventories, which need to establish a baseline and measure reductions over time on an annual basis for an entity. 
WARM calculates GHG emissions, energy savings, and economic impacts for baseline and alternative waste management practices, including source reduction, recycling, combustion, composting, and landfilling. The model calculates emissions in metric tons of carbon dioxide equivalent (MTCO2E), energy in millions of BTUs (MMBTU), wage impacts, tax impacts, and labor hours supported across a wide range of material types commonly found in municipal solid waste (MSW).
The user can construct various scenarios by simply entering data on the amount of waste handled by material type and by management practice. WARM then automatically applies material-specific emission, energy and economic factors for each management practice to calculate the GHG emissions, energy savings, and economic impacts of each scenario. Several key inputs, such as landfill gas recovery practices and transportation distances to MSW facilities, can be modified by the user.
The GHG emission factors used in WARM are based on a life cycle perspective. The model documentation describes this methodology in detail.</t>
  </si>
  <si>
    <t>GHG and Energy Impacts</t>
  </si>
  <si>
    <t>Economic Impacts</t>
  </si>
  <si>
    <t>WHO SHOULD USE WARM?</t>
  </si>
  <si>
    <t>WARM was developed for solid waste managers (from state and local governments and other organizations) who want to estimate and compare the GHG emissions, energy savings and economic impacts associated with different waste management options. Emissions, energy savings and economic estimates provided by WARM are intended to support broad solid waste planning. WARM is a comparative tool rather than a comprehensive measurement tool. WARM was not developed for and, as such, should not be used for final site-specific materials management decisions, when other human health and environmental impacts of the different management methods may need to be considered (such as air pollution, water pollution, noise, etc.). It also should not be used for developing GhG inventories, which need to establish a baseline and measure reductions over time on an annual basis for an entity.</t>
  </si>
  <si>
    <t>USING THE EXCEL© VERSION OF WARM</t>
  </si>
  <si>
    <t>Before using WARM, you first need to gather data on your baseline waste management practices and an alternative scenario. In order to effectively use the tool, users should know how many tons of waste you manage (or would manage) for a given time period under each scenario by material type and by management practice. The model allows you to customize your results based on project-specific landfill gas recovery practices, anaerobic digestion practices, and transportation distances. Note that you may use default values if you are unsure of landfill gas recovery practices, anaerobic digestion practices and/or transportation distances.</t>
  </si>
  <si>
    <t>Instructions:</t>
  </si>
  <si>
    <t>-- Click on the “Analysis Inputs” tab at the bottom center of the screen to open the input sheet. Follow the instructions for Steps 1 and 2. This involves filling in the tables describing your baseline and proposed alternative waste management scenarios. Please enter data in short tons (1 short ton = 2,000 lbs.). The "mixed" material types are defined as the following:
Mixed Metals: Aluminum Cans 35%, Steel Cans 65%
Mixed Plastics: HDPE 40%, PET 60%
Mixed Electronics: Desktop CPUs 10%, Portable Electronic Devices 12%, Flat-Panel Displays 45%, CRT Displays 13%, Electronic Peripherals 2%, Hard-Copy Devices 19%
Mixed Paper (general): Corrugated Containers 48%, Magazines/Third-class Mail 8%, Newspaper 24%, Office Paper 20%
Mixed Paper (primarily residential): Corrugated Containers 53%, Magazines/Third-class Mail 10%, Newspaper 23%, Office Paper 14%
Mixed Paper (primarily from offices): Corrugated Containers 5%, Magazines/Third-class Mail 36%, Newspaper 21%, Office Paper 38%
Mixed Recyclables: Aluminum Cans 1.3%, Steel Cans 2.4%, Glass 6.0%, HDPE 1.2%, PET 1.8%, Corrugated Containers 56.8%, Magazines/Third-class Mail 7.3%, Newspaper 9.6%, Office Paper 7.8%, Phonebooks 0.1%, Textbooks 0.6%, Dimensional Lumber 5.2%
Food Waste: Beef 9%, Poultry 11%, Grains 13%, Fruits and Vegetables 49%, Dairy Products 18%
Food Waste (meat only): Beef 46%, Poultry 54%
Food Waste (non-meat): Grains 16%, Fruits and Vegetables 61%, Dairy Products 22%
Mixed Organics: Food Waste 53%, Yard Trimmings 47%
Mixed MSW: Grass 5.2%, Leaves 6.8%, Branches 5.0%, Wood 5.1%, Food Waste 18.1%, Pastic 10.1%, Metal 2.3%, Glass 4.4%, Magazines/Third-class mail 2.7%, Newsprint 4.5%, Corrugated Cardboard 14.2%, Office Paper 2.4%, Other Paper 10.0%, Other (e.g., Textiles, Rubber/Leather) 8.8%
For more information on these mixed material weightings, please reference the model documentation chapters specific to each material type.
-- Fill in the data requested in Steps 3–9. WARM will use the answers to these questions to customize GHG estimates to reflect your waste management situation and location. For example, you are asked for data on transportation distances and on your landfill gas recovery systems, if applicable. If the requested data are not available, WARM will use the national average defaults.
-- Step 10 allows you to customize your report, with your name, organization, and project period.
-- Once you have completed Steps 1–9 on the “Analysis Inputs” sheet, WARM will calculate the GHG emissions, energy, and economic impacts attributable to the baseline and alternative waste management scenarios you have specified. Emissions, energy, and economic impact calculations are presented on separate output sheets, as described below. From the “Analysis Inputs” sheet, click on a tab at the bottom of the screen for the results sheet you want to view first.
-- The “Summary Report” sheet provides a concise report of GHG emissions, energy, or economic results from the baseline and alternative waste management scenarios, as well as an estimate of net emissions, energy, wages, taxes, or labor hours.
-- The “Analysis Results” sheet shows GHG emissions, energy, or economic results for each scenario in the units selected. You can compare the total impact of the baseline and alternative scenarios, or, if you want more detail, you can scroll down to view GHG emissions, energy, or economic results by material type and management practice. The bottom table shows the relative emissions, energy, wages, taxes, or labor hours difference between the alternative and baseline scenarios for each material type and management pathway.</t>
  </si>
  <si>
    <t>ASSISTANCE</t>
  </si>
  <si>
    <t>If you need additional assistance with using WARM, please email orcrWARMquestions@epa.gov.</t>
  </si>
  <si>
    <t>Waste Reduction Model (WARM) -- Results</t>
  </si>
  <si>
    <r>
      <t>Total GHG Emissions from Baseline MSW Generation and Management (MTCO</t>
    </r>
    <r>
      <rPr>
        <b/>
        <vertAlign val="subscript"/>
        <sz val="10"/>
        <rFont val="Arial"/>
        <family val="2"/>
      </rPr>
      <t>2</t>
    </r>
    <r>
      <rPr>
        <b/>
        <sz val="10"/>
        <rFont val="Arial"/>
        <family val="2"/>
      </rPr>
      <t>E):</t>
    </r>
  </si>
  <si>
    <r>
      <t>Total GHG Emissions from Alternative MSW Generation and Management (MTCO</t>
    </r>
    <r>
      <rPr>
        <b/>
        <vertAlign val="subscript"/>
        <sz val="10"/>
        <rFont val="Arial"/>
        <family val="2"/>
      </rPr>
      <t>2</t>
    </r>
    <r>
      <rPr>
        <b/>
        <sz val="10"/>
        <rFont val="Arial"/>
        <family val="2"/>
      </rPr>
      <t xml:space="preserve">E): </t>
    </r>
  </si>
  <si>
    <r>
      <t>Incremental GHG Emissions (MTCO</t>
    </r>
    <r>
      <rPr>
        <b/>
        <vertAlign val="subscript"/>
        <sz val="10"/>
        <rFont val="Arial"/>
        <family val="2"/>
      </rPr>
      <t>2</t>
    </r>
    <r>
      <rPr>
        <b/>
        <sz val="10"/>
        <rFont val="Arial"/>
        <family val="2"/>
      </rPr>
      <t>E):</t>
    </r>
  </si>
  <si>
    <r>
      <t>MTCO</t>
    </r>
    <r>
      <rPr>
        <b/>
        <vertAlign val="subscript"/>
        <sz val="10"/>
        <rFont val="Arial"/>
        <family val="2"/>
      </rPr>
      <t>2</t>
    </r>
    <r>
      <rPr>
        <b/>
        <sz val="10"/>
        <rFont val="Arial"/>
        <family val="2"/>
      </rPr>
      <t>E = metric tons of carbon dioxide equivalent</t>
    </r>
  </si>
  <si>
    <t>Per Ton Estimates of GHG Emissions for Baseline and Alternative Management Scenarios</t>
  </si>
  <si>
    <t>Material</t>
  </si>
  <si>
    <r>
      <t>GHG Emissions per Ton of Material Produced (MTCO</t>
    </r>
    <r>
      <rPr>
        <b/>
        <vertAlign val="subscript"/>
        <sz val="6.5"/>
        <rFont val="Arial"/>
        <family val="2"/>
      </rPr>
      <t>2</t>
    </r>
    <r>
      <rPr>
        <b/>
        <sz val="6.5"/>
        <rFont val="Arial"/>
        <family val="2"/>
      </rPr>
      <t>E)</t>
    </r>
  </si>
  <si>
    <r>
      <t>GHG Emissions per Ton of Material Source Reduced (MTCO</t>
    </r>
    <r>
      <rPr>
        <b/>
        <vertAlign val="subscript"/>
        <sz val="6.5"/>
        <rFont val="Arial"/>
        <family val="2"/>
      </rPr>
      <t>2</t>
    </r>
    <r>
      <rPr>
        <b/>
        <sz val="6.5"/>
        <rFont val="Arial"/>
        <family val="2"/>
      </rPr>
      <t>E)</t>
    </r>
  </si>
  <si>
    <r>
      <t>GHG Emissions per Ton of Material Recycled (MTCO</t>
    </r>
    <r>
      <rPr>
        <b/>
        <vertAlign val="subscript"/>
        <sz val="6.5"/>
        <rFont val="Arial"/>
        <family val="2"/>
      </rPr>
      <t>2</t>
    </r>
    <r>
      <rPr>
        <b/>
        <sz val="6.5"/>
        <rFont val="Arial"/>
        <family val="2"/>
      </rPr>
      <t>E)</t>
    </r>
  </si>
  <si>
    <r>
      <t>GHG Emissions per Ton of Material Landfilled (MTCO</t>
    </r>
    <r>
      <rPr>
        <b/>
        <vertAlign val="subscript"/>
        <sz val="6.5"/>
        <rFont val="Arial"/>
        <family val="2"/>
      </rPr>
      <t>2</t>
    </r>
    <r>
      <rPr>
        <b/>
        <sz val="6.5"/>
        <rFont val="Arial"/>
        <family val="2"/>
      </rPr>
      <t>E)</t>
    </r>
  </si>
  <si>
    <r>
      <t>GHG Emissions per Ton of Material Combusted (MTCO</t>
    </r>
    <r>
      <rPr>
        <b/>
        <vertAlign val="subscript"/>
        <sz val="6.5"/>
        <rFont val="Arial"/>
        <family val="2"/>
      </rPr>
      <t>2</t>
    </r>
    <r>
      <rPr>
        <b/>
        <sz val="6.5"/>
        <rFont val="Arial"/>
        <family val="2"/>
      </rPr>
      <t>E)</t>
    </r>
  </si>
  <si>
    <r>
      <t>GHG Emissions per Ton of Material Composted (MTCO</t>
    </r>
    <r>
      <rPr>
        <b/>
        <vertAlign val="subscript"/>
        <sz val="6.5"/>
        <rFont val="Arial"/>
        <family val="2"/>
      </rPr>
      <t>2</t>
    </r>
    <r>
      <rPr>
        <b/>
        <sz val="6.5"/>
        <rFont val="Arial"/>
        <family val="2"/>
      </rPr>
      <t>E)</t>
    </r>
  </si>
  <si>
    <r>
      <t>GHG Emission per Ton of Material Anaerobically Digested (MTCO</t>
    </r>
    <r>
      <rPr>
        <b/>
        <vertAlign val="subscript"/>
        <sz val="6.5"/>
        <rFont val="Arial"/>
        <family val="2"/>
      </rPr>
      <t>2</t>
    </r>
    <r>
      <rPr>
        <b/>
        <sz val="6.5"/>
        <rFont val="Arial"/>
        <family val="2"/>
      </rPr>
      <t>E)</t>
    </r>
  </si>
  <si>
    <t>Corrugated Containers</t>
  </si>
  <si>
    <t>Magazines/third-class mail</t>
  </si>
  <si>
    <t>Newspaper</t>
  </si>
  <si>
    <t>Office Paper</t>
  </si>
  <si>
    <t>Phonebooks</t>
  </si>
  <si>
    <t>Textbooks</t>
  </si>
  <si>
    <t>Mixed Paper (general)</t>
  </si>
  <si>
    <t>Mixed Paper (primarily residential)</t>
  </si>
  <si>
    <t>Mixed Paper (primarily from offices)</t>
  </si>
  <si>
    <t>Food Waste</t>
  </si>
  <si>
    <t>Food Waste (non-meat)</t>
  </si>
  <si>
    <t>Food Waste (meat only)</t>
  </si>
  <si>
    <t>Beef</t>
  </si>
  <si>
    <t>Poultry</t>
  </si>
  <si>
    <t>Grains</t>
  </si>
  <si>
    <t>Bread</t>
  </si>
  <si>
    <t>Fruits and Vegetables</t>
  </si>
  <si>
    <t>Dairy Products</t>
  </si>
  <si>
    <t>Yard Trimmings</t>
  </si>
  <si>
    <t>Grass</t>
  </si>
  <si>
    <t>Leaves</t>
  </si>
  <si>
    <t>Branches</t>
  </si>
  <si>
    <t>HDPE</t>
  </si>
  <si>
    <t>LDPE</t>
  </si>
  <si>
    <t>PET</t>
  </si>
  <si>
    <t>LLDPE</t>
  </si>
  <si>
    <t>PP</t>
  </si>
  <si>
    <t>PS</t>
  </si>
  <si>
    <t>PVC</t>
  </si>
  <si>
    <t>Mixed Plastics</t>
  </si>
  <si>
    <t>PLA</t>
  </si>
  <si>
    <t>Desktop CPUs</t>
  </si>
  <si>
    <t>Portable Electronic Devices</t>
  </si>
  <si>
    <t>Flat-Panel Displays</t>
  </si>
  <si>
    <t>CRT Displays</t>
  </si>
  <si>
    <t>Electronic Peripherals</t>
  </si>
  <si>
    <t>Hard-Copy Devices</t>
  </si>
  <si>
    <t>Mixed Electronics</t>
  </si>
  <si>
    <t>Aluminum Cans</t>
  </si>
  <si>
    <t>Aluminum Ingot</t>
  </si>
  <si>
    <t>Steel Cans</t>
  </si>
  <si>
    <t>Copper Wire</t>
  </si>
  <si>
    <t>Mixed Metals</t>
  </si>
  <si>
    <t>Glass</t>
  </si>
  <si>
    <t>Asphalt Concrete</t>
  </si>
  <si>
    <t>Asphalt Shingles</t>
  </si>
  <si>
    <t>Carpet</t>
  </si>
  <si>
    <t>Clay Bricks</t>
  </si>
  <si>
    <t>Concrete</t>
  </si>
  <si>
    <t>Dimensional Lumber*</t>
  </si>
  <si>
    <t>Drywall</t>
  </si>
  <si>
    <t>Fiberglass Insulation</t>
  </si>
  <si>
    <t>Fly Ash</t>
  </si>
  <si>
    <t>Medium-density Fiberboard</t>
  </si>
  <si>
    <t>Structural Steel</t>
  </si>
  <si>
    <t>Vinyl Flooring</t>
  </si>
  <si>
    <t>Wood Flooring*</t>
  </si>
  <si>
    <t>Tires</t>
  </si>
  <si>
    <t>Mixed Recyclables</t>
  </si>
  <si>
    <t>Mixed Organics</t>
  </si>
  <si>
    <t>Mixed MSW</t>
  </si>
  <si>
    <t>GHG Emissions from Baseline Management of Municipal Solid Wastes</t>
  </si>
  <si>
    <t>Report Boolean</t>
  </si>
  <si>
    <t>Lookup</t>
  </si>
  <si>
    <t>Lookup 2</t>
  </si>
  <si>
    <t>Baseline Generation of Material (Tons)</t>
  </si>
  <si>
    <t>Baseline Recycling (Tons)</t>
  </si>
  <si>
    <r>
      <t>GHG Emissions from Recycling (MTCO</t>
    </r>
    <r>
      <rPr>
        <b/>
        <vertAlign val="subscript"/>
        <sz val="6.5"/>
        <rFont val="Arial"/>
        <family val="2"/>
      </rPr>
      <t>2</t>
    </r>
    <r>
      <rPr>
        <b/>
        <sz val="6.5"/>
        <rFont val="Arial"/>
        <family val="2"/>
      </rPr>
      <t>E)</t>
    </r>
  </si>
  <si>
    <t>Baseline Landfilling (Tons)</t>
  </si>
  <si>
    <r>
      <t>GHG Emissions from Landfilling (MTCO</t>
    </r>
    <r>
      <rPr>
        <b/>
        <vertAlign val="subscript"/>
        <sz val="6.5"/>
        <rFont val="Arial"/>
        <family val="2"/>
      </rPr>
      <t>2</t>
    </r>
    <r>
      <rPr>
        <b/>
        <sz val="6.5"/>
        <rFont val="Arial"/>
        <family val="2"/>
      </rPr>
      <t>E)</t>
    </r>
  </si>
  <si>
    <t>Baseline Combustion (Tons)</t>
  </si>
  <si>
    <r>
      <t>GHG Emissions from Combustion (MTCO</t>
    </r>
    <r>
      <rPr>
        <b/>
        <vertAlign val="subscript"/>
        <sz val="6.5"/>
        <rFont val="Arial"/>
        <family val="2"/>
      </rPr>
      <t>2</t>
    </r>
    <r>
      <rPr>
        <b/>
        <sz val="6.5"/>
        <rFont val="Arial"/>
        <family val="2"/>
      </rPr>
      <t>E)</t>
    </r>
  </si>
  <si>
    <t>Baseline Composting (Tons)</t>
  </si>
  <si>
    <r>
      <t>GHG Emissions from Composting (MTCO</t>
    </r>
    <r>
      <rPr>
        <b/>
        <vertAlign val="subscript"/>
        <sz val="6.5"/>
        <rFont val="Arial"/>
        <family val="2"/>
      </rPr>
      <t>2</t>
    </r>
    <r>
      <rPr>
        <b/>
        <sz val="6.5"/>
        <rFont val="Arial"/>
        <family val="2"/>
      </rPr>
      <t>E)</t>
    </r>
  </si>
  <si>
    <t>Baseline Anaerobic Digestion (Tons)</t>
  </si>
  <si>
    <t>GHG Emissions from Anaerobic Digestion (MTCO2E)</t>
  </si>
  <si>
    <r>
      <t>Total GHG Emissions (MTCO</t>
    </r>
    <r>
      <rPr>
        <b/>
        <vertAlign val="subscript"/>
        <sz val="6.5"/>
        <rFont val="Arial"/>
        <family val="2"/>
      </rPr>
      <t>2</t>
    </r>
    <r>
      <rPr>
        <b/>
        <sz val="6.5"/>
        <rFont val="Arial"/>
        <family val="2"/>
      </rPr>
      <t>E)</t>
    </r>
  </si>
  <si>
    <t>Total</t>
  </si>
  <si>
    <t>GHG Emissions from Alternative Management of Municipal Solid Wastes</t>
  </si>
  <si>
    <t>Alternative Source Reduction (Tons)</t>
  </si>
  <si>
    <r>
      <t>GHG Emissions from Source Reduction (MTCO</t>
    </r>
    <r>
      <rPr>
        <b/>
        <vertAlign val="subscript"/>
        <sz val="6.5"/>
        <rFont val="Arial"/>
        <family val="2"/>
      </rPr>
      <t>2</t>
    </r>
    <r>
      <rPr>
        <b/>
        <sz val="6.5"/>
        <rFont val="Arial"/>
        <family val="2"/>
      </rPr>
      <t>E)</t>
    </r>
  </si>
  <si>
    <t>Alternative Recycling (Tons)</t>
  </si>
  <si>
    <t>Alternative Landfilling (Tons)</t>
  </si>
  <si>
    <t>Alternative Combustion (Tons)</t>
  </si>
  <si>
    <t>Alternative Composting (Tons)</t>
  </si>
  <si>
    <t>Alternative Anaerobic Digestion (Tons)</t>
  </si>
  <si>
    <t>Incremental GHG Emissions from Alternative Alternative Management of Municipal Solid Wastes</t>
  </si>
  <si>
    <t>Source Reduction (Tons)</t>
  </si>
  <si>
    <r>
      <t>Incremental GHG Emissions from Source Reduction (MTCO</t>
    </r>
    <r>
      <rPr>
        <b/>
        <vertAlign val="subscript"/>
        <sz val="6.5"/>
        <rFont val="Arial"/>
        <family val="2"/>
      </rPr>
      <t>2</t>
    </r>
    <r>
      <rPr>
        <b/>
        <sz val="6.5"/>
        <rFont val="Arial"/>
        <family val="2"/>
      </rPr>
      <t>E)</t>
    </r>
  </si>
  <si>
    <t>Incremental Recycling (Tons)</t>
  </si>
  <si>
    <r>
      <t>Incremental GHG Emissions from Recycling (MTCO</t>
    </r>
    <r>
      <rPr>
        <b/>
        <vertAlign val="subscript"/>
        <sz val="6.5"/>
        <rFont val="Arial"/>
        <family val="2"/>
      </rPr>
      <t>2</t>
    </r>
    <r>
      <rPr>
        <b/>
        <sz val="6.5"/>
        <rFont val="Arial"/>
        <family val="2"/>
      </rPr>
      <t>E)</t>
    </r>
  </si>
  <si>
    <t>Incremental Landfilling (Tons)</t>
  </si>
  <si>
    <r>
      <t>Incremental GHG Emissions from Landfilling (MTCO</t>
    </r>
    <r>
      <rPr>
        <b/>
        <vertAlign val="subscript"/>
        <sz val="6.5"/>
        <rFont val="Arial"/>
        <family val="2"/>
      </rPr>
      <t>2</t>
    </r>
    <r>
      <rPr>
        <b/>
        <sz val="6.5"/>
        <rFont val="Arial"/>
        <family val="2"/>
      </rPr>
      <t>E)</t>
    </r>
  </si>
  <si>
    <t>Incremental Combustion (Tons)</t>
  </si>
  <si>
    <r>
      <t>Incremental GHG Emissions from Combustion (MTCO</t>
    </r>
    <r>
      <rPr>
        <b/>
        <vertAlign val="subscript"/>
        <sz val="6.5"/>
        <rFont val="Arial"/>
        <family val="2"/>
      </rPr>
      <t>2</t>
    </r>
    <r>
      <rPr>
        <b/>
        <sz val="6.5"/>
        <rFont val="Arial"/>
        <family val="2"/>
      </rPr>
      <t>E)</t>
    </r>
  </si>
  <si>
    <t>Incremental Composting (Tons)</t>
  </si>
  <si>
    <r>
      <t>Incremental GHG Emissions from Composting (MTCO</t>
    </r>
    <r>
      <rPr>
        <b/>
        <vertAlign val="subscript"/>
        <sz val="6.5"/>
        <rFont val="Arial"/>
        <family val="2"/>
      </rPr>
      <t>2</t>
    </r>
    <r>
      <rPr>
        <b/>
        <sz val="6.5"/>
        <rFont val="Arial"/>
        <family val="2"/>
      </rPr>
      <t>E)</t>
    </r>
  </si>
  <si>
    <t>Incremental Anaerobic Digestion (Tons)</t>
  </si>
  <si>
    <r>
      <t>Incremental GHG Emissions from Anaerobic Digestion (MTCO</t>
    </r>
    <r>
      <rPr>
        <b/>
        <vertAlign val="subscript"/>
        <sz val="6.5"/>
        <rFont val="Arial"/>
        <family val="2"/>
      </rPr>
      <t>2</t>
    </r>
    <r>
      <rPr>
        <b/>
        <sz val="6.5"/>
        <rFont val="Arial"/>
        <family val="2"/>
      </rPr>
      <t>E)</t>
    </r>
  </si>
  <si>
    <r>
      <t>Total Incremental GHG Emissions (MTCO</t>
    </r>
    <r>
      <rPr>
        <b/>
        <vertAlign val="subscript"/>
        <sz val="6.5"/>
        <rFont val="Arial"/>
        <family val="2"/>
      </rPr>
      <t>2</t>
    </r>
    <r>
      <rPr>
        <b/>
        <sz val="6.5"/>
        <rFont val="Arial"/>
        <family val="2"/>
      </rPr>
      <t>E)</t>
    </r>
  </si>
  <si>
    <t>*Wood Flooring and Dimensional Lumber model reuse under the recycling management pathway.</t>
  </si>
  <si>
    <t>a) For explanation of methodology, see the EPA WARM Documentation:</t>
  </si>
  <si>
    <t>Documentation Chapters for Greenhouse Gas Emission and Energy Factors Used in the Waste Reduction Model (WARM)</t>
  </si>
  <si>
    <t>-- available on the Internet at https://www.epa.gov/warm/documentation-chapters-greenhouse-gas-emission-and-energy-factors-used-waste-reduction-model</t>
  </si>
  <si>
    <t>b)  Emissions estimates provided by this model are intended to support voluntary GHG measurement</t>
  </si>
  <si>
    <t>and reporting initiatives.</t>
  </si>
  <si>
    <t>Emissions Reductions through Source Reduction &amp; AD Efforts</t>
  </si>
  <si>
    <t>Anticipated Tons for AD Facility</t>
  </si>
  <si>
    <t>Total Emission Reduction by Waste Stream Category</t>
  </si>
  <si>
    <t>Total Emission Reduction Estimate MTCO2E</t>
  </si>
  <si>
    <t>Passenger-Miles per Gallon</t>
  </si>
  <si>
    <t>Passenger-miles per gallon (pmpg) is a metric for comparing passenger vehicle travel across modes. Transportation system efficiency increases as the number of passengers increases or as the vehicle fuel economy increases for each transportation mode.</t>
  </si>
  <si>
    <t>Vehicle</t>
  </si>
  <si>
    <t>mpg*</t>
  </si>
  <si>
    <t>Car – national average</t>
  </si>
  <si>
    <t>Car – high occupancy</t>
  </si>
  <si>
    <t>Pickup Truck – national average</t>
  </si>
  <si>
    <t>Pickup Truck – high occupancy</t>
  </si>
  <si>
    <t>Transit Bus – national average**</t>
  </si>
  <si>
    <t>Transit Bus – high ridership</t>
  </si>
  <si>
    <t>Transit Train – national average**</t>
  </si>
  <si>
    <t>Transit Train – high ridership</t>
  </si>
  <si>
    <t>* All fuel converted to gallons of gasoline on an energy content basis. For trains, most of this fuel is electricity.</t>
  </si>
  <si>
    <t>** National average ridership numbers are from table 2.13 of the Transportation Energy Data Book.</t>
  </si>
  <si>
    <t>Regional Transit Authority Annual Miles (2022)</t>
  </si>
  <si>
    <t>Local Service</t>
  </si>
  <si>
    <t>Inter City (Paso Robles - San Luis Obispo)</t>
  </si>
  <si>
    <t>Miles</t>
  </si>
  <si>
    <t>Avg, Gallons/Mile</t>
  </si>
  <si>
    <t>https://afdc.energy.gov/conserve/public_transportation.html</t>
  </si>
  <si>
    <t>Total Gallons/year</t>
  </si>
  <si>
    <t>2025-2035</t>
  </si>
  <si>
    <t>2035-2050 (1.5x for increased service)</t>
  </si>
  <si>
    <t>Total 2025-2050</t>
  </si>
  <si>
    <t>Total 2025-2030</t>
  </si>
  <si>
    <t>422909 Metric Tons of CO2</t>
  </si>
  <si>
    <t>76893 Metric Tons of CO2</t>
  </si>
  <si>
    <t>https://www.epa.gov/energy/greenhouse-gas-equivalencies-calculator</t>
  </si>
  <si>
    <t>*    https://www.epa.gov/energy/greenhouse-gas-equivalencies-calculator</t>
  </si>
  <si>
    <t>* EPA CO2 Calculator</t>
  </si>
  <si>
    <t>https://www.eia.gov/tools/faqs/faq.php?id=104&amp;t=3</t>
  </si>
  <si>
    <t xml:space="preserve">US Energy Information Administration </t>
  </si>
  <si>
    <t>1MW solar = 8,760MWh at 24hrs production</t>
  </si>
  <si>
    <t>Solar Installation (in MW)</t>
  </si>
  <si>
    <t>Peak Hours</t>
  </si>
  <si>
    <t>Total Annual MWh</t>
  </si>
  <si>
    <t>Total Annual KWh</t>
  </si>
  <si>
    <t>https://ww2.arb.ca.gov/sites/default/files/2022-06/ratesanddemand_ADA.pdf</t>
  </si>
  <si>
    <t>Estimated Electric Bus Use per month 10,000 kwh</t>
  </si>
  <si>
    <t>California Air Resouces Board</t>
  </si>
  <si>
    <t>Annual Number of Electric Buses Powered by 5MW Solar</t>
  </si>
  <si>
    <t>Current Total Buses</t>
  </si>
  <si>
    <t>Future Estimated Growth (2035)</t>
  </si>
  <si>
    <t>2025-2050</t>
  </si>
  <si>
    <t>2025-2030</t>
  </si>
  <si>
    <t>GHG Total 2025-2030</t>
  </si>
  <si>
    <t>GHG Total 2025-2050</t>
  </si>
  <si>
    <t>Metric Tons of CO2 / year</t>
  </si>
  <si>
    <t>Power (Electric and Vehicle Charging)</t>
  </si>
  <si>
    <t>Total GHG Reduction</t>
  </si>
  <si>
    <t>* Not Calculated GHG Emission Reductions</t>
  </si>
  <si>
    <t>GHG Emission Reduction through Biochar Application</t>
  </si>
  <si>
    <t>Reduced Fertilizer Usage converted to GHG Emissions Reductions</t>
  </si>
  <si>
    <t>Anaerobic Digestor (Methane Capture)</t>
  </si>
  <si>
    <t>Landfill (Methane Capture)</t>
  </si>
  <si>
    <t>Estimated GHG Reduction Estimates, For Solar Power Generation</t>
  </si>
  <si>
    <t>kwh</t>
  </si>
  <si>
    <t>Estimated GHG Reduction Estimates, For Landfill Gas Energy Production</t>
  </si>
  <si>
    <t>* to include power for full Regional Transit Authority Fleet and to calculate remaining power</t>
  </si>
  <si>
    <t xml:space="preserve">(2) Generators </t>
  </si>
  <si>
    <t>230kw/h production</t>
  </si>
  <si>
    <t>kwh per bus per year</t>
  </si>
  <si>
    <t>total kwh produced by (2) generators annually</t>
  </si>
  <si>
    <t>Remaining Power After RTA Bus Usage</t>
  </si>
  <si>
    <t>Transit (RTA Emissions Avoided by Converting to Renewable Power)</t>
  </si>
  <si>
    <t>Total Estimated GHG Reductions/ Project/ Time Frame (MTCO2E)</t>
  </si>
  <si>
    <t>Tab 2</t>
  </si>
  <si>
    <t>Tab 3</t>
  </si>
  <si>
    <t>Tab 4</t>
  </si>
  <si>
    <t>Transit (Remaining Emissions Avoided by Landfill Power Generation)</t>
  </si>
  <si>
    <t>Tab 5</t>
  </si>
  <si>
    <t>Tab 6</t>
  </si>
  <si>
    <t>* Los Angeles typically receives 6 peak hours of sun</t>
  </si>
  <si>
    <t>Kw/year</t>
  </si>
  <si>
    <t>5MW (15 acres)</t>
  </si>
  <si>
    <t>30 MW (90 acres)</t>
  </si>
  <si>
    <t>kw/year</t>
  </si>
  <si>
    <t>TOTAL</t>
  </si>
  <si>
    <t>-</t>
  </si>
  <si>
    <t>GHG Reduction Value</t>
  </si>
  <si>
    <t>(30Mw -5Mw Total) Estimated Expansion Reduction Total</t>
  </si>
  <si>
    <t>Reduced Vehicle Miles Travelled by vendors: Waste Haulers, FOG Haulers, Bisolids Haulers, and Organic Material Haulers</t>
  </si>
  <si>
    <t>Additional benefits beyond  MTCO2E reduction that exist in the conversion of Landfill and AD biogas into green Hydrogen (example F-gas)</t>
  </si>
  <si>
    <t>Annual total will be the same for every year between 2025 until 2050</t>
  </si>
  <si>
    <t>Total Gallons</t>
  </si>
  <si>
    <t>MTCO2E / year</t>
  </si>
  <si>
    <t>13 Buses in Use</t>
  </si>
  <si>
    <t>20 Buses in Use</t>
  </si>
  <si>
    <t xml:space="preserve">Annual Excess Power from 25-34, minus the additiona usage of (120,000kw) annual bus charging demand  x by 7 new units.  This total is then utilized to calculate additional GHG Emissions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</si>
</sst>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10">
    <numFmt numFmtId="44" formatCode="_(&quot;$&quot;* #,##0.00_);_(&quot;$&quot;* \(#,##0.00\);_(&quot;$&quot;* &quot;-&quot;??_);_(@_)"/>
    <numFmt numFmtId="43" formatCode="_(* #,##0.00_);_(* \(#,##0.00\);_(* &quot;-&quot;??_);_(@_)"/>
    <numFmt numFmtId="164" formatCode="0.000"/>
    <numFmt numFmtId="165" formatCode="0.0"/>
    <numFmt numFmtId="166" formatCode="0.0000"/>
    <numFmt numFmtId="167" formatCode="0.00000"/>
    <numFmt numFmtId="168" formatCode="0E+00"/>
    <numFmt numFmtId="169" formatCode="General_)"/>
    <numFmt numFmtId="170" formatCode="#,##0.0_);\(#,##0.0\)"/>
    <numFmt numFmtId="171" formatCode="_(* #,##0_);_(* \(#,##0\);_(* &quot;-&quot;??_);_(@_)"/>
  </numFmts>
  <fonts count="53" x14ac:knownFonts="1">
    <font>
      <sz val="10"/>
      <name val="Arial"/>
    </font>
    <font>
      <sz val="11"/>
      <color theme="1"/>
      <name val="Calibri"/>
      <family val="2"/>
      <scheme val="minor"/>
    </font>
    <font>
      <sz val="12"/>
      <name val="Arial"/>
      <family val="2"/>
    </font>
    <font>
      <b/>
      <sz val="10"/>
      <name val="Arial"/>
      <family val="2"/>
    </font>
    <font>
      <sz val="10"/>
      <name val="Arial"/>
      <family val="2"/>
    </font>
    <font>
      <sz val="8"/>
      <name val="Arial"/>
      <family val="2"/>
    </font>
    <font>
      <u/>
      <sz val="10"/>
      <color indexed="12"/>
      <name val="Arial"/>
      <family val="2"/>
    </font>
    <font>
      <b/>
      <sz val="9"/>
      <name val="Arial"/>
      <family val="2"/>
    </font>
    <font>
      <sz val="14"/>
      <name val="Arial"/>
      <family val="2"/>
    </font>
    <font>
      <sz val="8"/>
      <name val="Arial"/>
      <family val="2"/>
    </font>
    <font>
      <b/>
      <sz val="10"/>
      <color indexed="10"/>
      <name val="Arial"/>
      <family val="2"/>
    </font>
    <font>
      <vertAlign val="subscript"/>
      <sz val="10"/>
      <name val="Arial"/>
      <family val="2"/>
    </font>
    <font>
      <i/>
      <sz val="8"/>
      <name val="Arial"/>
      <family val="2"/>
    </font>
    <font>
      <u/>
      <sz val="10"/>
      <name val="Arial"/>
      <family val="2"/>
    </font>
    <font>
      <u/>
      <sz val="8"/>
      <name val="Arial"/>
      <family val="2"/>
    </font>
    <font>
      <u/>
      <sz val="9"/>
      <name val="Arial"/>
      <family val="2"/>
    </font>
    <font>
      <u/>
      <sz val="9"/>
      <name val="Arial"/>
      <family val="2"/>
    </font>
    <font>
      <sz val="10"/>
      <color indexed="17"/>
      <name val="Arial"/>
      <family val="2"/>
    </font>
    <font>
      <b/>
      <sz val="10"/>
      <color indexed="17"/>
      <name val="Arial"/>
      <family val="2"/>
    </font>
    <font>
      <b/>
      <vertAlign val="subscript"/>
      <sz val="10"/>
      <color indexed="17"/>
      <name val="Arial"/>
      <family val="2"/>
    </font>
    <font>
      <sz val="8"/>
      <color indexed="17"/>
      <name val="Arial"/>
      <family val="2"/>
    </font>
    <font>
      <sz val="9"/>
      <color indexed="17"/>
      <name val="Arial"/>
      <family val="2"/>
    </font>
    <font>
      <sz val="10"/>
      <color indexed="12"/>
      <name val="Arial"/>
      <family val="2"/>
    </font>
    <font>
      <u/>
      <sz val="8"/>
      <color indexed="12"/>
      <name val="Arial"/>
      <family val="2"/>
    </font>
    <font>
      <u/>
      <sz val="10"/>
      <color rgb="FF0000FF"/>
      <name val="Arial"/>
      <family val="2"/>
    </font>
    <font>
      <u/>
      <sz val="7.5"/>
      <color indexed="12"/>
      <name val="Arial"/>
      <family val="2"/>
    </font>
    <font>
      <vertAlign val="subscript"/>
      <sz val="10"/>
      <color indexed="17"/>
      <name val="Arial"/>
      <family val="2"/>
    </font>
    <font>
      <vertAlign val="subscript"/>
      <sz val="8"/>
      <name val="Arial"/>
      <family val="2"/>
    </font>
    <font>
      <sz val="10"/>
      <color rgb="FF0000FF"/>
      <name val="Arial"/>
      <family val="2"/>
    </font>
    <font>
      <b/>
      <sz val="10"/>
      <color rgb="FF0000FF"/>
      <name val="Arial"/>
      <family val="2"/>
    </font>
    <font>
      <sz val="10"/>
      <name val="Arial"/>
    </font>
    <font>
      <sz val="8"/>
      <name val="Helv"/>
    </font>
    <font>
      <b/>
      <sz val="14"/>
      <name val="Arial"/>
      <family val="2"/>
    </font>
    <font>
      <b/>
      <i/>
      <sz val="12"/>
      <name val="Arial"/>
      <family val="2"/>
    </font>
    <font>
      <b/>
      <sz val="11"/>
      <name val="Arial"/>
      <family val="2"/>
    </font>
    <font>
      <sz val="11"/>
      <name val="Arial"/>
      <family val="2"/>
    </font>
    <font>
      <b/>
      <i/>
      <sz val="11"/>
      <name val="Arial"/>
      <family val="2"/>
    </font>
    <font>
      <b/>
      <vertAlign val="subscript"/>
      <sz val="10"/>
      <name val="Arial"/>
      <family val="2"/>
    </font>
    <font>
      <b/>
      <sz val="10"/>
      <name val="Arial"/>
    </font>
    <font>
      <sz val="10"/>
      <color rgb="FFFF0000"/>
      <name val="Arial"/>
      <family val="2"/>
    </font>
    <font>
      <b/>
      <sz val="7"/>
      <name val="Arial"/>
      <family val="2"/>
    </font>
    <font>
      <b/>
      <sz val="6.5"/>
      <name val="Arial"/>
      <family val="2"/>
    </font>
    <font>
      <b/>
      <vertAlign val="subscript"/>
      <sz val="6.5"/>
      <name val="Arial"/>
      <family val="2"/>
    </font>
    <font>
      <sz val="7"/>
      <name val="Helvetica"/>
      <family val="2"/>
    </font>
    <font>
      <sz val="7"/>
      <name val="Arial"/>
      <family val="2"/>
    </font>
    <font>
      <sz val="7"/>
      <color rgb="FFFF0000"/>
      <name val="Helvetica"/>
      <family val="2"/>
    </font>
    <font>
      <b/>
      <sz val="7"/>
      <name val="Helvetica"/>
      <family val="2"/>
    </font>
    <font>
      <b/>
      <sz val="10"/>
      <name val="Helvetica"/>
      <family val="2"/>
    </font>
    <font>
      <sz val="7"/>
      <name val="Helv"/>
    </font>
    <font>
      <sz val="7"/>
      <name val="Helvetica"/>
    </font>
    <font>
      <sz val="9"/>
      <name val="Arial"/>
      <family val="2"/>
    </font>
    <font>
      <b/>
      <sz val="12"/>
      <name val="Arial"/>
      <family val="2"/>
    </font>
    <font>
      <sz val="8"/>
      <name val="Arial"/>
    </font>
  </fonts>
  <fills count="18">
    <fill>
      <patternFill patternType="none"/>
    </fill>
    <fill>
      <patternFill patternType="gray125"/>
    </fill>
    <fill>
      <patternFill patternType="solid">
        <fgColor indexed="9"/>
        <bgColor indexed="64"/>
      </patternFill>
    </fill>
    <fill>
      <patternFill patternType="solid">
        <fgColor indexed="42"/>
        <bgColor indexed="64"/>
      </patternFill>
    </fill>
    <fill>
      <patternFill patternType="solid">
        <fgColor theme="0"/>
        <bgColor indexed="64"/>
      </patternFill>
    </fill>
    <fill>
      <patternFill patternType="solid">
        <fgColor indexed="22"/>
        <bgColor indexed="64"/>
      </patternFill>
    </fill>
    <fill>
      <patternFill patternType="solid">
        <fgColor rgb="FFCCFFCC"/>
        <bgColor indexed="64"/>
      </patternFill>
    </fill>
    <fill>
      <patternFill patternType="solid">
        <fgColor theme="0" tint="-0.14999847407452621"/>
        <bgColor indexed="64"/>
      </patternFill>
    </fill>
    <fill>
      <patternFill patternType="solid">
        <fgColor rgb="FF99CCFF"/>
        <bgColor indexed="64"/>
      </patternFill>
    </fill>
    <fill>
      <patternFill patternType="solid">
        <fgColor rgb="FFFFFF00"/>
        <bgColor indexed="64"/>
      </patternFill>
    </fill>
    <fill>
      <patternFill patternType="solid">
        <fgColor theme="6"/>
        <bgColor indexed="64"/>
      </patternFill>
    </fill>
    <fill>
      <patternFill patternType="solid">
        <fgColor theme="8"/>
        <bgColor indexed="64"/>
      </patternFill>
    </fill>
    <fill>
      <patternFill patternType="solid">
        <fgColor theme="0" tint="-0.249977111117893"/>
        <bgColor indexed="64"/>
      </patternFill>
    </fill>
    <fill>
      <patternFill patternType="solid">
        <fgColor theme="4" tint="0.79998168889431442"/>
        <bgColor indexed="64"/>
      </patternFill>
    </fill>
    <fill>
      <patternFill patternType="solid">
        <fgColor theme="5" tint="0.79998168889431442"/>
        <bgColor indexed="64"/>
      </patternFill>
    </fill>
    <fill>
      <patternFill patternType="solid">
        <fgColor rgb="FF92D050"/>
        <bgColor indexed="64"/>
      </patternFill>
    </fill>
    <fill>
      <patternFill patternType="solid">
        <fgColor theme="6" tint="0.59999389629810485"/>
        <bgColor indexed="64"/>
      </patternFill>
    </fill>
    <fill>
      <patternFill patternType="solid">
        <fgColor theme="5" tint="0.59999389629810485"/>
        <bgColor indexed="64"/>
      </patternFill>
    </fill>
  </fills>
  <borders count="79">
    <border>
      <left/>
      <right/>
      <top/>
      <bottom/>
      <diagonal/>
    </border>
    <border>
      <left style="thin">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thin">
        <color indexed="64"/>
      </left>
      <right/>
      <top/>
      <bottom/>
      <diagonal/>
    </border>
    <border>
      <left/>
      <right style="thin">
        <color indexed="64"/>
      </right>
      <top/>
      <bottom/>
      <diagonal/>
    </border>
    <border>
      <left/>
      <right style="medium">
        <color indexed="64"/>
      </right>
      <top/>
      <bottom/>
      <diagonal/>
    </border>
    <border>
      <left style="medium">
        <color indexed="64"/>
      </left>
      <right/>
      <top/>
      <bottom/>
      <diagonal/>
    </border>
    <border>
      <left style="thin">
        <color indexed="64"/>
      </left>
      <right style="medium">
        <color indexed="64"/>
      </right>
      <top style="thin">
        <color indexed="64"/>
      </top>
      <bottom/>
      <diagonal/>
    </border>
    <border>
      <left style="thin">
        <color indexed="64"/>
      </left>
      <right/>
      <top/>
      <bottom style="thin">
        <color indexed="64"/>
      </bottom>
      <diagonal/>
    </border>
    <border>
      <left style="thin">
        <color indexed="64"/>
      </left>
      <right style="medium">
        <color indexed="64"/>
      </right>
      <top/>
      <bottom style="thin">
        <color indexed="64"/>
      </bottom>
      <diagonal/>
    </border>
    <border>
      <left style="thin">
        <color indexed="17"/>
      </left>
      <right style="thin">
        <color indexed="17"/>
      </right>
      <top style="thin">
        <color indexed="17"/>
      </top>
      <bottom style="thin">
        <color indexed="17"/>
      </bottom>
      <diagonal/>
    </border>
    <border>
      <left/>
      <right style="thin">
        <color indexed="64"/>
      </right>
      <top style="thin">
        <color indexed="64"/>
      </top>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bottom style="medium">
        <color indexed="64"/>
      </bottom>
      <diagonal/>
    </border>
    <border>
      <left/>
      <right style="thin">
        <color indexed="64"/>
      </right>
      <top/>
      <bottom style="medium">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medium">
        <color indexed="64"/>
      </right>
      <top/>
      <bottom/>
      <diagonal/>
    </border>
    <border>
      <left style="medium">
        <color indexed="64"/>
      </left>
      <right/>
      <top/>
      <bottom style="thin">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thin">
        <color indexed="64"/>
      </left>
      <right/>
      <top style="medium">
        <color indexed="64"/>
      </top>
      <bottom/>
      <diagonal/>
    </border>
    <border>
      <left/>
      <right style="medium">
        <color indexed="64"/>
      </right>
      <top style="medium">
        <color indexed="64"/>
      </top>
      <bottom/>
      <diagonal/>
    </border>
    <border>
      <left style="medium">
        <color indexed="64"/>
      </left>
      <right/>
      <top style="thin">
        <color indexed="64"/>
      </top>
      <bottom/>
      <diagonal/>
    </border>
    <border>
      <left style="medium">
        <color indexed="64"/>
      </left>
      <right/>
      <top/>
      <bottom style="medium">
        <color indexed="64"/>
      </bottom>
      <diagonal/>
    </border>
    <border>
      <left style="thin">
        <color indexed="64"/>
      </left>
      <right style="thin">
        <color indexed="64"/>
      </right>
      <top style="thin">
        <color indexed="64"/>
      </top>
      <bottom style="thin">
        <color indexed="64"/>
      </bottom>
      <diagonal/>
    </border>
    <border>
      <left style="thin">
        <color indexed="17"/>
      </left>
      <right/>
      <top style="thin">
        <color indexed="17"/>
      </top>
      <bottom style="thin">
        <color indexed="17"/>
      </bottom>
      <diagonal/>
    </border>
    <border>
      <left/>
      <right style="thin">
        <color indexed="17"/>
      </right>
      <top style="thin">
        <color indexed="17"/>
      </top>
      <bottom style="thin">
        <color indexed="17"/>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8"/>
      </bottom>
      <diagonal/>
    </border>
    <border>
      <left/>
      <right style="thin">
        <color indexed="8"/>
      </right>
      <top style="medium">
        <color indexed="64"/>
      </top>
      <bottom/>
      <diagonal/>
    </border>
    <border>
      <left/>
      <right style="thin">
        <color indexed="8"/>
      </right>
      <top style="medium">
        <color indexed="64"/>
      </top>
      <bottom style="thin">
        <color indexed="8"/>
      </bottom>
      <diagonal/>
    </border>
    <border>
      <left style="thin">
        <color indexed="8"/>
      </left>
      <right style="medium">
        <color indexed="64"/>
      </right>
      <top style="medium">
        <color indexed="64"/>
      </top>
      <bottom style="thin">
        <color indexed="64"/>
      </bottom>
      <diagonal/>
    </border>
    <border>
      <left style="medium">
        <color indexed="64"/>
      </left>
      <right style="thin">
        <color indexed="64"/>
      </right>
      <top/>
      <bottom/>
      <diagonal/>
    </border>
    <border>
      <left style="thin">
        <color indexed="64"/>
      </left>
      <right style="thin">
        <color indexed="64"/>
      </right>
      <top style="thin">
        <color indexed="64"/>
      </top>
      <bottom/>
      <diagonal/>
    </border>
    <border>
      <left/>
      <right style="thin">
        <color indexed="8"/>
      </right>
      <top/>
      <bottom/>
      <diagonal/>
    </border>
    <border>
      <left style="thin">
        <color indexed="8"/>
      </left>
      <right style="thin">
        <color indexed="8"/>
      </right>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right style="thin">
        <color indexed="8"/>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8"/>
      </right>
      <top style="medium">
        <color indexed="64"/>
      </top>
      <bottom style="thin">
        <color indexed="8"/>
      </bottom>
      <diagonal/>
    </border>
    <border>
      <left style="thin">
        <color indexed="64"/>
      </left>
      <right style="thin">
        <color indexed="64"/>
      </right>
      <top style="medium">
        <color indexed="64"/>
      </top>
      <bottom style="thin">
        <color indexed="64"/>
      </bottom>
      <diagonal/>
    </border>
    <border>
      <left/>
      <right style="medium">
        <color indexed="64"/>
      </right>
      <top style="medium">
        <color indexed="64"/>
      </top>
      <bottom style="thin">
        <color indexed="8"/>
      </bottom>
      <diagonal/>
    </border>
    <border>
      <left style="medium">
        <color indexed="64"/>
      </left>
      <right style="thin">
        <color indexed="8"/>
      </right>
      <top/>
      <bottom/>
      <diagonal/>
    </border>
    <border>
      <left style="thin">
        <color indexed="64"/>
      </left>
      <right style="thin">
        <color indexed="8"/>
      </right>
      <top style="thin">
        <color indexed="64"/>
      </top>
      <bottom/>
      <diagonal/>
    </border>
    <border>
      <left style="thin">
        <color indexed="64"/>
      </left>
      <right style="thin">
        <color indexed="8"/>
      </right>
      <top/>
      <bottom/>
      <diagonal/>
    </border>
    <border>
      <left style="medium">
        <color indexed="8"/>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8"/>
      </right>
      <top style="thin">
        <color indexed="8"/>
      </top>
      <bottom style="medium">
        <color indexed="64"/>
      </bottom>
      <diagonal/>
    </border>
    <border>
      <left style="thin">
        <color indexed="64"/>
      </left>
      <right style="thin">
        <color indexed="8"/>
      </right>
      <top style="thin">
        <color indexed="8"/>
      </top>
      <bottom style="medium">
        <color indexed="64"/>
      </bottom>
      <diagonal/>
    </border>
    <border>
      <left style="thin">
        <color indexed="8"/>
      </left>
      <right style="medium">
        <color indexed="64"/>
      </right>
      <top style="thin">
        <color indexed="8"/>
      </top>
      <bottom style="medium">
        <color indexed="8"/>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style="medium">
        <color indexed="64"/>
      </left>
      <right style="thin">
        <color indexed="64"/>
      </right>
      <top style="thin">
        <color indexed="64"/>
      </top>
      <bottom/>
      <diagonal/>
    </border>
  </borders>
  <cellStyleXfs count="11">
    <xf numFmtId="0" fontId="0" fillId="0" borderId="0"/>
    <xf numFmtId="0" fontId="6" fillId="0" borderId="0" applyNumberFormat="0" applyFill="0" applyBorder="0" applyAlignment="0" applyProtection="0">
      <alignment vertical="top"/>
      <protection locked="0"/>
    </xf>
    <xf numFmtId="3" fontId="4" fillId="0" borderId="0"/>
    <xf numFmtId="0" fontId="25" fillId="0" borderId="0" applyNumberFormat="0" applyFill="0" applyBorder="0" applyAlignment="0" applyProtection="0">
      <alignment vertical="top"/>
      <protection locked="0"/>
    </xf>
    <xf numFmtId="0" fontId="6" fillId="0" borderId="0" applyNumberFormat="0" applyFill="0" applyBorder="0" applyAlignment="0" applyProtection="0">
      <alignment vertical="top"/>
      <protection locked="0"/>
    </xf>
    <xf numFmtId="0" fontId="1" fillId="0" borderId="0"/>
    <xf numFmtId="0" fontId="1" fillId="0" borderId="0"/>
    <xf numFmtId="43" fontId="30" fillId="0" borderId="0" applyFont="0" applyFill="0" applyBorder="0" applyAlignment="0" applyProtection="0"/>
    <xf numFmtId="44" fontId="30" fillId="0" borderId="0" applyFont="0" applyFill="0" applyBorder="0" applyAlignment="0" applyProtection="0"/>
    <xf numFmtId="169" fontId="31" fillId="0" borderId="0"/>
    <xf numFmtId="169" fontId="31" fillId="0" borderId="0"/>
  </cellStyleXfs>
  <cellXfs count="438">
    <xf numFmtId="0" fontId="0" fillId="0" borderId="0" xfId="0"/>
    <xf numFmtId="0" fontId="3" fillId="0" borderId="0" xfId="0" applyFont="1" applyAlignment="1">
      <alignment horizontal="center"/>
    </xf>
    <xf numFmtId="0" fontId="3" fillId="0" borderId="0" xfId="0" applyFont="1" applyAlignment="1">
      <alignment horizontal="centerContinuous"/>
    </xf>
    <xf numFmtId="0" fontId="2" fillId="0" borderId="0" xfId="0" applyFont="1" applyAlignment="1">
      <alignment horizontal="centerContinuous"/>
    </xf>
    <xf numFmtId="0" fontId="0" fillId="0" borderId="0" xfId="0" applyAlignment="1">
      <alignment horizontal="centerContinuous"/>
    </xf>
    <xf numFmtId="0" fontId="4" fillId="0" borderId="0" xfId="0" applyFont="1" applyAlignment="1">
      <alignment horizontal="centerContinuous"/>
    </xf>
    <xf numFmtId="0" fontId="0" fillId="0" borderId="0" xfId="0" applyAlignment="1">
      <alignment horizontal="right"/>
    </xf>
    <xf numFmtId="0" fontId="4" fillId="0" borderId="0" xfId="0" applyFont="1" applyAlignment="1">
      <alignment horizontal="right"/>
    </xf>
    <xf numFmtId="165" fontId="0" fillId="0" borderId="0" xfId="0" quotePrefix="1" applyNumberFormat="1" applyAlignment="1">
      <alignment horizontal="center"/>
    </xf>
    <xf numFmtId="3" fontId="4" fillId="0" borderId="0" xfId="0" applyNumberFormat="1" applyFont="1" applyAlignment="1">
      <alignment horizontal="center"/>
    </xf>
    <xf numFmtId="0" fontId="0" fillId="0" borderId="0" xfId="0" applyAlignment="1">
      <alignment horizontal="center"/>
    </xf>
    <xf numFmtId="0" fontId="8" fillId="0" borderId="0" xfId="0" applyFont="1" applyAlignment="1">
      <alignment horizontal="centerContinuous"/>
    </xf>
    <xf numFmtId="165" fontId="0" fillId="0" borderId="0" xfId="0" applyNumberFormat="1" applyAlignment="1">
      <alignment horizontal="center"/>
    </xf>
    <xf numFmtId="2" fontId="0" fillId="0" borderId="0" xfId="0" applyNumberFormat="1" applyAlignment="1">
      <alignment horizontal="center"/>
    </xf>
    <xf numFmtId="0" fontId="4" fillId="2" borderId="0" xfId="0" applyFont="1" applyFill="1"/>
    <xf numFmtId="164" fontId="7" fillId="0" borderId="1" xfId="0" applyNumberFormat="1" applyFont="1" applyBorder="1"/>
    <xf numFmtId="164" fontId="7" fillId="0" borderId="2" xfId="0" applyNumberFormat="1" applyFont="1" applyBorder="1"/>
    <xf numFmtId="164" fontId="7" fillId="0" borderId="3" xfId="0" applyNumberFormat="1" applyFont="1" applyBorder="1"/>
    <xf numFmtId="0" fontId="0" fillId="2" borderId="0" xfId="0" applyFill="1"/>
    <xf numFmtId="0" fontId="8" fillId="0" borderId="0" xfId="0" applyFont="1"/>
    <xf numFmtId="0" fontId="4" fillId="0" borderId="0" xfId="0" applyFont="1"/>
    <xf numFmtId="0" fontId="4" fillId="2" borderId="4" xfId="0" applyFont="1" applyFill="1" applyBorder="1"/>
    <xf numFmtId="0" fontId="0" fillId="2" borderId="4" xfId="0" applyFill="1" applyBorder="1"/>
    <xf numFmtId="164" fontId="7" fillId="0" borderId="0" xfId="0" applyNumberFormat="1" applyFont="1" applyAlignment="1">
      <alignment horizontal="left" wrapText="1"/>
    </xf>
    <xf numFmtId="164" fontId="7" fillId="0" borderId="5" xfId="0" applyNumberFormat="1" applyFont="1" applyBorder="1" applyAlignment="1">
      <alignment horizontal="left" wrapText="1"/>
    </xf>
    <xf numFmtId="164" fontId="7" fillId="0" borderId="0" xfId="0" applyNumberFormat="1" applyFont="1"/>
    <xf numFmtId="164" fontId="7" fillId="0" borderId="6" xfId="0" applyNumberFormat="1" applyFont="1" applyBorder="1"/>
    <xf numFmtId="164" fontId="15" fillId="0" borderId="7" xfId="0" applyNumberFormat="1" applyFont="1" applyBorder="1" applyAlignment="1">
      <alignment horizontal="left"/>
    </xf>
    <xf numFmtId="164" fontId="15" fillId="0" borderId="4" xfId="0" applyNumberFormat="1" applyFont="1" applyBorder="1" applyAlignment="1">
      <alignment horizontal="left"/>
    </xf>
    <xf numFmtId="0" fontId="18" fillId="0" borderId="4" xfId="0" applyFont="1" applyBorder="1" applyAlignment="1">
      <alignment horizontal="center"/>
    </xf>
    <xf numFmtId="0" fontId="18" fillId="0" borderId="8" xfId="0" applyFont="1" applyBorder="1" applyAlignment="1">
      <alignment horizontal="center"/>
    </xf>
    <xf numFmtId="3" fontId="17" fillId="0" borderId="9" xfId="0" applyNumberFormat="1" applyFont="1" applyBorder="1" applyAlignment="1">
      <alignment horizontal="center"/>
    </xf>
    <xf numFmtId="3" fontId="17" fillId="0" borderId="10" xfId="0" applyNumberFormat="1" applyFont="1" applyBorder="1" applyAlignment="1">
      <alignment horizontal="center"/>
    </xf>
    <xf numFmtId="164" fontId="20" fillId="0" borderId="0" xfId="0" applyNumberFormat="1" applyFont="1" applyAlignment="1">
      <alignment horizontal="left"/>
    </xf>
    <xf numFmtId="0" fontId="17" fillId="0" borderId="0" xfId="0" applyFont="1"/>
    <xf numFmtId="3" fontId="21" fillId="0" borderId="0" xfId="0" applyNumberFormat="1" applyFont="1" applyAlignment="1">
      <alignment horizontal="center"/>
    </xf>
    <xf numFmtId="2" fontId="0" fillId="3" borderId="11" xfId="0" applyNumberFormat="1" applyFill="1" applyBorder="1" applyAlignment="1" applyProtection="1">
      <alignment horizontal="center"/>
      <protection locked="0"/>
    </xf>
    <xf numFmtId="166" fontId="0" fillId="3" borderId="11" xfId="0" applyNumberFormat="1" applyFill="1" applyBorder="1" applyAlignment="1" applyProtection="1">
      <alignment horizontal="center"/>
      <protection locked="0"/>
    </xf>
    <xf numFmtId="3" fontId="0" fillId="3" borderId="11" xfId="0" applyNumberFormat="1" applyFill="1" applyBorder="1" applyAlignment="1" applyProtection="1">
      <alignment horizontal="center"/>
      <protection locked="0"/>
    </xf>
    <xf numFmtId="0" fontId="22" fillId="2" borderId="0" xfId="1" applyFont="1" applyFill="1" applyBorder="1" applyAlignment="1" applyProtection="1"/>
    <xf numFmtId="0" fontId="22" fillId="2" borderId="4" xfId="1" applyFont="1" applyFill="1" applyBorder="1" applyAlignment="1" applyProtection="1"/>
    <xf numFmtId="164" fontId="16" fillId="0" borderId="0" xfId="0" applyNumberFormat="1" applyFont="1"/>
    <xf numFmtId="164" fontId="3" fillId="0" borderId="0" xfId="0" applyNumberFormat="1" applyFont="1"/>
    <xf numFmtId="164" fontId="21" fillId="0" borderId="0" xfId="0" applyNumberFormat="1" applyFont="1" applyAlignment="1">
      <alignment horizontal="left"/>
    </xf>
    <xf numFmtId="0" fontId="3" fillId="4" borderId="1" xfId="0" applyFont="1" applyFill="1" applyBorder="1"/>
    <xf numFmtId="0" fontId="4" fillId="4" borderId="2" xfId="0" applyFont="1" applyFill="1" applyBorder="1"/>
    <xf numFmtId="0" fontId="4" fillId="4" borderId="12" xfId="0" applyFont="1" applyFill="1" applyBorder="1"/>
    <xf numFmtId="0" fontId="13" fillId="4" borderId="4" xfId="0" applyFont="1" applyFill="1" applyBorder="1"/>
    <xf numFmtId="0" fontId="4" fillId="4" borderId="0" xfId="0" applyFont="1" applyFill="1"/>
    <xf numFmtId="0" fontId="4" fillId="4" borderId="5" xfId="0" applyFont="1" applyFill="1" applyBorder="1"/>
    <xf numFmtId="3" fontId="4" fillId="4" borderId="4" xfId="0" applyNumberFormat="1" applyFont="1" applyFill="1" applyBorder="1"/>
    <xf numFmtId="1" fontId="4" fillId="4" borderId="4" xfId="0" applyNumberFormat="1" applyFont="1" applyFill="1" applyBorder="1"/>
    <xf numFmtId="168" fontId="4" fillId="4" borderId="4" xfId="0" applyNumberFormat="1" applyFont="1" applyFill="1" applyBorder="1"/>
    <xf numFmtId="166" fontId="4" fillId="4" borderId="4" xfId="0" applyNumberFormat="1" applyFont="1" applyFill="1" applyBorder="1"/>
    <xf numFmtId="166" fontId="13" fillId="4" borderId="4" xfId="0" applyNumberFormat="1" applyFont="1" applyFill="1" applyBorder="1"/>
    <xf numFmtId="2" fontId="4" fillId="4" borderId="4" xfId="0" applyNumberFormat="1" applyFont="1" applyFill="1" applyBorder="1"/>
    <xf numFmtId="2" fontId="13" fillId="4" borderId="4" xfId="0" applyNumberFormat="1" applyFont="1" applyFill="1" applyBorder="1"/>
    <xf numFmtId="0" fontId="9" fillId="4" borderId="0" xfId="0" applyFont="1" applyFill="1"/>
    <xf numFmtId="3" fontId="13" fillId="4" borderId="4" xfId="0" applyNumberFormat="1" applyFont="1" applyFill="1" applyBorder="1"/>
    <xf numFmtId="0" fontId="0" fillId="4" borderId="0" xfId="0" applyFill="1"/>
    <xf numFmtId="0" fontId="6" fillId="2" borderId="0" xfId="1" applyFill="1" applyBorder="1" applyAlignment="1" applyProtection="1"/>
    <xf numFmtId="0" fontId="5" fillId="4" borderId="0" xfId="0" applyFont="1" applyFill="1"/>
    <xf numFmtId="0" fontId="5" fillId="0" borderId="0" xfId="1" applyFont="1" applyFill="1" applyAlignment="1" applyProtection="1"/>
    <xf numFmtId="0" fontId="4" fillId="0" borderId="2" xfId="1" applyFont="1" applyFill="1" applyBorder="1" applyAlignment="1" applyProtection="1"/>
    <xf numFmtId="0" fontId="4" fillId="0" borderId="4" xfId="0" applyFont="1" applyBorder="1" applyAlignment="1">
      <alignment horizontal="right"/>
    </xf>
    <xf numFmtId="2" fontId="4" fillId="0" borderId="0" xfId="0" applyNumberFormat="1" applyFont="1" applyAlignment="1">
      <alignment horizontal="left"/>
    </xf>
    <xf numFmtId="0" fontId="4" fillId="0" borderId="5" xfId="0" applyFont="1" applyBorder="1"/>
    <xf numFmtId="164" fontId="4" fillId="0" borderId="4" xfId="0" applyNumberFormat="1" applyFont="1" applyBorder="1"/>
    <xf numFmtId="0" fontId="5" fillId="0" borderId="0" xfId="0" applyFont="1"/>
    <xf numFmtId="167" fontId="4" fillId="0" borderId="4" xfId="0" applyNumberFormat="1" applyFont="1" applyBorder="1"/>
    <xf numFmtId="0" fontId="5" fillId="0" borderId="5" xfId="0" applyFont="1" applyBorder="1"/>
    <xf numFmtId="167" fontId="13" fillId="0" borderId="4" xfId="0" applyNumberFormat="1" applyFont="1" applyBorder="1"/>
    <xf numFmtId="2" fontId="4" fillId="0" borderId="4" xfId="0" applyNumberFormat="1" applyFont="1" applyBorder="1"/>
    <xf numFmtId="0" fontId="9" fillId="0" borderId="4" xfId="0" applyFont="1" applyBorder="1"/>
    <xf numFmtId="2" fontId="13" fillId="0" borderId="4" xfId="0" applyNumberFormat="1" applyFont="1" applyBorder="1"/>
    <xf numFmtId="1" fontId="4" fillId="0" borderId="9" xfId="0" applyNumberFormat="1" applyFont="1" applyBorder="1"/>
    <xf numFmtId="0" fontId="4" fillId="0" borderId="13" xfId="0" applyFont="1" applyBorder="1"/>
    <xf numFmtId="0" fontId="4" fillId="0" borderId="14" xfId="0" applyFont="1" applyBorder="1"/>
    <xf numFmtId="1" fontId="4" fillId="0" borderId="0" xfId="0" applyNumberFormat="1" applyFont="1"/>
    <xf numFmtId="1" fontId="3" fillId="0" borderId="1" xfId="0" applyNumberFormat="1" applyFont="1" applyBorder="1"/>
    <xf numFmtId="0" fontId="4" fillId="0" borderId="2" xfId="0" applyFont="1" applyBorder="1"/>
    <xf numFmtId="0" fontId="4" fillId="0" borderId="12" xfId="0" applyFont="1" applyBorder="1"/>
    <xf numFmtId="1" fontId="3" fillId="0" borderId="15" xfId="0" applyNumberFormat="1" applyFont="1" applyBorder="1"/>
    <xf numFmtId="0" fontId="4" fillId="0" borderId="16" xfId="0" applyFont="1" applyBorder="1"/>
    <xf numFmtId="0" fontId="4" fillId="0" borderId="17" xfId="0" applyFont="1" applyBorder="1"/>
    <xf numFmtId="0" fontId="3" fillId="0" borderId="1" xfId="0" applyFont="1" applyBorder="1"/>
    <xf numFmtId="0" fontId="4" fillId="0" borderId="1" xfId="0" applyFont="1" applyBorder="1"/>
    <xf numFmtId="0" fontId="5" fillId="0" borderId="2" xfId="0" applyFont="1" applyBorder="1"/>
    <xf numFmtId="0" fontId="4" fillId="0" borderId="4" xfId="0" applyFont="1" applyBorder="1"/>
    <xf numFmtId="0" fontId="4" fillId="0" borderId="9" xfId="0" applyFont="1" applyBorder="1"/>
    <xf numFmtId="0" fontId="5" fillId="0" borderId="13" xfId="0" applyFont="1" applyBorder="1"/>
    <xf numFmtId="3" fontId="4" fillId="0" borderId="4" xfId="0" applyNumberFormat="1" applyFont="1" applyBorder="1"/>
    <xf numFmtId="0" fontId="9" fillId="0" borderId="0" xfId="0" applyFont="1"/>
    <xf numFmtId="0" fontId="0" fillId="0" borderId="5" xfId="0" applyBorder="1"/>
    <xf numFmtId="3" fontId="4" fillId="0" borderId="9" xfId="0" applyNumberFormat="1" applyFont="1" applyBorder="1"/>
    <xf numFmtId="0" fontId="9" fillId="0" borderId="13" xfId="0" applyFont="1" applyBorder="1"/>
    <xf numFmtId="0" fontId="0" fillId="0" borderId="13" xfId="0" applyBorder="1"/>
    <xf numFmtId="0" fontId="0" fillId="0" borderId="14" xfId="0" applyBorder="1"/>
    <xf numFmtId="0" fontId="14" fillId="0" borderId="4" xfId="0" applyFont="1" applyBorder="1"/>
    <xf numFmtId="0" fontId="5" fillId="0" borderId="4" xfId="0" applyFont="1" applyBorder="1"/>
    <xf numFmtId="0" fontId="4" fillId="0" borderId="0" xfId="1" applyFont="1" applyFill="1" applyBorder="1" applyAlignment="1" applyProtection="1"/>
    <xf numFmtId="0" fontId="22" fillId="0" borderId="0" xfId="1" applyFont="1" applyFill="1" applyBorder="1" applyAlignment="1" applyProtection="1"/>
    <xf numFmtId="0" fontId="22" fillId="0" borderId="5" xfId="1" applyFont="1" applyFill="1" applyBorder="1" applyAlignment="1" applyProtection="1"/>
    <xf numFmtId="0" fontId="4" fillId="0" borderId="0" xfId="0" applyFont="1" applyAlignment="1">
      <alignment horizontal="center"/>
    </xf>
    <xf numFmtId="0" fontId="6" fillId="0" borderId="0" xfId="1" applyFill="1" applyAlignment="1" applyProtection="1"/>
    <xf numFmtId="0" fontId="0" fillId="0" borderId="0" xfId="0"/>
    <xf numFmtId="166" fontId="17" fillId="0" borderId="9" xfId="0" applyNumberFormat="1" applyFont="1" applyBorder="1" applyAlignment="1">
      <alignment horizontal="center"/>
    </xf>
    <xf numFmtId="166" fontId="17" fillId="0" borderId="14" xfId="0" applyNumberFormat="1" applyFont="1" applyBorder="1" applyAlignment="1">
      <alignment horizontal="center"/>
    </xf>
    <xf numFmtId="3" fontId="17" fillId="0" borderId="9" xfId="0" applyNumberFormat="1" applyFont="1" applyBorder="1" applyAlignment="1">
      <alignment horizontal="center"/>
    </xf>
    <xf numFmtId="3" fontId="17" fillId="0" borderId="14" xfId="0" applyNumberFormat="1" applyFont="1" applyBorder="1" applyAlignment="1">
      <alignment horizontal="center"/>
    </xf>
    <xf numFmtId="164" fontId="7" fillId="0" borderId="1" xfId="0" applyNumberFormat="1" applyFont="1" applyBorder="1" applyAlignment="1">
      <alignment horizontal="left" wrapText="1"/>
    </xf>
    <xf numFmtId="164" fontId="7" fillId="0" borderId="2" xfId="0" applyNumberFormat="1" applyFont="1" applyBorder="1" applyAlignment="1">
      <alignment horizontal="left" wrapText="1"/>
    </xf>
    <xf numFmtId="164" fontId="7" fillId="0" borderId="12" xfId="0" applyNumberFormat="1" applyFont="1" applyBorder="1" applyAlignment="1">
      <alignment horizontal="left" wrapText="1"/>
    </xf>
    <xf numFmtId="0" fontId="24" fillId="0" borderId="0" xfId="1" applyFont="1" applyAlignment="1" applyProtection="1">
      <alignment horizontal="left"/>
    </xf>
    <xf numFmtId="164" fontId="7" fillId="0" borderId="32" xfId="0" applyNumberFormat="1" applyFont="1" applyBorder="1" applyAlignment="1">
      <alignment horizontal="left" wrapText="1"/>
    </xf>
    <xf numFmtId="164" fontId="20" fillId="0" borderId="7" xfId="0" applyNumberFormat="1" applyFont="1" applyBorder="1" applyAlignment="1">
      <alignment horizontal="left" vertical="center" wrapText="1"/>
    </xf>
    <xf numFmtId="0" fontId="0" fillId="0" borderId="0" xfId="0" applyAlignment="1">
      <alignment vertical="center" wrapText="1"/>
    </xf>
    <xf numFmtId="0" fontId="0" fillId="0" borderId="7" xfId="0" applyBorder="1" applyAlignment="1">
      <alignment vertical="center" wrapText="1"/>
    </xf>
    <xf numFmtId="0" fontId="0" fillId="0" borderId="33" xfId="0" applyBorder="1" applyAlignment="1">
      <alignment vertical="center" wrapText="1"/>
    </xf>
    <xf numFmtId="0" fontId="0" fillId="0" borderId="21" xfId="0" applyBorder="1" applyAlignment="1">
      <alignment vertical="center" wrapText="1"/>
    </xf>
    <xf numFmtId="3" fontId="21" fillId="0" borderId="5" xfId="0" applyNumberFormat="1" applyFont="1" applyBorder="1" applyAlignment="1">
      <alignment horizontal="center" vertical="center"/>
    </xf>
    <xf numFmtId="0" fontId="0" fillId="0" borderId="19" xfId="0" applyBorder="1" applyAlignment="1">
      <alignment horizontal="center" vertical="center"/>
    </xf>
    <xf numFmtId="166" fontId="17" fillId="0" borderId="26" xfId="0" applyNumberFormat="1" applyFont="1" applyBorder="1" applyAlignment="1">
      <alignment horizontal="center"/>
    </xf>
    <xf numFmtId="164" fontId="20" fillId="0" borderId="4" xfId="0" applyNumberFormat="1" applyFont="1" applyBorder="1" applyAlignment="1">
      <alignment horizontal="left" vertical="center" wrapText="1"/>
    </xf>
    <xf numFmtId="0" fontId="0" fillId="0" borderId="4" xfId="0" applyBorder="1" applyAlignment="1">
      <alignment vertical="center" wrapText="1"/>
    </xf>
    <xf numFmtId="0" fontId="0" fillId="0" borderId="20" xfId="0" applyBorder="1" applyAlignment="1">
      <alignment vertical="center" wrapText="1"/>
    </xf>
    <xf numFmtId="3" fontId="21" fillId="0" borderId="0" xfId="0" applyNumberFormat="1" applyFont="1" applyAlignment="1">
      <alignment horizontal="center" vertical="center"/>
    </xf>
    <xf numFmtId="0" fontId="8" fillId="0" borderId="0" xfId="0" applyFont="1" applyAlignment="1">
      <alignment horizontal="center"/>
    </xf>
    <xf numFmtId="0" fontId="9" fillId="0" borderId="7" xfId="0" applyFont="1" applyBorder="1" applyAlignment="1">
      <alignment horizontal="center" vertical="center" wrapText="1"/>
    </xf>
    <xf numFmtId="0" fontId="9" fillId="0" borderId="5" xfId="0" applyFont="1" applyBorder="1" applyAlignment="1">
      <alignment horizontal="center" vertical="center" wrapText="1"/>
    </xf>
    <xf numFmtId="0" fontId="9" fillId="0" borderId="26" xfId="0" applyFont="1" applyBorder="1" applyAlignment="1">
      <alignment horizontal="center" vertical="center" wrapText="1"/>
    </xf>
    <xf numFmtId="0" fontId="9" fillId="0" borderId="14" xfId="0" applyFont="1" applyBorder="1" applyAlignment="1">
      <alignment horizontal="center" vertical="center" wrapText="1"/>
    </xf>
    <xf numFmtId="0" fontId="3" fillId="0" borderId="27" xfId="0" applyFont="1" applyBorder="1" applyAlignment="1">
      <alignment horizontal="center"/>
    </xf>
    <xf numFmtId="0" fontId="3" fillId="0" borderId="28" xfId="0" applyFont="1" applyBorder="1" applyAlignment="1">
      <alignment horizontal="center"/>
    </xf>
    <xf numFmtId="0" fontId="3" fillId="0" borderId="29" xfId="0" applyFont="1" applyBorder="1" applyAlignment="1">
      <alignment horizontal="center"/>
    </xf>
    <xf numFmtId="0" fontId="3" fillId="0" borderId="30" xfId="0" applyFont="1" applyBorder="1" applyAlignment="1">
      <alignment horizontal="center"/>
    </xf>
    <xf numFmtId="0" fontId="3" fillId="0" borderId="31" xfId="0" applyFont="1" applyBorder="1" applyAlignment="1">
      <alignment horizontal="center"/>
    </xf>
    <xf numFmtId="0" fontId="9" fillId="0" borderId="4" xfId="0" applyFont="1" applyBorder="1" applyAlignment="1">
      <alignment horizontal="center" vertical="center" wrapText="1"/>
    </xf>
    <xf numFmtId="0" fontId="9" fillId="0" borderId="9" xfId="0" applyFont="1" applyBorder="1" applyAlignment="1">
      <alignment horizontal="center" vertical="center" wrapText="1"/>
    </xf>
    <xf numFmtId="0" fontId="10" fillId="0" borderId="0" xfId="0" applyFont="1" applyAlignment="1">
      <alignment horizontal="center"/>
    </xf>
    <xf numFmtId="0" fontId="9" fillId="0" borderId="26" xfId="0" applyFont="1" applyBorder="1" applyAlignment="1">
      <alignment horizontal="center"/>
    </xf>
    <xf numFmtId="0" fontId="9" fillId="0" borderId="13" xfId="0" applyFont="1" applyBorder="1" applyAlignment="1">
      <alignment horizontal="center"/>
    </xf>
    <xf numFmtId="0" fontId="9" fillId="0" borderId="14" xfId="0" applyFont="1" applyBorder="1" applyAlignment="1">
      <alignment horizontal="center"/>
    </xf>
    <xf numFmtId="0" fontId="18" fillId="0" borderId="32" xfId="0" applyFont="1" applyBorder="1" applyAlignment="1">
      <alignment horizontal="center"/>
    </xf>
    <xf numFmtId="0" fontId="18" fillId="0" borderId="12" xfId="0" applyFont="1" applyBorder="1" applyAlignment="1">
      <alignment horizontal="center"/>
    </xf>
    <xf numFmtId="0" fontId="18" fillId="0" borderId="1" xfId="0" applyFont="1" applyBorder="1" applyAlignment="1">
      <alignment horizontal="center"/>
    </xf>
    <xf numFmtId="0" fontId="17" fillId="0" borderId="12" xfId="0" applyFont="1" applyBorder="1"/>
    <xf numFmtId="0" fontId="9" fillId="0" borderId="9" xfId="0" applyFont="1" applyBorder="1" applyAlignment="1">
      <alignment horizontal="center"/>
    </xf>
    <xf numFmtId="0" fontId="9" fillId="0" borderId="22" xfId="0" applyFont="1" applyBorder="1" applyAlignment="1">
      <alignment horizontal="center"/>
    </xf>
    <xf numFmtId="0" fontId="17" fillId="0" borderId="0" xfId="0" applyFont="1" applyAlignment="1">
      <alignment horizontal="left" wrapText="1"/>
    </xf>
    <xf numFmtId="0" fontId="9" fillId="0" borderId="23" xfId="0" applyFont="1" applyBorder="1" applyAlignment="1">
      <alignment horizontal="center" vertical="center" wrapText="1"/>
    </xf>
    <xf numFmtId="0" fontId="9" fillId="0" borderId="24" xfId="0" applyFont="1" applyBorder="1" applyAlignment="1">
      <alignment horizontal="center" vertical="center" wrapText="1"/>
    </xf>
    <xf numFmtId="0" fontId="9" fillId="0" borderId="25" xfId="0" applyFont="1" applyBorder="1" applyAlignment="1">
      <alignment horizontal="center" vertical="center" wrapText="1"/>
    </xf>
    <xf numFmtId="0" fontId="9" fillId="0" borderId="10" xfId="0" applyFont="1" applyBorder="1" applyAlignment="1">
      <alignment horizontal="center" vertical="center" wrapText="1"/>
    </xf>
    <xf numFmtId="3" fontId="21" fillId="0" borderId="6" xfId="0" applyNumberFormat="1" applyFont="1" applyBorder="1" applyAlignment="1">
      <alignment horizontal="center" vertical="center"/>
    </xf>
    <xf numFmtId="0" fontId="0" fillId="0" borderId="18" xfId="0" applyBorder="1" applyAlignment="1">
      <alignment horizontal="center" vertical="center"/>
    </xf>
    <xf numFmtId="0" fontId="28" fillId="0" borderId="0" xfId="0" applyFont="1" applyAlignment="1">
      <alignment horizontal="left" wrapText="1"/>
    </xf>
    <xf numFmtId="2" fontId="4" fillId="3" borderId="35" xfId="0" applyNumberFormat="1" applyFont="1" applyFill="1" applyBorder="1" applyAlignment="1" applyProtection="1">
      <alignment horizontal="center"/>
      <protection locked="0"/>
    </xf>
    <xf numFmtId="0" fontId="0" fillId="0" borderId="36" xfId="0" applyBorder="1" applyAlignment="1" applyProtection="1">
      <alignment horizontal="center"/>
      <protection locked="0"/>
    </xf>
    <xf numFmtId="0" fontId="17" fillId="0" borderId="0" xfId="0" applyFont="1" applyAlignment="1">
      <alignment horizontal="center" wrapText="1"/>
    </xf>
    <xf numFmtId="0" fontId="23" fillId="0" borderId="9" xfId="1" applyFont="1" applyFill="1" applyBorder="1" applyAlignment="1" applyProtection="1">
      <alignment horizontal="left"/>
    </xf>
    <xf numFmtId="0" fontId="23" fillId="0" borderId="13" xfId="1" applyFont="1" applyFill="1" applyBorder="1" applyAlignment="1" applyProtection="1">
      <alignment horizontal="left"/>
    </xf>
    <xf numFmtId="1" fontId="4" fillId="0" borderId="9" xfId="0" applyNumberFormat="1" applyFont="1" applyBorder="1" applyAlignment="1">
      <alignment horizontal="left"/>
    </xf>
    <xf numFmtId="1" fontId="4" fillId="0" borderId="13" xfId="0" applyNumberFormat="1" applyFont="1" applyBorder="1" applyAlignment="1">
      <alignment horizontal="left"/>
    </xf>
    <xf numFmtId="1" fontId="4" fillId="0" borderId="14" xfId="0" applyNumberFormat="1" applyFont="1" applyBorder="1" applyAlignment="1">
      <alignment horizontal="left"/>
    </xf>
    <xf numFmtId="1" fontId="4" fillId="0" borderId="15" xfId="0" applyNumberFormat="1" applyFont="1" applyBorder="1" applyAlignment="1">
      <alignment horizontal="left"/>
    </xf>
    <xf numFmtId="1" fontId="4" fillId="0" borderId="16" xfId="0" applyNumberFormat="1" applyFont="1" applyBorder="1" applyAlignment="1">
      <alignment horizontal="left"/>
    </xf>
    <xf numFmtId="1" fontId="4" fillId="0" borderId="17" xfId="0" applyNumberFormat="1" applyFont="1" applyBorder="1" applyAlignment="1">
      <alignment horizontal="left"/>
    </xf>
    <xf numFmtId="1" fontId="4" fillId="0" borderId="4" xfId="0" applyNumberFormat="1" applyFont="1" applyBorder="1" applyAlignment="1">
      <alignment horizontal="left" vertical="top" wrapText="1"/>
    </xf>
    <xf numFmtId="1" fontId="4" fillId="0" borderId="0" xfId="0" applyNumberFormat="1" applyFont="1" applyAlignment="1">
      <alignment horizontal="left" vertical="top" wrapText="1"/>
    </xf>
    <xf numFmtId="1" fontId="4" fillId="0" borderId="5" xfId="0" applyNumberFormat="1" applyFont="1" applyBorder="1" applyAlignment="1">
      <alignment horizontal="left" vertical="top" wrapText="1"/>
    </xf>
    <xf numFmtId="1" fontId="4" fillId="0" borderId="1" xfId="0" applyNumberFormat="1" applyFont="1" applyBorder="1" applyAlignment="1">
      <alignment horizontal="left" vertical="top" wrapText="1"/>
    </xf>
    <xf numFmtId="1" fontId="4" fillId="0" borderId="2" xfId="0" applyNumberFormat="1" applyFont="1" applyBorder="1" applyAlignment="1">
      <alignment horizontal="left" vertical="top" wrapText="1"/>
    </xf>
    <xf numFmtId="1" fontId="4" fillId="0" borderId="12" xfId="0" applyNumberFormat="1" applyFont="1" applyBorder="1" applyAlignment="1">
      <alignment horizontal="left" vertical="top" wrapText="1"/>
    </xf>
    <xf numFmtId="1" fontId="4" fillId="0" borderId="9" xfId="0" applyNumberFormat="1" applyFont="1" applyBorder="1" applyAlignment="1">
      <alignment horizontal="left" vertical="top" wrapText="1"/>
    </xf>
    <xf numFmtId="1" fontId="4" fillId="0" borderId="13" xfId="0" applyNumberFormat="1" applyFont="1" applyBorder="1" applyAlignment="1">
      <alignment horizontal="left" vertical="top" wrapText="1"/>
    </xf>
    <xf numFmtId="1" fontId="4" fillId="0" borderId="14" xfId="0" applyNumberFormat="1" applyFont="1" applyBorder="1" applyAlignment="1">
      <alignment horizontal="left" vertical="top" wrapText="1"/>
    </xf>
    <xf numFmtId="0" fontId="23" fillId="0" borderId="4" xfId="1" applyFont="1" applyFill="1" applyBorder="1" applyAlignment="1" applyProtection="1">
      <alignment horizontal="left"/>
    </xf>
    <xf numFmtId="0" fontId="23" fillId="0" borderId="0" xfId="1" applyFont="1" applyFill="1" applyBorder="1" applyAlignment="1" applyProtection="1">
      <alignment horizontal="left"/>
    </xf>
    <xf numFmtId="0" fontId="23" fillId="0" borderId="5" xfId="1" applyFont="1" applyFill="1" applyBorder="1" applyAlignment="1" applyProtection="1">
      <alignment horizontal="left"/>
    </xf>
    <xf numFmtId="0" fontId="23" fillId="0" borderId="4" xfId="1" applyFont="1" applyFill="1" applyBorder="1" applyAlignment="1" applyProtection="1"/>
    <xf numFmtId="0" fontId="23" fillId="0" borderId="0" xfId="1" applyFont="1" applyFill="1" applyBorder="1" applyAlignment="1" applyProtection="1"/>
    <xf numFmtId="0" fontId="23" fillId="0" borderId="5" xfId="1" applyFont="1" applyFill="1" applyBorder="1" applyAlignment="1" applyProtection="1"/>
    <xf numFmtId="0" fontId="23" fillId="0" borderId="1" xfId="1" applyFont="1" applyFill="1" applyBorder="1" applyAlignment="1" applyProtection="1">
      <alignment horizontal="left" vertical="center" wrapText="1"/>
    </xf>
    <xf numFmtId="0" fontId="23" fillId="0" borderId="2" xfId="1" applyFont="1" applyFill="1" applyBorder="1" applyAlignment="1" applyProtection="1">
      <alignment horizontal="left" vertical="center" wrapText="1"/>
    </xf>
    <xf numFmtId="0" fontId="23" fillId="0" borderId="12" xfId="1" applyFont="1" applyFill="1" applyBorder="1" applyAlignment="1" applyProtection="1">
      <alignment horizontal="left" vertical="center" wrapText="1"/>
    </xf>
    <xf numFmtId="0" fontId="23" fillId="0" borderId="4" xfId="1" applyFont="1" applyFill="1" applyBorder="1" applyAlignment="1" applyProtection="1">
      <alignment horizontal="left" vertical="center" wrapText="1"/>
    </xf>
    <xf numFmtId="0" fontId="23" fillId="0" borderId="0" xfId="1" applyFont="1" applyFill="1" applyBorder="1" applyAlignment="1" applyProtection="1">
      <alignment horizontal="left" vertical="center" wrapText="1"/>
    </xf>
    <xf numFmtId="0" fontId="23" fillId="0" borderId="5" xfId="1" applyFont="1" applyFill="1" applyBorder="1" applyAlignment="1" applyProtection="1">
      <alignment horizontal="left" vertical="center" wrapText="1"/>
    </xf>
    <xf numFmtId="0" fontId="23" fillId="0" borderId="9" xfId="1" applyFont="1" applyFill="1" applyBorder="1" applyAlignment="1" applyProtection="1">
      <alignment horizontal="left" vertical="center" wrapText="1"/>
    </xf>
    <xf numFmtId="0" fontId="23" fillId="0" borderId="13" xfId="1" applyFont="1" applyFill="1" applyBorder="1" applyAlignment="1" applyProtection="1">
      <alignment horizontal="left" vertical="center" wrapText="1"/>
    </xf>
    <xf numFmtId="0" fontId="23" fillId="0" borderId="14" xfId="1" applyFont="1" applyFill="1" applyBorder="1" applyAlignment="1" applyProtection="1">
      <alignment horizontal="left" vertical="center" wrapText="1"/>
    </xf>
    <xf numFmtId="0" fontId="8" fillId="4" borderId="0" xfId="0" applyFont="1" applyFill="1" applyAlignment="1">
      <alignment horizontal="left"/>
    </xf>
    <xf numFmtId="0" fontId="6" fillId="4" borderId="0" xfId="1" applyFill="1" applyAlignment="1" applyProtection="1"/>
    <xf numFmtId="0" fontId="0" fillId="0" borderId="0" xfId="0" applyAlignment="1">
      <alignment horizontal="left"/>
    </xf>
    <xf numFmtId="0" fontId="23" fillId="0" borderId="0" xfId="1" applyFont="1" applyFill="1" applyAlignment="1" applyProtection="1"/>
    <xf numFmtId="0" fontId="0" fillId="5" borderId="0" xfId="0" applyFill="1"/>
    <xf numFmtId="0" fontId="0" fillId="6" borderId="27" xfId="0" applyFill="1" applyBorder="1"/>
    <xf numFmtId="0" fontId="0" fillId="6" borderId="28" xfId="0" applyFill="1" applyBorder="1"/>
    <xf numFmtId="0" fontId="0" fillId="6" borderId="31" xfId="0" applyFill="1" applyBorder="1"/>
    <xf numFmtId="169" fontId="3" fillId="7" borderId="37" xfId="9" applyFont="1" applyFill="1" applyBorder="1" applyAlignment="1">
      <alignment horizontal="center"/>
    </xf>
    <xf numFmtId="0" fontId="32" fillId="6" borderId="7" xfId="0" applyFont="1" applyFill="1" applyBorder="1"/>
    <xf numFmtId="0" fontId="0" fillId="6" borderId="0" xfId="0" applyFill="1"/>
    <xf numFmtId="0" fontId="0" fillId="6" borderId="6" xfId="0" applyFill="1" applyBorder="1"/>
    <xf numFmtId="0" fontId="4" fillId="8" borderId="38" xfId="0" applyFont="1" applyFill="1" applyBorder="1"/>
    <xf numFmtId="169" fontId="4" fillId="4" borderId="6" xfId="9" applyFont="1" applyFill="1" applyBorder="1"/>
    <xf numFmtId="0" fontId="33" fillId="6" borderId="7" xfId="0" applyFont="1" applyFill="1" applyBorder="1" applyAlignment="1">
      <alignment horizontal="left" wrapText="1"/>
    </xf>
    <xf numFmtId="0" fontId="33" fillId="6" borderId="0" xfId="0" applyFont="1" applyFill="1" applyAlignment="1">
      <alignment horizontal="left" wrapText="1"/>
    </xf>
    <xf numFmtId="0" fontId="33" fillId="6" borderId="6" xfId="0" applyFont="1" applyFill="1" applyBorder="1" applyAlignment="1">
      <alignment horizontal="left" wrapText="1"/>
    </xf>
    <xf numFmtId="2" fontId="4" fillId="0" borderId="39" xfId="0" applyNumberFormat="1" applyFont="1" applyBorder="1"/>
    <xf numFmtId="169" fontId="4" fillId="4" borderId="6" xfId="9" applyFont="1" applyFill="1" applyBorder="1" applyAlignment="1">
      <alignment wrapText="1"/>
    </xf>
    <xf numFmtId="2" fontId="4" fillId="0" borderId="40" xfId="0" applyNumberFormat="1" applyFont="1" applyBorder="1" applyAlignment="1">
      <alignment horizontal="center"/>
    </xf>
    <xf numFmtId="0" fontId="0" fillId="6" borderId="7" xfId="0" applyFill="1" applyBorder="1"/>
    <xf numFmtId="169" fontId="3" fillId="7" borderId="41" xfId="9" applyFont="1" applyFill="1" applyBorder="1" applyAlignment="1">
      <alignment horizontal="center"/>
    </xf>
    <xf numFmtId="169" fontId="3" fillId="7" borderId="42" xfId="9" applyFont="1" applyFill="1" applyBorder="1" applyAlignment="1">
      <alignment horizontal="center"/>
    </xf>
    <xf numFmtId="0" fontId="34" fillId="6" borderId="7" xfId="0" applyFont="1" applyFill="1" applyBorder="1"/>
    <xf numFmtId="0" fontId="4" fillId="9" borderId="39" xfId="0" applyFont="1" applyFill="1" applyBorder="1"/>
    <xf numFmtId="0" fontId="35" fillId="6" borderId="7" xfId="0" applyFont="1" applyFill="1" applyBorder="1" applyAlignment="1">
      <alignment horizontal="left" vertical="top" wrapText="1"/>
    </xf>
    <xf numFmtId="0" fontId="35" fillId="6" borderId="0" xfId="0" applyFont="1" applyFill="1" applyAlignment="1">
      <alignment horizontal="left" vertical="top"/>
    </xf>
    <xf numFmtId="0" fontId="35" fillId="6" borderId="6" xfId="0" applyFont="1" applyFill="1" applyBorder="1" applyAlignment="1">
      <alignment horizontal="left" vertical="top"/>
    </xf>
    <xf numFmtId="0" fontId="4" fillId="10" borderId="39" xfId="0" applyFont="1" applyFill="1" applyBorder="1"/>
    <xf numFmtId="0" fontId="35" fillId="6" borderId="7" xfId="0" applyFont="1" applyFill="1" applyBorder="1" applyAlignment="1">
      <alignment horizontal="left" vertical="top"/>
    </xf>
    <xf numFmtId="0" fontId="4" fillId="11" borderId="40" xfId="0" applyFont="1" applyFill="1" applyBorder="1"/>
    <xf numFmtId="169" fontId="4" fillId="4" borderId="18" xfId="9" applyFont="1" applyFill="1" applyBorder="1"/>
    <xf numFmtId="0" fontId="35" fillId="6" borderId="0" xfId="0" applyFont="1" applyFill="1" applyAlignment="1">
      <alignment horizontal="left" vertical="top" wrapText="1"/>
    </xf>
    <xf numFmtId="0" fontId="35" fillId="6" borderId="6" xfId="0" applyFont="1" applyFill="1" applyBorder="1" applyAlignment="1">
      <alignment horizontal="left" vertical="top" wrapText="1"/>
    </xf>
    <xf numFmtId="0" fontId="36" fillId="6" borderId="7" xfId="0" applyFont="1" applyFill="1" applyBorder="1"/>
    <xf numFmtId="0" fontId="35" fillId="6" borderId="7" xfId="0" quotePrefix="1" applyFont="1" applyFill="1" applyBorder="1" applyAlignment="1">
      <alignment horizontal="left" vertical="top" wrapText="1"/>
    </xf>
    <xf numFmtId="0" fontId="35" fillId="6" borderId="7" xfId="0" applyFont="1" applyFill="1" applyBorder="1"/>
    <xf numFmtId="0" fontId="0" fillId="12" borderId="28" xfId="0" applyFill="1" applyBorder="1"/>
    <xf numFmtId="0" fontId="0" fillId="12" borderId="0" xfId="0" applyFill="1"/>
    <xf numFmtId="0" fontId="32" fillId="0" borderId="0" xfId="0" applyFont="1" applyAlignment="1">
      <alignment horizontal="left"/>
    </xf>
    <xf numFmtId="0" fontId="32" fillId="0" borderId="0" xfId="0" applyFont="1" applyAlignment="1">
      <alignment horizontal="centerContinuous"/>
    </xf>
    <xf numFmtId="43" fontId="0" fillId="0" borderId="12" xfId="7" applyFont="1" applyBorder="1" applyAlignment="1"/>
    <xf numFmtId="0" fontId="3" fillId="0" borderId="9" xfId="0" applyFont="1" applyBorder="1"/>
    <xf numFmtId="43" fontId="0" fillId="0" borderId="14" xfId="7" applyFont="1" applyBorder="1"/>
    <xf numFmtId="0" fontId="3" fillId="0" borderId="2" xfId="0" applyFont="1" applyBorder="1"/>
    <xf numFmtId="37" fontId="0" fillId="0" borderId="0" xfId="0" applyNumberFormat="1"/>
    <xf numFmtId="0" fontId="3" fillId="0" borderId="0" xfId="0" applyFont="1" applyAlignment="1">
      <alignment horizontal="left"/>
    </xf>
    <xf numFmtId="0" fontId="38" fillId="0" borderId="0" xfId="0" applyFont="1" applyAlignment="1">
      <alignment horizontal="left"/>
    </xf>
    <xf numFmtId="0" fontId="39" fillId="0" borderId="0" xfId="0" applyFont="1"/>
    <xf numFmtId="169" fontId="40" fillId="0" borderId="43" xfId="10" applyFont="1" applyBorder="1" applyAlignment="1">
      <alignment horizontal="left"/>
    </xf>
    <xf numFmtId="169" fontId="41" fillId="0" borderId="44" xfId="10" applyFont="1" applyBorder="1" applyAlignment="1">
      <alignment horizontal="center" wrapText="1"/>
    </xf>
    <xf numFmtId="169" fontId="41" fillId="0" borderId="45" xfId="10" applyFont="1" applyBorder="1" applyAlignment="1">
      <alignment horizontal="center" wrapText="1"/>
    </xf>
    <xf numFmtId="3" fontId="41" fillId="0" borderId="45" xfId="10" applyNumberFormat="1" applyFont="1" applyBorder="1" applyAlignment="1">
      <alignment horizontal="center" wrapText="1"/>
    </xf>
    <xf numFmtId="0" fontId="41" fillId="0" borderId="46" xfId="0" applyFont="1" applyBorder="1" applyAlignment="1">
      <alignment horizontal="center" wrapText="1"/>
    </xf>
    <xf numFmtId="169" fontId="43" fillId="0" borderId="47" xfId="10" applyFont="1" applyBorder="1" applyAlignment="1">
      <alignment horizontal="left"/>
    </xf>
    <xf numFmtId="43" fontId="43" fillId="0" borderId="48" xfId="7" applyFont="1" applyFill="1" applyBorder="1" applyAlignment="1" applyProtection="1">
      <alignment horizontal="left"/>
    </xf>
    <xf numFmtId="39" fontId="43" fillId="0" borderId="49" xfId="7" applyNumberFormat="1" applyFont="1" applyFill="1" applyBorder="1" applyAlignment="1" applyProtection="1">
      <alignment horizontal="right"/>
    </xf>
    <xf numFmtId="39" fontId="43" fillId="0" borderId="25" xfId="7" applyNumberFormat="1" applyFont="1" applyFill="1" applyBorder="1" applyAlignment="1" applyProtection="1">
      <alignment horizontal="right"/>
    </xf>
    <xf numFmtId="169" fontId="44" fillId="0" borderId="47" xfId="10" applyFont="1" applyBorder="1" applyAlignment="1">
      <alignment horizontal="left"/>
    </xf>
    <xf numFmtId="43" fontId="43" fillId="0" borderId="23" xfId="7" applyFont="1" applyFill="1" applyBorder="1" applyAlignment="1" applyProtection="1">
      <alignment horizontal="right"/>
    </xf>
    <xf numFmtId="171" fontId="45" fillId="0" borderId="0" xfId="7" applyNumberFormat="1" applyFont="1" applyFill="1" applyBorder="1" applyProtection="1"/>
    <xf numFmtId="171" fontId="43" fillId="0" borderId="0" xfId="7" applyNumberFormat="1" applyFont="1" applyFill="1" applyBorder="1" applyProtection="1"/>
    <xf numFmtId="39" fontId="43" fillId="0" borderId="5" xfId="7" applyNumberFormat="1" applyFont="1" applyFill="1" applyBorder="1" applyAlignment="1" applyProtection="1">
      <alignment horizontal="right"/>
    </xf>
    <xf numFmtId="39" fontId="43" fillId="0" borderId="23" xfId="7" applyNumberFormat="1" applyFont="1" applyFill="1" applyBorder="1" applyAlignment="1" applyProtection="1">
      <alignment horizontal="right"/>
    </xf>
    <xf numFmtId="39" fontId="43" fillId="0" borderId="50" xfId="7" applyNumberFormat="1" applyFont="1" applyFill="1" applyBorder="1" applyAlignment="1" applyProtection="1">
      <alignment horizontal="right"/>
    </xf>
    <xf numFmtId="169" fontId="43" fillId="0" borderId="51" xfId="10" applyFont="1" applyBorder="1" applyAlignment="1">
      <alignment horizontal="left"/>
    </xf>
    <xf numFmtId="43" fontId="43" fillId="0" borderId="52" xfId="7" applyFont="1" applyFill="1" applyBorder="1" applyAlignment="1" applyProtection="1">
      <alignment horizontal="right"/>
    </xf>
    <xf numFmtId="39" fontId="43" fillId="0" borderId="53" xfId="7" applyNumberFormat="1" applyFont="1" applyFill="1" applyBorder="1" applyAlignment="1" applyProtection="1">
      <alignment horizontal="right"/>
    </xf>
    <xf numFmtId="39" fontId="43" fillId="0" borderId="54" xfId="7" applyNumberFormat="1" applyFont="1" applyFill="1" applyBorder="1" applyAlignment="1" applyProtection="1">
      <alignment horizontal="right"/>
    </xf>
    <xf numFmtId="169" fontId="46" fillId="0" borderId="0" xfId="10" applyFont="1" applyAlignment="1">
      <alignment horizontal="left"/>
    </xf>
    <xf numFmtId="169" fontId="47" fillId="0" borderId="0" xfId="10" applyFont="1" applyAlignment="1">
      <alignment horizontal="left"/>
    </xf>
    <xf numFmtId="0" fontId="39" fillId="0" borderId="0" xfId="0" applyFont="1" applyAlignment="1">
      <alignment horizontal="centerContinuous"/>
    </xf>
    <xf numFmtId="169" fontId="40" fillId="0" borderId="55" xfId="10" applyFont="1" applyBorder="1" applyAlignment="1">
      <alignment horizontal="left"/>
    </xf>
    <xf numFmtId="2" fontId="41" fillId="0" borderId="45" xfId="10" applyNumberFormat="1" applyFont="1" applyBorder="1" applyAlignment="1">
      <alignment horizontal="center" wrapText="1"/>
    </xf>
    <xf numFmtId="3" fontId="41" fillId="0" borderId="56" xfId="10" applyNumberFormat="1" applyFont="1" applyBorder="1" applyAlignment="1">
      <alignment horizontal="center" wrapText="1"/>
    </xf>
    <xf numFmtId="169" fontId="41" fillId="0" borderId="57" xfId="10" applyFont="1" applyBorder="1" applyAlignment="1">
      <alignment horizontal="center" wrapText="1"/>
    </xf>
    <xf numFmtId="169" fontId="43" fillId="0" borderId="58" xfId="10" applyFont="1" applyBorder="1" applyAlignment="1">
      <alignment horizontal="left"/>
    </xf>
    <xf numFmtId="39" fontId="48" fillId="0" borderId="49" xfId="7" applyNumberFormat="1" applyFont="1" applyFill="1" applyBorder="1" applyAlignment="1" applyProtection="1">
      <alignment horizontal="right"/>
    </xf>
    <xf numFmtId="39" fontId="43" fillId="0" borderId="59" xfId="8" applyNumberFormat="1" applyFont="1" applyFill="1" applyBorder="1" applyAlignment="1" applyProtection="1">
      <alignment horizontal="right"/>
    </xf>
    <xf numFmtId="39" fontId="43" fillId="0" borderId="6" xfId="7" applyNumberFormat="1" applyFont="1" applyBorder="1" applyAlignment="1" applyProtection="1">
      <alignment horizontal="right"/>
    </xf>
    <xf numFmtId="39" fontId="43" fillId="0" borderId="60" xfId="8" applyNumberFormat="1" applyFont="1" applyFill="1" applyBorder="1" applyAlignment="1" applyProtection="1">
      <alignment horizontal="right"/>
    </xf>
    <xf numFmtId="169" fontId="44" fillId="0" borderId="58" xfId="10" applyFont="1" applyBorder="1" applyAlignment="1">
      <alignment horizontal="left"/>
    </xf>
    <xf numFmtId="169" fontId="43" fillId="0" borderId="61" xfId="10" applyFont="1" applyBorder="1" applyAlignment="1">
      <alignment horizontal="left"/>
    </xf>
    <xf numFmtId="169" fontId="46" fillId="0" borderId="40" xfId="10" applyFont="1" applyBorder="1" applyAlignment="1">
      <alignment horizontal="left"/>
    </xf>
    <xf numFmtId="39" fontId="43" fillId="0" borderId="62" xfId="7" applyNumberFormat="1" applyFont="1" applyFill="1" applyBorder="1" applyAlignment="1" applyProtection="1">
      <alignment horizontal="right"/>
    </xf>
    <xf numFmtId="39" fontId="43" fillId="0" borderId="63" xfId="7" applyNumberFormat="1" applyFont="1" applyBorder="1" applyProtection="1"/>
    <xf numFmtId="0" fontId="39" fillId="0" borderId="0" xfId="0" applyFont="1" applyAlignment="1">
      <alignment horizontal="centerContinuous" wrapText="1"/>
    </xf>
    <xf numFmtId="2" fontId="41" fillId="0" borderId="44" xfId="10" applyNumberFormat="1" applyFont="1" applyBorder="1" applyAlignment="1">
      <alignment horizontal="center" wrapText="1"/>
    </xf>
    <xf numFmtId="39" fontId="43" fillId="0" borderId="48" xfId="7" applyNumberFormat="1" applyFont="1" applyBorder="1" applyAlignment="1" applyProtection="1">
      <alignment horizontal="right"/>
    </xf>
    <xf numFmtId="39" fontId="43" fillId="0" borderId="49" xfId="8" applyNumberFormat="1" applyFont="1" applyBorder="1" applyAlignment="1" applyProtection="1">
      <alignment horizontal="right"/>
    </xf>
    <xf numFmtId="39" fontId="43" fillId="0" borderId="0" xfId="7" applyNumberFormat="1" applyFont="1" applyFill="1" applyBorder="1" applyAlignment="1" applyProtection="1">
      <alignment horizontal="right"/>
    </xf>
    <xf numFmtId="39" fontId="43" fillId="0" borderId="23" xfId="7" applyNumberFormat="1" applyFont="1" applyBorder="1" applyAlignment="1" applyProtection="1">
      <alignment horizontal="right"/>
    </xf>
    <xf numFmtId="39" fontId="43" fillId="0" borderId="49" xfId="7" applyNumberFormat="1" applyFont="1" applyBorder="1" applyAlignment="1" applyProtection="1">
      <alignment horizontal="right"/>
    </xf>
    <xf numFmtId="39" fontId="49" fillId="0" borderId="49" xfId="8" applyNumberFormat="1" applyFont="1" applyBorder="1" applyAlignment="1" applyProtection="1">
      <alignment horizontal="right"/>
    </xf>
    <xf numFmtId="39" fontId="49" fillId="0" borderId="24" xfId="7" applyNumberFormat="1" applyFont="1" applyBorder="1" applyAlignment="1" applyProtection="1">
      <alignment horizontal="right"/>
    </xf>
    <xf numFmtId="39" fontId="49" fillId="0" borderId="49" xfId="7" applyNumberFormat="1" applyFont="1" applyBorder="1" applyAlignment="1" applyProtection="1">
      <alignment horizontal="right"/>
    </xf>
    <xf numFmtId="39" fontId="49" fillId="0" borderId="49" xfId="7" applyNumberFormat="1" applyFont="1" applyFill="1" applyBorder="1" applyAlignment="1" applyProtection="1">
      <alignment horizontal="right"/>
    </xf>
    <xf numFmtId="39" fontId="49" fillId="0" borderId="6" xfId="7" applyNumberFormat="1" applyFont="1" applyBorder="1" applyAlignment="1" applyProtection="1">
      <alignment horizontal="right"/>
    </xf>
    <xf numFmtId="39" fontId="43" fillId="0" borderId="64" xfId="7" applyNumberFormat="1" applyFont="1" applyFill="1" applyBorder="1" applyAlignment="1" applyProtection="1">
      <alignment horizontal="right"/>
    </xf>
    <xf numFmtId="39" fontId="49" fillId="0" borderId="53" xfId="7" applyNumberFormat="1" applyFont="1" applyFill="1" applyBorder="1" applyAlignment="1" applyProtection="1">
      <alignment horizontal="right"/>
    </xf>
    <xf numFmtId="39" fontId="49" fillId="0" borderId="64" xfId="7" applyNumberFormat="1" applyFont="1" applyFill="1" applyBorder="1" applyAlignment="1" applyProtection="1">
      <alignment horizontal="right"/>
    </xf>
    <xf numFmtId="39" fontId="49" fillId="0" borderId="62" xfId="0" applyNumberFormat="1" applyFont="1" applyBorder="1" applyAlignment="1">
      <alignment horizontal="right"/>
    </xf>
    <xf numFmtId="39" fontId="43" fillId="0" borderId="63" xfId="7" applyNumberFormat="1" applyFont="1" applyBorder="1" applyAlignment="1" applyProtection="1">
      <alignment horizontal="right"/>
    </xf>
    <xf numFmtId="39" fontId="43" fillId="0" borderId="6" xfId="7" applyNumberFormat="1" applyFont="1" applyFill="1" applyBorder="1" applyAlignment="1" applyProtection="1">
      <alignment horizontal="right"/>
    </xf>
    <xf numFmtId="0" fontId="0" fillId="0" borderId="6" xfId="0" applyBorder="1"/>
    <xf numFmtId="169" fontId="43" fillId="0" borderId="38" xfId="10" applyFont="1" applyBorder="1" applyAlignment="1">
      <alignment horizontal="left"/>
    </xf>
    <xf numFmtId="169" fontId="46" fillId="0" borderId="51" xfId="10" applyFont="1" applyBorder="1" applyAlignment="1">
      <alignment horizontal="left"/>
    </xf>
    <xf numFmtId="39" fontId="43" fillId="0" borderId="65" xfId="7" applyNumberFormat="1" applyFont="1" applyFill="1" applyBorder="1" applyAlignment="1" applyProtection="1">
      <alignment horizontal="right"/>
    </xf>
    <xf numFmtId="39" fontId="43" fillId="0" borderId="66" xfId="7" applyNumberFormat="1" applyFont="1" applyFill="1" applyBorder="1" applyAlignment="1" applyProtection="1">
      <alignment horizontal="right"/>
    </xf>
    <xf numFmtId="169" fontId="49" fillId="0" borderId="0" xfId="10" applyFont="1" applyAlignment="1">
      <alignment horizontal="left"/>
    </xf>
    <xf numFmtId="0" fontId="4" fillId="2" borderId="0" xfId="0" applyFont="1" applyFill="1" applyAlignment="1">
      <alignment horizontal="left"/>
    </xf>
    <xf numFmtId="0" fontId="6" fillId="0" borderId="0" xfId="1" applyAlignment="1" applyProtection="1">
      <alignment horizontal="left"/>
    </xf>
    <xf numFmtId="0" fontId="4" fillId="0" borderId="0" xfId="0" quotePrefix="1" applyFont="1" applyAlignment="1">
      <alignment horizontal="left"/>
    </xf>
    <xf numFmtId="0" fontId="4" fillId="0" borderId="0" xfId="0" applyFont="1" applyAlignment="1">
      <alignment horizontal="left"/>
    </xf>
    <xf numFmtId="0" fontId="13" fillId="2" borderId="0" xfId="0" applyFont="1" applyFill="1" applyAlignment="1">
      <alignment horizontal="left" wrapText="1"/>
    </xf>
    <xf numFmtId="0" fontId="4" fillId="4" borderId="0" xfId="0" quotePrefix="1" applyFont="1" applyFill="1" applyAlignment="1">
      <alignment horizontal="left" wrapText="1"/>
    </xf>
    <xf numFmtId="43" fontId="0" fillId="0" borderId="0" xfId="0" applyNumberFormat="1"/>
    <xf numFmtId="0" fontId="0" fillId="0" borderId="7" xfId="0" applyBorder="1" applyAlignment="1">
      <alignment horizontal="center" wrapText="1"/>
    </xf>
    <xf numFmtId="0" fontId="0" fillId="0" borderId="7" xfId="0" applyBorder="1" applyAlignment="1">
      <alignment wrapText="1"/>
    </xf>
    <xf numFmtId="169" fontId="43" fillId="13" borderId="47" xfId="10" applyFont="1" applyFill="1" applyBorder="1" applyAlignment="1">
      <alignment horizontal="left"/>
    </xf>
    <xf numFmtId="43" fontId="43" fillId="13" borderId="23" xfId="7" applyFont="1" applyFill="1" applyBorder="1" applyAlignment="1" applyProtection="1">
      <alignment horizontal="right"/>
    </xf>
    <xf numFmtId="39" fontId="43" fillId="13" borderId="49" xfId="7" applyNumberFormat="1" applyFont="1" applyFill="1" applyBorder="1" applyAlignment="1" applyProtection="1">
      <alignment horizontal="right"/>
    </xf>
    <xf numFmtId="170" fontId="43" fillId="13" borderId="49" xfId="7" applyNumberFormat="1" applyFont="1" applyFill="1" applyBorder="1" applyAlignment="1" applyProtection="1">
      <alignment horizontal="right"/>
    </xf>
    <xf numFmtId="0" fontId="0" fillId="0" borderId="0" xfId="0" applyBorder="1"/>
    <xf numFmtId="39" fontId="43" fillId="13" borderId="4" xfId="7" applyNumberFormat="1" applyFont="1" applyFill="1" applyBorder="1" applyAlignment="1" applyProtection="1">
      <alignment horizontal="right"/>
    </xf>
    <xf numFmtId="39" fontId="43" fillId="0" borderId="4" xfId="7" applyNumberFormat="1" applyFont="1" applyFill="1" applyBorder="1" applyAlignment="1" applyProtection="1">
      <alignment horizontal="right"/>
    </xf>
    <xf numFmtId="0" fontId="0" fillId="0" borderId="34" xfId="0" applyBorder="1"/>
    <xf numFmtId="43" fontId="0" fillId="0" borderId="39" xfId="0" applyNumberFormat="1" applyBorder="1" applyAlignment="1">
      <alignment horizontal="left" vertical="center"/>
    </xf>
    <xf numFmtId="43" fontId="0" fillId="0" borderId="72" xfId="0" applyNumberFormat="1" applyBorder="1"/>
    <xf numFmtId="43" fontId="0" fillId="0" borderId="40" xfId="0" applyNumberFormat="1" applyBorder="1" applyAlignment="1">
      <alignment horizontal="left" vertical="center"/>
    </xf>
    <xf numFmtId="0" fontId="0" fillId="0" borderId="62" xfId="0" applyBorder="1"/>
    <xf numFmtId="43" fontId="0" fillId="0" borderId="63" xfId="0" applyNumberFormat="1" applyBorder="1"/>
    <xf numFmtId="43" fontId="0" fillId="13" borderId="70" xfId="0" applyNumberFormat="1" applyFill="1" applyBorder="1" applyAlignment="1">
      <alignment horizontal="left" vertical="center"/>
    </xf>
    <xf numFmtId="0" fontId="0" fillId="13" borderId="56" xfId="0" applyFill="1" applyBorder="1"/>
    <xf numFmtId="43" fontId="0" fillId="13" borderId="71" xfId="0" applyNumberFormat="1" applyFill="1" applyBorder="1"/>
    <xf numFmtId="43" fontId="0" fillId="13" borderId="39" xfId="0" applyNumberFormat="1" applyFill="1" applyBorder="1" applyAlignment="1">
      <alignment horizontal="left" vertical="center"/>
    </xf>
    <xf numFmtId="0" fontId="0" fillId="13" borderId="34" xfId="0" applyFill="1" applyBorder="1"/>
    <xf numFmtId="43" fontId="0" fillId="13" borderId="72" xfId="0" applyNumberFormat="1" applyFill="1" applyBorder="1"/>
    <xf numFmtId="0" fontId="0" fillId="13" borderId="0" xfId="0" applyFill="1"/>
    <xf numFmtId="0" fontId="6" fillId="0" borderId="0" xfId="1" applyAlignment="1" applyProtection="1"/>
    <xf numFmtId="0" fontId="3" fillId="14" borderId="67" xfId="0" applyFont="1" applyFill="1" applyBorder="1" applyAlignment="1">
      <alignment horizontal="center"/>
    </xf>
    <xf numFmtId="0" fontId="0" fillId="0" borderId="31" xfId="0" applyBorder="1"/>
    <xf numFmtId="0" fontId="50" fillId="0" borderId="7" xfId="0" applyFont="1" applyBorder="1" applyAlignment="1">
      <alignment horizontal="center" vertical="center" wrapText="1"/>
    </xf>
    <xf numFmtId="0" fontId="0" fillId="0" borderId="7" xfId="0" applyBorder="1"/>
    <xf numFmtId="0" fontId="6" fillId="0" borderId="33" xfId="1" applyBorder="1" applyAlignment="1" applyProtection="1"/>
    <xf numFmtId="0" fontId="0" fillId="0" borderId="18" xfId="0" applyBorder="1"/>
    <xf numFmtId="0" fontId="0" fillId="0" borderId="39" xfId="0" applyBorder="1"/>
    <xf numFmtId="0" fontId="0" fillId="0" borderId="72" xfId="0" applyBorder="1"/>
    <xf numFmtId="0" fontId="0" fillId="13" borderId="39" xfId="0" applyFill="1" applyBorder="1"/>
    <xf numFmtId="0" fontId="0" fillId="13" borderId="72" xfId="0" applyFill="1" applyBorder="1"/>
    <xf numFmtId="0" fontId="0" fillId="0" borderId="40" xfId="0" applyBorder="1"/>
    <xf numFmtId="0" fontId="0" fillId="0" borderId="63" xfId="0" applyBorder="1"/>
    <xf numFmtId="0" fontId="0" fillId="0" borderId="38" xfId="0" applyBorder="1"/>
    <xf numFmtId="0" fontId="0" fillId="0" borderId="10" xfId="0" applyBorder="1"/>
    <xf numFmtId="0" fontId="0" fillId="0" borderId="24" xfId="0" applyBorder="1"/>
    <xf numFmtId="0" fontId="50" fillId="0" borderId="6" xfId="0" applyFont="1" applyBorder="1" applyAlignment="1">
      <alignment horizontal="center" vertical="center" wrapText="1"/>
    </xf>
    <xf numFmtId="0" fontId="50" fillId="0" borderId="33" xfId="0" applyFont="1" applyBorder="1" applyAlignment="1">
      <alignment horizontal="center" vertical="center" wrapText="1"/>
    </xf>
    <xf numFmtId="0" fontId="50" fillId="0" borderId="18" xfId="0" applyFont="1" applyBorder="1" applyAlignment="1">
      <alignment horizontal="center" vertical="center" wrapText="1"/>
    </xf>
    <xf numFmtId="0" fontId="3" fillId="0" borderId="41" xfId="0" applyFont="1" applyBorder="1" applyAlignment="1">
      <alignment horizontal="center" vertical="center"/>
    </xf>
    <xf numFmtId="0" fontId="3" fillId="0" borderId="42" xfId="0" applyFont="1" applyBorder="1" applyAlignment="1">
      <alignment horizontal="center" vertical="center"/>
    </xf>
    <xf numFmtId="0" fontId="50" fillId="0" borderId="27" xfId="0" applyFont="1" applyBorder="1" applyAlignment="1">
      <alignment horizontal="center" vertical="center" wrapText="1"/>
    </xf>
    <xf numFmtId="0" fontId="50" fillId="0" borderId="31" xfId="0" applyFont="1" applyBorder="1" applyAlignment="1">
      <alignment horizontal="center" vertical="center" wrapText="1"/>
    </xf>
    <xf numFmtId="171" fontId="0" fillId="0" borderId="0" xfId="7" applyNumberFormat="1" applyFont="1"/>
    <xf numFmtId="0" fontId="0" fillId="15" borderId="7" xfId="0" applyFill="1" applyBorder="1" applyAlignment="1">
      <alignment horizontal="center" wrapText="1"/>
    </xf>
    <xf numFmtId="0" fontId="0" fillId="15" borderId="6" xfId="0" applyFill="1" applyBorder="1" applyAlignment="1">
      <alignment horizontal="center" wrapText="1"/>
    </xf>
    <xf numFmtId="43" fontId="0" fillId="15" borderId="68" xfId="0" applyNumberFormat="1" applyFill="1" applyBorder="1" applyAlignment="1">
      <alignment horizontal="center" vertical="center"/>
    </xf>
    <xf numFmtId="0" fontId="0" fillId="15" borderId="33" xfId="0" applyFill="1" applyBorder="1" applyAlignment="1">
      <alignment horizontal="center" wrapText="1"/>
    </xf>
    <xf numFmtId="0" fontId="0" fillId="15" borderId="18" xfId="0" applyFill="1" applyBorder="1" applyAlignment="1">
      <alignment horizontal="center" wrapText="1"/>
    </xf>
    <xf numFmtId="43" fontId="0" fillId="15" borderId="69" xfId="0" applyNumberFormat="1" applyFill="1" applyBorder="1" applyAlignment="1">
      <alignment horizontal="center" vertical="center"/>
    </xf>
    <xf numFmtId="0" fontId="3" fillId="0" borderId="67" xfId="0" applyFont="1" applyBorder="1" applyAlignment="1">
      <alignment horizontal="center" wrapText="1"/>
    </xf>
    <xf numFmtId="0" fontId="3" fillId="0" borderId="68" xfId="0" applyFont="1" applyBorder="1" applyAlignment="1">
      <alignment horizontal="center" wrapText="1"/>
    </xf>
    <xf numFmtId="0" fontId="3" fillId="0" borderId="69" xfId="0" applyFont="1" applyBorder="1" applyAlignment="1">
      <alignment horizontal="center" wrapText="1"/>
    </xf>
    <xf numFmtId="0" fontId="3" fillId="15" borderId="73" xfId="0" applyFont="1" applyFill="1" applyBorder="1" applyAlignment="1">
      <alignment horizontal="right"/>
    </xf>
    <xf numFmtId="0" fontId="3" fillId="15" borderId="74" xfId="0" applyFont="1" applyFill="1" applyBorder="1" applyAlignment="1">
      <alignment horizontal="right"/>
    </xf>
    <xf numFmtId="0" fontId="3" fillId="15" borderId="27" xfId="0" applyFont="1" applyFill="1" applyBorder="1"/>
    <xf numFmtId="171" fontId="3" fillId="15" borderId="28" xfId="7" applyNumberFormat="1" applyFont="1" applyFill="1" applyBorder="1"/>
    <xf numFmtId="0" fontId="3" fillId="15" borderId="33" xfId="0" applyFont="1" applyFill="1" applyBorder="1"/>
    <xf numFmtId="171" fontId="3" fillId="15" borderId="21" xfId="7" applyNumberFormat="1" applyFont="1" applyFill="1" applyBorder="1"/>
    <xf numFmtId="0" fontId="6" fillId="14" borderId="0" xfId="1" applyFill="1" applyAlignment="1" applyProtection="1">
      <alignment horizontal="center"/>
    </xf>
    <xf numFmtId="171" fontId="0" fillId="0" borderId="0" xfId="0" applyNumberFormat="1"/>
    <xf numFmtId="0" fontId="0" fillId="15" borderId="42" xfId="0" applyFill="1" applyBorder="1"/>
    <xf numFmtId="0" fontId="51" fillId="0" borderId="41" xfId="0" applyFont="1" applyBorder="1" applyAlignment="1">
      <alignment horizontal="center"/>
    </xf>
    <xf numFmtId="0" fontId="51" fillId="0" borderId="75" xfId="0" applyFont="1" applyBorder="1" applyAlignment="1">
      <alignment horizontal="center"/>
    </xf>
    <xf numFmtId="0" fontId="51" fillId="0" borderId="42" xfId="0" applyFont="1" applyBorder="1" applyAlignment="1">
      <alignment horizontal="center"/>
    </xf>
    <xf numFmtId="0" fontId="0" fillId="15" borderId="56" xfId="0" applyFill="1" applyBorder="1"/>
    <xf numFmtId="0" fontId="0" fillId="15" borderId="71" xfId="0" applyFill="1" applyBorder="1"/>
    <xf numFmtId="0" fontId="0" fillId="15" borderId="62" xfId="0" applyFill="1" applyBorder="1"/>
    <xf numFmtId="0" fontId="0" fillId="15" borderId="63" xfId="0" applyFill="1" applyBorder="1"/>
    <xf numFmtId="0" fontId="0" fillId="15" borderId="76" xfId="0" applyFill="1" applyBorder="1"/>
    <xf numFmtId="0" fontId="0" fillId="15" borderId="77" xfId="0" applyFill="1" applyBorder="1"/>
    <xf numFmtId="0" fontId="0" fillId="15" borderId="73" xfId="0" applyFill="1" applyBorder="1"/>
    <xf numFmtId="0" fontId="0" fillId="15" borderId="74" xfId="0" applyFill="1" applyBorder="1"/>
    <xf numFmtId="0" fontId="0" fillId="0" borderId="27" xfId="0" applyBorder="1"/>
    <xf numFmtId="0" fontId="0" fillId="0" borderId="28" xfId="0" applyBorder="1"/>
    <xf numFmtId="0" fontId="6" fillId="0" borderId="7" xfId="1" applyBorder="1" applyAlignment="1" applyProtection="1"/>
    <xf numFmtId="0" fontId="4" fillId="0" borderId="7" xfId="0" applyFont="1" applyBorder="1"/>
    <xf numFmtId="0" fontId="4" fillId="0" borderId="0" xfId="0" applyFont="1" applyBorder="1"/>
    <xf numFmtId="171" fontId="0" fillId="0" borderId="0" xfId="0" applyNumberFormat="1" applyBorder="1"/>
    <xf numFmtId="0" fontId="0" fillId="0" borderId="33" xfId="0" applyBorder="1"/>
    <xf numFmtId="0" fontId="0" fillId="0" borderId="21" xfId="0" applyBorder="1"/>
    <xf numFmtId="0" fontId="4" fillId="0" borderId="0" xfId="0" applyFont="1" applyAlignment="1">
      <alignment horizontal="center"/>
    </xf>
    <xf numFmtId="0" fontId="4" fillId="0" borderId="70" xfId="0" applyFont="1" applyBorder="1"/>
    <xf numFmtId="0" fontId="8" fillId="16" borderId="41" xfId="0" applyFont="1" applyFill="1" applyBorder="1" applyAlignment="1">
      <alignment horizontal="center"/>
    </xf>
    <xf numFmtId="0" fontId="8" fillId="16" borderId="75" xfId="0" applyFont="1" applyFill="1" applyBorder="1" applyAlignment="1">
      <alignment horizontal="center"/>
    </xf>
    <xf numFmtId="0" fontId="8" fillId="16" borderId="42" xfId="0" applyFont="1" applyFill="1" applyBorder="1" applyAlignment="1">
      <alignment horizontal="center"/>
    </xf>
    <xf numFmtId="0" fontId="8" fillId="0" borderId="7" xfId="0" applyFont="1" applyBorder="1"/>
    <xf numFmtId="0" fontId="32" fillId="0" borderId="37" xfId="0" applyFont="1" applyBorder="1" applyAlignment="1">
      <alignment horizontal="center"/>
    </xf>
    <xf numFmtId="0" fontId="32" fillId="0" borderId="42" xfId="0" applyFont="1" applyBorder="1" applyAlignment="1">
      <alignment horizontal="center"/>
    </xf>
    <xf numFmtId="0" fontId="8" fillId="0" borderId="70" xfId="0" applyFont="1" applyBorder="1"/>
    <xf numFmtId="0" fontId="8" fillId="0" borderId="39" xfId="0" applyFont="1" applyBorder="1"/>
    <xf numFmtId="0" fontId="8" fillId="0" borderId="40" xfId="0" applyFont="1" applyBorder="1"/>
    <xf numFmtId="171" fontId="32" fillId="13" borderId="21" xfId="7" applyNumberFormat="1" applyFont="1" applyFill="1" applyBorder="1"/>
    <xf numFmtId="171" fontId="32" fillId="13" borderId="18" xfId="7" applyNumberFormat="1" applyFont="1" applyFill="1" applyBorder="1"/>
    <xf numFmtId="0" fontId="32" fillId="13" borderId="33" xfId="0" applyFont="1" applyFill="1" applyBorder="1" applyAlignment="1">
      <alignment horizontal="center"/>
    </xf>
    <xf numFmtId="0" fontId="8" fillId="0" borderId="0" xfId="0" applyFont="1" applyFill="1" applyBorder="1"/>
    <xf numFmtId="0" fontId="4" fillId="0" borderId="0" xfId="0" applyFont="1" applyAlignment="1"/>
    <xf numFmtId="0" fontId="4" fillId="0" borderId="0" xfId="0" applyFont="1" applyAlignment="1">
      <alignment horizontal="center" wrapText="1"/>
    </xf>
    <xf numFmtId="0" fontId="8" fillId="0" borderId="39" xfId="0" applyFont="1" applyBorder="1" applyAlignment="1">
      <alignment wrapText="1"/>
    </xf>
    <xf numFmtId="0" fontId="8" fillId="0" borderId="78" xfId="0" applyFont="1" applyBorder="1" applyAlignment="1">
      <alignment wrapText="1"/>
    </xf>
    <xf numFmtId="0" fontId="6" fillId="0" borderId="0" xfId="1" applyBorder="1" applyAlignment="1" applyProtection="1"/>
    <xf numFmtId="0" fontId="0" fillId="15" borderId="41" xfId="0" applyFill="1" applyBorder="1"/>
    <xf numFmtId="0" fontId="4" fillId="0" borderId="56" xfId="0" applyFont="1" applyBorder="1"/>
    <xf numFmtId="0" fontId="4" fillId="0" borderId="56" xfId="0" applyFont="1" applyBorder="1" applyAlignment="1">
      <alignment horizontal="center"/>
    </xf>
    <xf numFmtId="0" fontId="4" fillId="0" borderId="71" xfId="0" applyFont="1" applyBorder="1" applyAlignment="1">
      <alignment horizontal="center"/>
    </xf>
    <xf numFmtId="171" fontId="0" fillId="0" borderId="62" xfId="7" applyNumberFormat="1" applyFont="1" applyBorder="1"/>
    <xf numFmtId="171" fontId="0" fillId="0" borderId="63" xfId="7" applyNumberFormat="1" applyFont="1" applyBorder="1"/>
    <xf numFmtId="0" fontId="0" fillId="7" borderId="0" xfId="0" applyFill="1" applyBorder="1"/>
    <xf numFmtId="171" fontId="0" fillId="7" borderId="0" xfId="7" applyNumberFormat="1" applyFont="1" applyFill="1" applyBorder="1"/>
    <xf numFmtId="0" fontId="0" fillId="7" borderId="6" xfId="0" applyFill="1" applyBorder="1"/>
    <xf numFmtId="171" fontId="8" fillId="0" borderId="56" xfId="7" applyNumberFormat="1" applyFont="1" applyBorder="1"/>
    <xf numFmtId="171" fontId="8" fillId="0" borderId="71" xfId="7" applyNumberFormat="1" applyFont="1" applyBorder="1"/>
    <xf numFmtId="171" fontId="8" fillId="0" borderId="34" xfId="7" applyNumberFormat="1" applyFont="1" applyBorder="1"/>
    <xf numFmtId="171" fontId="8" fillId="0" borderId="72" xfId="7" applyNumberFormat="1" applyFont="1" applyBorder="1"/>
    <xf numFmtId="171" fontId="8" fillId="0" borderId="48" xfId="7" applyNumberFormat="1" applyFont="1" applyBorder="1" applyAlignment="1">
      <alignment wrapText="1"/>
    </xf>
    <xf numFmtId="171" fontId="8" fillId="0" borderId="8" xfId="7" applyNumberFormat="1" applyFont="1" applyBorder="1" applyAlignment="1">
      <alignment wrapText="1"/>
    </xf>
    <xf numFmtId="171" fontId="8" fillId="0" borderId="62" xfId="7" applyNumberFormat="1" applyFont="1" applyBorder="1"/>
    <xf numFmtId="171" fontId="8" fillId="0" borderId="63" xfId="7" applyNumberFormat="1" applyFont="1" applyBorder="1"/>
    <xf numFmtId="0" fontId="8" fillId="0" borderId="76" xfId="0" applyFont="1" applyBorder="1"/>
    <xf numFmtId="0" fontId="8" fillId="0" borderId="17" xfId="0" applyFont="1" applyBorder="1"/>
    <xf numFmtId="0" fontId="8" fillId="0" borderId="17" xfId="0" applyFont="1" applyBorder="1" applyAlignment="1">
      <alignment wrapText="1"/>
    </xf>
    <xf numFmtId="0" fontId="8" fillId="0" borderId="12" xfId="0" applyFont="1" applyBorder="1" applyAlignment="1">
      <alignment wrapText="1"/>
    </xf>
    <xf numFmtId="0" fontId="8" fillId="0" borderId="77" xfId="0" applyFont="1" applyBorder="1"/>
    <xf numFmtId="0" fontId="32" fillId="13" borderId="21" xfId="0" applyFont="1" applyFill="1" applyBorder="1" applyAlignment="1">
      <alignment horizontal="center"/>
    </xf>
    <xf numFmtId="0" fontId="4" fillId="17" borderId="0" xfId="0" applyFont="1" applyFill="1" applyAlignment="1">
      <alignment horizontal="center"/>
    </xf>
    <xf numFmtId="0" fontId="32" fillId="0" borderId="0" xfId="0" applyFont="1" applyFill="1" applyBorder="1"/>
    <xf numFmtId="0" fontId="4" fillId="12" borderId="0" xfId="0" applyFont="1" applyFill="1"/>
  </cellXfs>
  <cellStyles count="11">
    <cellStyle name="Comma" xfId="7" builtinId="3"/>
    <cellStyle name="Currency" xfId="8" builtinId="4"/>
    <cellStyle name="Hyperlink" xfId="1" builtinId="8"/>
    <cellStyle name="Hyperlink 2" xfId="3" xr:uid="{00000000-0005-0000-0000-000001000000}"/>
    <cellStyle name="Hyperlink 2 2" xfId="4" xr:uid="{00000000-0005-0000-0000-000002000000}"/>
    <cellStyle name="Normal" xfId="0" builtinId="0"/>
    <cellStyle name="Normal 2" xfId="2" xr:uid="{00000000-0005-0000-0000-000004000000}"/>
    <cellStyle name="Normal 3" xfId="5" xr:uid="{00000000-0005-0000-0000-000005000000}"/>
    <cellStyle name="Normal 3 2" xfId="6" xr:uid="{00000000-0005-0000-0000-000006000000}"/>
    <cellStyle name="Normal 6" xfId="9" xr:uid="{2343461E-8B18-4585-ABAE-864C714190E0}"/>
    <cellStyle name="Normal_FRANK_SS" xfId="10" xr:uid="{A6345DE2-B3E2-4247-A558-CB1C8487452B}"/>
  </cellStyles>
  <dxfs count="12">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s>
  <tableStyles count="1" defaultTableStyle="TableStyleMedium9" defaultPivotStyle="PivotStyleLight16">
    <tableStyle name="MySqlDefault" pivot="0" table="0" count="0" xr9:uid="{00000000-0011-0000-FFFF-FFFF00000000}"/>
  </tableStyles>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3.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externalLink" Target="externalLinks/externalLink2.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19050</xdr:colOff>
      <xdr:row>0</xdr:row>
      <xdr:rowOff>47625</xdr:rowOff>
    </xdr:from>
    <xdr:to>
      <xdr:col>0</xdr:col>
      <xdr:colOff>835025</xdr:colOff>
      <xdr:row>3</xdr:row>
      <xdr:rowOff>114300</xdr:rowOff>
    </xdr:to>
    <xdr:pic>
      <xdr:nvPicPr>
        <xdr:cNvPr id="1212" name="Picture 1" descr="lmop_withoutEPA">
          <a:extLst>
            <a:ext uri="{FF2B5EF4-FFF2-40B4-BE49-F238E27FC236}">
              <a16:creationId xmlns:a16="http://schemas.microsoft.com/office/drawing/2014/main" id="{7FFCDC4B-033D-4D95-A52F-027735CE26F6}"/>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9050" y="47625"/>
          <a:ext cx="809625" cy="752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11</xdr:col>
      <xdr:colOff>104775</xdr:colOff>
      <xdr:row>0</xdr:row>
      <xdr:rowOff>38100</xdr:rowOff>
    </xdr:from>
    <xdr:to>
      <xdr:col>12</xdr:col>
      <xdr:colOff>34925</xdr:colOff>
      <xdr:row>4</xdr:row>
      <xdr:rowOff>0</xdr:rowOff>
    </xdr:to>
    <xdr:pic>
      <xdr:nvPicPr>
        <xdr:cNvPr id="1213" name="Picture 2" descr="epafiles_aara_logo_epasealwhite">
          <a:extLst>
            <a:ext uri="{FF2B5EF4-FFF2-40B4-BE49-F238E27FC236}">
              <a16:creationId xmlns:a16="http://schemas.microsoft.com/office/drawing/2014/main" id="{C8A8AEEA-D92E-4E03-8E23-D5E83F0441FC}"/>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8420100" y="38100"/>
          <a:ext cx="838200" cy="809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N:\Documents%20and%20Settings\LENOVO%20USER\My%20Documents\amy%20a\LMOP\LFGcost\LFGcost-Web%20v2.2\May%202012%20corrected%20version\LFGcost-Web%20V2.2.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N:\LMOP\2017DomesticTO\Pubs&amp;Materials\Benefits%20Calculator%20CO2grid\LFGcost-WebV3.1_113016.xlsm" TargetMode="External"/></Relationships>
</file>

<file path=xl/externalLinks/_rels/externalLink3.xml.rels><?xml version="1.0" encoding="UTF-8" standalone="yes"?>
<Relationships xmlns="http://schemas.openxmlformats.org/package/2006/relationships"><Relationship Id="rId2" Type="http://schemas.openxmlformats.org/officeDocument/2006/relationships/externalLinkPath" Target="file:///C:\Users\ASpaulding\Downloads\warm_v16.xls" TargetMode="External"/><Relationship Id="rId1" Type="http://schemas.openxmlformats.org/officeDocument/2006/relationships/externalLinkPath" Target="/Users/ASpaulding/Downloads/warm_v16.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STRUCTIONS"/>
      <sheetName val="INP-OUT"/>
      <sheetName val="WASTE"/>
      <sheetName val="Cost Estimates"/>
      <sheetName val="Economic and Job Benefits"/>
      <sheetName val="LOOKUP"/>
      <sheetName val="BUDGET-ENG"/>
      <sheetName val="BUDGET-DIR"/>
      <sheetName val="FD IMPACTS-ENG"/>
      <sheetName val="FD IMPACTS-DIR"/>
      <sheetName val="Ranked Multipliers"/>
      <sheetName val="MULTIPLIERS"/>
      <sheetName val="ECON-BEN SUMMARY"/>
      <sheetName val="CURVE"/>
      <sheetName val="ENV"/>
      <sheetName val="FLOW"/>
      <sheetName val="C&amp;F"/>
      <sheetName val="DIR"/>
      <sheetName val="TUR"/>
      <sheetName val="ENG"/>
      <sheetName val="HBTU"/>
      <sheetName val="MTUR"/>
      <sheetName val="SENG"/>
      <sheetName val="LCH"/>
      <sheetName val="CHPE"/>
      <sheetName val="CHPT"/>
      <sheetName val="CHPM"/>
      <sheetName val="Cash Flow Analysis"/>
      <sheetName val="ECN"/>
    </sheetNames>
    <sheetDataSet>
      <sheetData sheetId="0" refreshError="1"/>
      <sheetData sheetId="1" refreshError="1"/>
      <sheetData sheetId="2" refreshError="1"/>
      <sheetData sheetId="3" refreshError="1"/>
      <sheetData sheetId="4" refreshError="1"/>
      <sheetData sheetId="5">
        <row r="18">
          <cell r="A18" t="str">
            <v>LFG energy projects generate benefits for the communities and states in which they are located, as well as for the United States. These benefits include new jobs and expenditures directly impacting the local and state-wide economies as a result of the con</v>
          </cell>
        </row>
        <row r="26">
          <cell r="A26" t="str">
            <v>To view the economic benefits and job creation analysis, ensure that you have:
--Selected a state for the project in cell D2 of the 'INP-OUT' worksheet;
--Selected either a direct use (D) or reciprocating engine (E) project type in cell D12 of the 'INP-OU</v>
          </cell>
        </row>
      </sheetData>
      <sheetData sheetId="6" refreshError="1"/>
      <sheetData sheetId="7" refreshError="1"/>
      <sheetData sheetId="8" refreshError="1"/>
      <sheetData sheetId="9" refreshError="1"/>
      <sheetData sheetId="10" refreshError="1"/>
      <sheetData sheetId="11">
        <row r="3">
          <cell r="A3" t="str">
            <v>(Select State)</v>
          </cell>
        </row>
      </sheetData>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ST"/>
      <sheetName val="INP-OUT"/>
      <sheetName val="WASTE"/>
      <sheetName val="REGIONAL PRICING"/>
      <sheetName val="REPORT"/>
      <sheetName val="RPT-CASHFLOW"/>
      <sheetName val="CURVE"/>
      <sheetName val="AVOIDED CO2- ELEC"/>
      <sheetName val="ENV"/>
      <sheetName val="FLOW"/>
      <sheetName val="C&amp;F"/>
      <sheetName val="DIR"/>
      <sheetName val="BLR"/>
      <sheetName val="HBTU"/>
      <sheetName val="CNG"/>
      <sheetName val="LCH"/>
      <sheetName val="TUR"/>
      <sheetName val="ENG"/>
      <sheetName val="MTUR"/>
      <sheetName val="SENG"/>
      <sheetName val="CHPE"/>
      <sheetName val="CHPT"/>
      <sheetName val="CHPM"/>
      <sheetName val="ECN"/>
      <sheetName val="LOOKUP"/>
      <sheetName val="BUDGET-ENG"/>
      <sheetName val="BUDGET-DIR"/>
      <sheetName val="FD IMPACTS-ENG"/>
      <sheetName val="FD IMPACTS-DIR"/>
      <sheetName val="Ranked Multipliers"/>
      <sheetName val="MULTIPLIERS"/>
      <sheetName val="ECON-BEN SUMMARY"/>
    </sheetNames>
    <sheetDataSet>
      <sheetData sheetId="0" refreshError="1"/>
      <sheetData sheetId="1" refreshError="1"/>
      <sheetData sheetId="2" refreshError="1"/>
      <sheetData sheetId="3" refreshError="1"/>
      <sheetData sheetId="4" refreshError="1"/>
      <sheetData sheetId="5" refreshError="1"/>
      <sheetData sheetId="6" refreshError="1"/>
      <sheetData sheetId="7"/>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ow r="4">
          <cell r="A4" t="str">
            <v>Alabama</v>
          </cell>
          <cell r="B4">
            <v>1.3963000000000001</v>
          </cell>
          <cell r="C4">
            <v>0.39279999999999998</v>
          </cell>
          <cell r="D4">
            <v>13.608000000000001</v>
          </cell>
          <cell r="E4">
            <v>1.9055</v>
          </cell>
          <cell r="F4">
            <v>0.57289999999999996</v>
          </cell>
          <cell r="G4">
            <v>14.606400000000001</v>
          </cell>
          <cell r="H4">
            <v>2.0769000000000002</v>
          </cell>
          <cell r="I4">
            <v>0.47320000000000001</v>
          </cell>
          <cell r="J4">
            <v>11.628500000000001</v>
          </cell>
          <cell r="K4">
            <v>2.3881999999999999</v>
          </cell>
          <cell r="L4">
            <v>0.4773</v>
          </cell>
          <cell r="M4">
            <v>12.4345</v>
          </cell>
          <cell r="N4">
            <v>1.9572000000000001</v>
          </cell>
          <cell r="O4">
            <v>0.54900000000000004</v>
          </cell>
          <cell r="P4">
            <v>13.579700000000001</v>
          </cell>
          <cell r="Q4">
            <v>2.1732999999999998</v>
          </cell>
          <cell r="R4">
            <v>0.49380000000000002</v>
          </cell>
          <cell r="S4">
            <v>12.343999999999999</v>
          </cell>
          <cell r="T4">
            <v>1.8110999999999999</v>
          </cell>
          <cell r="U4">
            <v>0.40949999999999998</v>
          </cell>
          <cell r="V4">
            <v>8.3658000000000001</v>
          </cell>
          <cell r="W4">
            <v>2.3311000000000002</v>
          </cell>
          <cell r="X4">
            <v>0.53900000000000003</v>
          </cell>
          <cell r="Y4">
            <v>12.8315</v>
          </cell>
        </row>
        <row r="5">
          <cell r="A5" t="str">
            <v>Alaska</v>
          </cell>
          <cell r="B5">
            <v>1.0998000000000001</v>
          </cell>
          <cell r="C5">
            <v>0.31590000000000001</v>
          </cell>
          <cell r="D5">
            <v>10.653600000000001</v>
          </cell>
          <cell r="E5">
            <v>1.6345000000000001</v>
          </cell>
          <cell r="F5">
            <v>0.49390000000000001</v>
          </cell>
          <cell r="G5">
            <v>12.6473</v>
          </cell>
          <cell r="H5">
            <v>1</v>
          </cell>
          <cell r="I5">
            <v>0</v>
          </cell>
          <cell r="J5">
            <v>0</v>
          </cell>
          <cell r="K5">
            <v>1</v>
          </cell>
          <cell r="L5">
            <v>0</v>
          </cell>
          <cell r="M5">
            <v>0</v>
          </cell>
          <cell r="N5">
            <v>1.7199</v>
          </cell>
          <cell r="O5">
            <v>0.45639999999999997</v>
          </cell>
          <cell r="P5">
            <v>11.2959</v>
          </cell>
          <cell r="Q5">
            <v>1.4744999999999999</v>
          </cell>
          <cell r="R5">
            <v>0.35360000000000003</v>
          </cell>
          <cell r="S5">
            <v>8.3431999999999995</v>
          </cell>
          <cell r="T5">
            <v>1.6577</v>
          </cell>
          <cell r="U5">
            <v>0.36270000000000002</v>
          </cell>
          <cell r="V5">
            <v>6.8795999999999999</v>
          </cell>
          <cell r="W5">
            <v>1.4524999999999999</v>
          </cell>
          <cell r="X5">
            <v>0.31619999999999998</v>
          </cell>
          <cell r="Y5">
            <v>8.2395999999999994</v>
          </cell>
        </row>
        <row r="6">
          <cell r="A6" t="str">
            <v>Arizona</v>
          </cell>
          <cell r="B6">
            <v>1.2853000000000001</v>
          </cell>
          <cell r="C6">
            <v>0.37409999999999999</v>
          </cell>
          <cell r="D6">
            <v>11.622999999999999</v>
          </cell>
          <cell r="E6">
            <v>1.8953</v>
          </cell>
          <cell r="F6">
            <v>0.58720000000000006</v>
          </cell>
          <cell r="G6">
            <v>13.234</v>
          </cell>
          <cell r="H6">
            <v>1</v>
          </cell>
          <cell r="I6">
            <v>0</v>
          </cell>
          <cell r="J6">
            <v>0</v>
          </cell>
          <cell r="K6">
            <v>1.6877</v>
          </cell>
          <cell r="L6">
            <v>0.35870000000000002</v>
          </cell>
          <cell r="M6">
            <v>8.6959999999999997</v>
          </cell>
          <cell r="N6">
            <v>1.7983</v>
          </cell>
          <cell r="O6">
            <v>0.51549999999999996</v>
          </cell>
          <cell r="P6">
            <v>11.219799999999999</v>
          </cell>
          <cell r="Q6">
            <v>1.855</v>
          </cell>
          <cell r="R6">
            <v>0.45069999999999999</v>
          </cell>
          <cell r="S6">
            <v>10.5707</v>
          </cell>
          <cell r="T6">
            <v>1.6066</v>
          </cell>
          <cell r="U6">
            <v>0.37119999999999997</v>
          </cell>
          <cell r="V6">
            <v>6.8841000000000001</v>
          </cell>
          <cell r="W6">
            <v>1.8284</v>
          </cell>
          <cell r="X6">
            <v>0.43430000000000002</v>
          </cell>
          <cell r="Y6">
            <v>9.6356000000000002</v>
          </cell>
        </row>
        <row r="7">
          <cell r="A7" t="str">
            <v>Arkansas</v>
          </cell>
          <cell r="B7">
            <v>1.2331000000000001</v>
          </cell>
          <cell r="C7">
            <v>0.3412</v>
          </cell>
          <cell r="D7">
            <v>12.751899999999999</v>
          </cell>
          <cell r="E7">
            <v>1.8359000000000001</v>
          </cell>
          <cell r="F7">
            <v>0.54600000000000004</v>
          </cell>
          <cell r="G7">
            <v>14.5494</v>
          </cell>
          <cell r="H7">
            <v>1.9060999999999999</v>
          </cell>
          <cell r="I7">
            <v>0.42080000000000001</v>
          </cell>
          <cell r="J7">
            <v>10.8125</v>
          </cell>
          <cell r="K7">
            <v>2.0175999999999998</v>
          </cell>
          <cell r="L7">
            <v>0.38250000000000001</v>
          </cell>
          <cell r="M7">
            <v>10.2361</v>
          </cell>
          <cell r="N7">
            <v>1.8708</v>
          </cell>
          <cell r="O7">
            <v>0.5161</v>
          </cell>
          <cell r="P7">
            <v>13.5236</v>
          </cell>
          <cell r="Q7">
            <v>2.0301</v>
          </cell>
          <cell r="R7">
            <v>0.44629999999999997</v>
          </cell>
          <cell r="S7">
            <v>11.940200000000001</v>
          </cell>
          <cell r="T7">
            <v>1.6017999999999999</v>
          </cell>
          <cell r="U7">
            <v>0.35089999999999999</v>
          </cell>
          <cell r="V7">
            <v>7.5563000000000002</v>
          </cell>
          <cell r="W7">
            <v>2.1316999999999999</v>
          </cell>
          <cell r="X7">
            <v>0.48159999999999997</v>
          </cell>
          <cell r="Y7">
            <v>13.0418</v>
          </cell>
        </row>
        <row r="8">
          <cell r="A8" t="str">
            <v>California</v>
          </cell>
          <cell r="B8">
            <v>1.5906</v>
          </cell>
          <cell r="C8">
            <v>0.45200000000000001</v>
          </cell>
          <cell r="D8">
            <v>12.414400000000001</v>
          </cell>
          <cell r="E8">
            <v>2.1526000000000001</v>
          </cell>
          <cell r="F8">
            <v>0.66120000000000001</v>
          </cell>
          <cell r="G8">
            <v>13.914</v>
          </cell>
          <cell r="H8">
            <v>2.0072999999999999</v>
          </cell>
          <cell r="I8">
            <v>0.48070000000000002</v>
          </cell>
          <cell r="J8">
            <v>10.158099999999999</v>
          </cell>
          <cell r="K8">
            <v>1.9793000000000001</v>
          </cell>
          <cell r="L8">
            <v>0.43009999999999998</v>
          </cell>
          <cell r="M8">
            <v>9.5183</v>
          </cell>
          <cell r="N8">
            <v>2.0365000000000002</v>
          </cell>
          <cell r="O8">
            <v>0.56889999999999996</v>
          </cell>
          <cell r="P8">
            <v>10.9056</v>
          </cell>
          <cell r="Q8">
            <v>2.1132</v>
          </cell>
          <cell r="R8">
            <v>0.53749999999999998</v>
          </cell>
          <cell r="S8">
            <v>11.283799999999999</v>
          </cell>
          <cell r="T8">
            <v>1.7824</v>
          </cell>
          <cell r="U8">
            <v>0.41699999999999998</v>
          </cell>
          <cell r="V8">
            <v>7.1909000000000001</v>
          </cell>
          <cell r="W8">
            <v>2.1280000000000001</v>
          </cell>
          <cell r="X8">
            <v>0.51970000000000005</v>
          </cell>
          <cell r="Y8">
            <v>11.559900000000001</v>
          </cell>
        </row>
        <row r="9">
          <cell r="A9" t="str">
            <v>Colorado</v>
          </cell>
          <cell r="B9">
            <v>1.5744</v>
          </cell>
          <cell r="C9">
            <v>0.45240000000000002</v>
          </cell>
          <cell r="D9">
            <v>13.6317</v>
          </cell>
          <cell r="E9">
            <v>2.1392000000000002</v>
          </cell>
          <cell r="F9">
            <v>0.6593</v>
          </cell>
          <cell r="G9">
            <v>14.618499999999999</v>
          </cell>
          <cell r="H9">
            <v>1.9528000000000001</v>
          </cell>
          <cell r="I9">
            <v>0.46389999999999998</v>
          </cell>
          <cell r="J9">
            <v>9.8268000000000004</v>
          </cell>
          <cell r="K9">
            <v>1.8552</v>
          </cell>
          <cell r="L9">
            <v>0.41099999999999998</v>
          </cell>
          <cell r="M9">
            <v>9.4117999999999995</v>
          </cell>
          <cell r="N9">
            <v>2.1358000000000001</v>
          </cell>
          <cell r="O9">
            <v>0.61029999999999995</v>
          </cell>
          <cell r="P9">
            <v>12.787699999999999</v>
          </cell>
          <cell r="Q9">
            <v>1.9973000000000001</v>
          </cell>
          <cell r="R9">
            <v>0.5202</v>
          </cell>
          <cell r="S9">
            <v>11.6264</v>
          </cell>
          <cell r="T9">
            <v>2.0036</v>
          </cell>
          <cell r="U9">
            <v>0.46939999999999998</v>
          </cell>
          <cell r="V9">
            <v>8.8533000000000008</v>
          </cell>
          <cell r="W9">
            <v>2.0291000000000001</v>
          </cell>
          <cell r="X9">
            <v>0.49419999999999997</v>
          </cell>
          <cell r="Y9">
            <v>11.401300000000001</v>
          </cell>
        </row>
        <row r="10">
          <cell r="A10" t="str">
            <v>Connecticut</v>
          </cell>
          <cell r="B10">
            <v>1.1456999999999999</v>
          </cell>
          <cell r="C10">
            <v>0.31929999999999997</v>
          </cell>
          <cell r="D10">
            <v>8.8256999999999994</v>
          </cell>
          <cell r="E10">
            <v>1.8194999999999999</v>
          </cell>
          <cell r="F10">
            <v>0.52600000000000002</v>
          </cell>
          <cell r="G10">
            <v>10.4815</v>
          </cell>
          <cell r="H10">
            <v>1.8535999999999999</v>
          </cell>
          <cell r="I10">
            <v>0.41089999999999999</v>
          </cell>
          <cell r="J10">
            <v>7.5152000000000001</v>
          </cell>
          <cell r="K10">
            <v>2.0424000000000002</v>
          </cell>
          <cell r="L10">
            <v>0.39450000000000002</v>
          </cell>
          <cell r="M10">
            <v>8.1841000000000008</v>
          </cell>
          <cell r="N10">
            <v>1.7427999999999999</v>
          </cell>
          <cell r="O10">
            <v>0.4657</v>
          </cell>
          <cell r="P10">
            <v>8.3214000000000006</v>
          </cell>
          <cell r="Q10">
            <v>1.9637</v>
          </cell>
          <cell r="R10">
            <v>0.46439999999999998</v>
          </cell>
          <cell r="S10">
            <v>8.8470999999999993</v>
          </cell>
          <cell r="T10">
            <v>1.4832000000000001</v>
          </cell>
          <cell r="U10">
            <v>0.32150000000000001</v>
          </cell>
          <cell r="V10">
            <v>5.0660999999999996</v>
          </cell>
          <cell r="W10">
            <v>1.9159999999999999</v>
          </cell>
          <cell r="X10">
            <v>0.43120000000000003</v>
          </cell>
          <cell r="Y10">
            <v>8.4318000000000008</v>
          </cell>
        </row>
        <row r="11">
          <cell r="A11" t="str">
            <v>Delaware</v>
          </cell>
          <cell r="B11">
            <v>1.1701999999999999</v>
          </cell>
          <cell r="C11">
            <v>0.28070000000000001</v>
          </cell>
          <cell r="D11">
            <v>8.5945</v>
          </cell>
          <cell r="E11">
            <v>1.6856</v>
          </cell>
          <cell r="F11">
            <v>0.41210000000000002</v>
          </cell>
          <cell r="G11">
            <v>8.5855999999999995</v>
          </cell>
          <cell r="H11">
            <v>1</v>
          </cell>
          <cell r="I11">
            <v>0</v>
          </cell>
          <cell r="J11">
            <v>0</v>
          </cell>
          <cell r="K11">
            <v>2.1833</v>
          </cell>
          <cell r="L11">
            <v>0.33939999999999998</v>
          </cell>
          <cell r="M11">
            <v>7.1539999999999999</v>
          </cell>
          <cell r="N11">
            <v>1.6544000000000001</v>
          </cell>
          <cell r="O11">
            <v>0.3644</v>
          </cell>
          <cell r="P11">
            <v>7.1285999999999996</v>
          </cell>
          <cell r="Q11">
            <v>1.6041000000000001</v>
          </cell>
          <cell r="R11">
            <v>0.23200000000000001</v>
          </cell>
          <cell r="S11">
            <v>4.476</v>
          </cell>
          <cell r="T11">
            <v>1.4517</v>
          </cell>
          <cell r="U11">
            <v>0.26390000000000002</v>
          </cell>
          <cell r="V11">
            <v>4.3691000000000004</v>
          </cell>
          <cell r="W11">
            <v>1.6842999999999999</v>
          </cell>
          <cell r="X11">
            <v>0.28820000000000001</v>
          </cell>
          <cell r="Y11">
            <v>6.8795000000000002</v>
          </cell>
        </row>
        <row r="12">
          <cell r="A12" t="str">
            <v>Florida</v>
          </cell>
          <cell r="B12">
            <v>1.3095000000000001</v>
          </cell>
          <cell r="C12">
            <v>0.38390000000000002</v>
          </cell>
          <cell r="D12">
            <v>12.111599999999999</v>
          </cell>
          <cell r="E12">
            <v>1.9224000000000001</v>
          </cell>
          <cell r="F12">
            <v>0.59870000000000001</v>
          </cell>
          <cell r="G12">
            <v>13.980499999999999</v>
          </cell>
          <cell r="H12">
            <v>1.7051000000000001</v>
          </cell>
          <cell r="I12">
            <v>0.39579999999999999</v>
          </cell>
          <cell r="J12">
            <v>9.6091999999999995</v>
          </cell>
          <cell r="K12">
            <v>1.71</v>
          </cell>
          <cell r="L12">
            <v>0.36209999999999998</v>
          </cell>
          <cell r="M12">
            <v>8.9908000000000001</v>
          </cell>
          <cell r="N12">
            <v>1.7579</v>
          </cell>
          <cell r="O12">
            <v>0.50919999999999999</v>
          </cell>
          <cell r="P12">
            <v>10.63</v>
          </cell>
          <cell r="Q12">
            <v>1.7788999999999999</v>
          </cell>
          <cell r="R12">
            <v>0.44650000000000001</v>
          </cell>
          <cell r="S12">
            <v>10.871700000000001</v>
          </cell>
          <cell r="T12">
            <v>1.5568</v>
          </cell>
          <cell r="U12">
            <v>0.36080000000000001</v>
          </cell>
          <cell r="V12">
            <v>6.9146000000000001</v>
          </cell>
          <cell r="W12">
            <v>1.7513000000000001</v>
          </cell>
          <cell r="X12">
            <v>0.41670000000000001</v>
          </cell>
          <cell r="Y12">
            <v>10.0054</v>
          </cell>
        </row>
        <row r="13">
          <cell r="A13" t="str">
            <v>Georgia</v>
          </cell>
          <cell r="B13">
            <v>1.6188</v>
          </cell>
          <cell r="C13">
            <v>0.4496</v>
          </cell>
          <cell r="D13">
            <v>13.626099999999999</v>
          </cell>
          <cell r="E13">
            <v>2.1892999999999998</v>
          </cell>
          <cell r="F13">
            <v>0.65620000000000001</v>
          </cell>
          <cell r="G13">
            <v>14.524100000000001</v>
          </cell>
          <cell r="H13">
            <v>2.0427</v>
          </cell>
          <cell r="I13">
            <v>0.47420000000000001</v>
          </cell>
          <cell r="J13">
            <v>11.170400000000001</v>
          </cell>
          <cell r="K13">
            <v>2.2944</v>
          </cell>
          <cell r="L13">
            <v>0.48280000000000001</v>
          </cell>
          <cell r="M13">
            <v>11.007899999999999</v>
          </cell>
          <cell r="N13">
            <v>2.0785</v>
          </cell>
          <cell r="O13">
            <v>0.58189999999999997</v>
          </cell>
          <cell r="P13">
            <v>12.096399999999999</v>
          </cell>
          <cell r="Q13">
            <v>2.0261</v>
          </cell>
          <cell r="R13">
            <v>0.48080000000000001</v>
          </cell>
          <cell r="S13">
            <v>10.572699999999999</v>
          </cell>
          <cell r="T13">
            <v>1.6992</v>
          </cell>
          <cell r="U13">
            <v>0.38769999999999999</v>
          </cell>
          <cell r="V13">
            <v>7.4438000000000004</v>
          </cell>
          <cell r="W13">
            <v>2.1315</v>
          </cell>
          <cell r="X13">
            <v>0.50380000000000003</v>
          </cell>
          <cell r="Y13">
            <v>11.8734</v>
          </cell>
        </row>
        <row r="14">
          <cell r="A14" t="str">
            <v>Hawaii</v>
          </cell>
          <cell r="B14">
            <v>1.2684</v>
          </cell>
          <cell r="C14">
            <v>0.371</v>
          </cell>
          <cell r="D14">
            <v>12.342700000000001</v>
          </cell>
          <cell r="E14">
            <v>1.8208</v>
          </cell>
          <cell r="F14">
            <v>0.56899999999999995</v>
          </cell>
          <cell r="G14">
            <v>14.742699999999999</v>
          </cell>
          <cell r="H14">
            <v>1</v>
          </cell>
          <cell r="I14">
            <v>0</v>
          </cell>
          <cell r="J14">
            <v>0</v>
          </cell>
          <cell r="K14">
            <v>1.5346</v>
          </cell>
          <cell r="L14">
            <v>0.32190000000000002</v>
          </cell>
          <cell r="M14">
            <v>8.6011000000000006</v>
          </cell>
          <cell r="N14">
            <v>1.7569999999999999</v>
          </cell>
          <cell r="O14">
            <v>0.46920000000000001</v>
          </cell>
          <cell r="P14">
            <v>9.5954999999999995</v>
          </cell>
          <cell r="Q14">
            <v>1.6644000000000001</v>
          </cell>
          <cell r="R14">
            <v>0.4204</v>
          </cell>
          <cell r="S14">
            <v>11.8733</v>
          </cell>
          <cell r="T14">
            <v>1.4785999999999999</v>
          </cell>
          <cell r="U14">
            <v>0.33739999999999998</v>
          </cell>
          <cell r="V14">
            <v>6.5109000000000004</v>
          </cell>
          <cell r="W14">
            <v>1.5589999999999999</v>
          </cell>
          <cell r="X14">
            <v>0.36499999999999999</v>
          </cell>
          <cell r="Y14">
            <v>9.4845000000000006</v>
          </cell>
        </row>
        <row r="15">
          <cell r="A15" t="str">
            <v>Idaho</v>
          </cell>
          <cell r="B15">
            <v>1.2286999999999999</v>
          </cell>
          <cell r="C15">
            <v>0.35060000000000002</v>
          </cell>
          <cell r="D15">
            <v>13.5335</v>
          </cell>
          <cell r="E15">
            <v>1.8309</v>
          </cell>
          <cell r="F15">
            <v>0.55969999999999998</v>
          </cell>
          <cell r="G15">
            <v>15.588699999999999</v>
          </cell>
          <cell r="H15">
            <v>1</v>
          </cell>
          <cell r="I15">
            <v>0</v>
          </cell>
          <cell r="J15">
            <v>0</v>
          </cell>
          <cell r="K15">
            <v>1.6555</v>
          </cell>
          <cell r="L15">
            <v>0.35160000000000002</v>
          </cell>
          <cell r="M15">
            <v>10.3881</v>
          </cell>
          <cell r="N15">
            <v>1.8001</v>
          </cell>
          <cell r="O15">
            <v>0.50970000000000004</v>
          </cell>
          <cell r="P15">
            <v>13.6896</v>
          </cell>
          <cell r="Q15">
            <v>1.7563</v>
          </cell>
          <cell r="R15">
            <v>0.42070000000000002</v>
          </cell>
          <cell r="S15">
            <v>11.4032</v>
          </cell>
          <cell r="T15">
            <v>1.5265</v>
          </cell>
          <cell r="U15">
            <v>0.34350000000000003</v>
          </cell>
          <cell r="V15">
            <v>7.2992999999999997</v>
          </cell>
          <cell r="W15">
            <v>1.7583</v>
          </cell>
          <cell r="X15">
            <v>0.40620000000000001</v>
          </cell>
          <cell r="Y15">
            <v>10.2723</v>
          </cell>
        </row>
        <row r="16">
          <cell r="A16" t="str">
            <v>Illinois</v>
          </cell>
          <cell r="B16">
            <v>1.6616</v>
          </cell>
          <cell r="C16">
            <v>0.45900000000000002</v>
          </cell>
          <cell r="D16">
            <v>12.966100000000001</v>
          </cell>
          <cell r="E16">
            <v>2.1993</v>
          </cell>
          <cell r="F16">
            <v>0.65310000000000001</v>
          </cell>
          <cell r="G16">
            <v>13.855</v>
          </cell>
          <cell r="H16">
            <v>2.3898999999999999</v>
          </cell>
          <cell r="I16">
            <v>0.55740000000000001</v>
          </cell>
          <cell r="J16">
            <v>11.0679</v>
          </cell>
          <cell r="K16">
            <v>2.6320000000000001</v>
          </cell>
          <cell r="L16">
            <v>0.54730000000000001</v>
          </cell>
          <cell r="M16">
            <v>11.9107</v>
          </cell>
          <cell r="N16">
            <v>2.1701999999999999</v>
          </cell>
          <cell r="O16">
            <v>0.58169999999999999</v>
          </cell>
          <cell r="P16">
            <v>11.2378</v>
          </cell>
          <cell r="Q16">
            <v>2.3801999999999999</v>
          </cell>
          <cell r="R16">
            <v>0.59460000000000002</v>
          </cell>
          <cell r="S16">
            <v>12.3085</v>
          </cell>
          <cell r="T16">
            <v>1.9127000000000001</v>
          </cell>
          <cell r="U16">
            <v>0.43440000000000001</v>
          </cell>
          <cell r="V16">
            <v>7.8019999999999996</v>
          </cell>
          <cell r="W16">
            <v>2.5634000000000001</v>
          </cell>
          <cell r="X16">
            <v>0.59319999999999995</v>
          </cell>
          <cell r="Y16">
            <v>12.809200000000001</v>
          </cell>
        </row>
        <row r="17">
          <cell r="A17" t="str">
            <v>Indiana</v>
          </cell>
          <cell r="B17">
            <v>1.4291</v>
          </cell>
          <cell r="C17">
            <v>0.38800000000000001</v>
          </cell>
          <cell r="D17">
            <v>13.568</v>
          </cell>
          <cell r="E17">
            <v>1.9326000000000001</v>
          </cell>
          <cell r="F17">
            <v>0.56679999999999997</v>
          </cell>
          <cell r="G17">
            <v>14.5039</v>
          </cell>
          <cell r="H17">
            <v>2.1515</v>
          </cell>
          <cell r="I17">
            <v>0.48249999999999998</v>
          </cell>
          <cell r="J17">
            <v>11.2699</v>
          </cell>
          <cell r="K17">
            <v>2.3469000000000002</v>
          </cell>
          <cell r="L17">
            <v>0.45519999999999999</v>
          </cell>
          <cell r="M17">
            <v>11.8925</v>
          </cell>
          <cell r="N17">
            <v>1.964</v>
          </cell>
          <cell r="O17">
            <v>0.52869999999999995</v>
          </cell>
          <cell r="P17">
            <v>12.3062</v>
          </cell>
          <cell r="Q17">
            <v>2.2132999999999998</v>
          </cell>
          <cell r="R17">
            <v>0.51500000000000001</v>
          </cell>
          <cell r="S17">
            <v>12.266</v>
          </cell>
          <cell r="T17">
            <v>1.7679</v>
          </cell>
          <cell r="U17">
            <v>0.38819999999999999</v>
          </cell>
          <cell r="V17">
            <v>8.0508000000000006</v>
          </cell>
          <cell r="W17">
            <v>2.367</v>
          </cell>
          <cell r="X17">
            <v>0.53610000000000002</v>
          </cell>
          <cell r="Y17">
            <v>12.531599999999999</v>
          </cell>
        </row>
        <row r="18">
          <cell r="A18" t="str">
            <v>Iowa</v>
          </cell>
          <cell r="B18">
            <v>1.2946</v>
          </cell>
          <cell r="C18">
            <v>0.35670000000000002</v>
          </cell>
          <cell r="D18">
            <v>13.226800000000001</v>
          </cell>
          <cell r="E18">
            <v>1.8301000000000001</v>
          </cell>
          <cell r="F18">
            <v>0.53969999999999996</v>
          </cell>
          <cell r="G18">
            <v>14.5182</v>
          </cell>
          <cell r="H18">
            <v>1.986</v>
          </cell>
          <cell r="I18">
            <v>0.43519999999999998</v>
          </cell>
          <cell r="J18">
            <v>11.8223</v>
          </cell>
          <cell r="K18">
            <v>2.1145</v>
          </cell>
          <cell r="L18">
            <v>0.40760000000000002</v>
          </cell>
          <cell r="M18">
            <v>11.331899999999999</v>
          </cell>
          <cell r="N18">
            <v>1.8314999999999999</v>
          </cell>
          <cell r="O18">
            <v>0.50009999999999999</v>
          </cell>
          <cell r="P18">
            <v>12.4572</v>
          </cell>
          <cell r="Q18">
            <v>2.0773000000000001</v>
          </cell>
          <cell r="R18">
            <v>0.45429999999999998</v>
          </cell>
          <cell r="S18">
            <v>11.2538</v>
          </cell>
          <cell r="T18">
            <v>1.5551999999999999</v>
          </cell>
          <cell r="U18">
            <v>0.33260000000000001</v>
          </cell>
          <cell r="V18">
            <v>7.0994999999999999</v>
          </cell>
          <cell r="W18">
            <v>2.1951000000000001</v>
          </cell>
          <cell r="X18">
            <v>0.49030000000000001</v>
          </cell>
          <cell r="Y18">
            <v>12.3857</v>
          </cell>
        </row>
        <row r="19">
          <cell r="A19" t="str">
            <v>Kansas</v>
          </cell>
          <cell r="B19">
            <v>1.3447</v>
          </cell>
          <cell r="C19">
            <v>0.35139999999999999</v>
          </cell>
          <cell r="D19">
            <v>12.7028</v>
          </cell>
          <cell r="E19">
            <v>1.8449</v>
          </cell>
          <cell r="F19">
            <v>0.503</v>
          </cell>
          <cell r="G19">
            <v>12.7979</v>
          </cell>
          <cell r="H19">
            <v>1.9278</v>
          </cell>
          <cell r="I19">
            <v>0.40260000000000001</v>
          </cell>
          <cell r="J19">
            <v>9.7843</v>
          </cell>
          <cell r="K19">
            <v>2.0007000000000001</v>
          </cell>
          <cell r="L19">
            <v>0.38369999999999999</v>
          </cell>
          <cell r="M19">
            <v>10.704000000000001</v>
          </cell>
          <cell r="N19">
            <v>1.9152</v>
          </cell>
          <cell r="O19">
            <v>0.49780000000000002</v>
          </cell>
          <cell r="P19">
            <v>11.5647</v>
          </cell>
          <cell r="Q19">
            <v>1.8593</v>
          </cell>
          <cell r="R19">
            <v>0.43149999999999999</v>
          </cell>
          <cell r="S19">
            <v>10.803000000000001</v>
          </cell>
          <cell r="T19">
            <v>1.7208000000000001</v>
          </cell>
          <cell r="U19">
            <v>0.36530000000000001</v>
          </cell>
          <cell r="V19">
            <v>7.6346999999999996</v>
          </cell>
          <cell r="W19">
            <v>1.917</v>
          </cell>
          <cell r="X19">
            <v>0.41870000000000002</v>
          </cell>
          <cell r="Y19">
            <v>11.2789</v>
          </cell>
        </row>
        <row r="20">
          <cell r="A20" t="str">
            <v>Kentucky</v>
          </cell>
          <cell r="B20">
            <v>1.4167000000000001</v>
          </cell>
          <cell r="C20">
            <v>0.372</v>
          </cell>
          <cell r="D20">
            <v>13.216900000000001</v>
          </cell>
          <cell r="E20">
            <v>1.9034</v>
          </cell>
          <cell r="F20">
            <v>0.53369999999999995</v>
          </cell>
          <cell r="G20">
            <v>13.7018</v>
          </cell>
          <cell r="H20">
            <v>2.0691999999999999</v>
          </cell>
          <cell r="I20">
            <v>0.438</v>
          </cell>
          <cell r="J20">
            <v>11.0648</v>
          </cell>
          <cell r="K20">
            <v>2.3995000000000002</v>
          </cell>
          <cell r="L20">
            <v>0.45190000000000002</v>
          </cell>
          <cell r="M20">
            <v>11.913399999999999</v>
          </cell>
          <cell r="N20">
            <v>1.9528000000000001</v>
          </cell>
          <cell r="O20">
            <v>0.5101</v>
          </cell>
          <cell r="P20">
            <v>12.4535</v>
          </cell>
          <cell r="Q20">
            <v>2.1924000000000001</v>
          </cell>
          <cell r="R20">
            <v>0.46820000000000001</v>
          </cell>
          <cell r="S20">
            <v>11.1142</v>
          </cell>
          <cell r="T20">
            <v>1.7995000000000001</v>
          </cell>
          <cell r="U20">
            <v>0.3805</v>
          </cell>
          <cell r="V20">
            <v>8.1856000000000009</v>
          </cell>
          <cell r="W20">
            <v>2.3052999999999999</v>
          </cell>
          <cell r="X20">
            <v>0.49880000000000002</v>
          </cell>
          <cell r="Y20">
            <v>12.526899999999999</v>
          </cell>
        </row>
        <row r="21">
          <cell r="A21" t="str">
            <v>Louisiana</v>
          </cell>
          <cell r="B21">
            <v>1.2638</v>
          </cell>
          <cell r="C21">
            <v>0.36759999999999998</v>
          </cell>
          <cell r="D21">
            <v>12.942299999999999</v>
          </cell>
          <cell r="E21">
            <v>1.81</v>
          </cell>
          <cell r="F21">
            <v>0.55369999999999997</v>
          </cell>
          <cell r="G21">
            <v>14.0634</v>
          </cell>
          <cell r="H21">
            <v>1.7704</v>
          </cell>
          <cell r="I21">
            <v>0.40339999999999998</v>
          </cell>
          <cell r="J21">
            <v>9.6821000000000002</v>
          </cell>
          <cell r="K21">
            <v>2.3767999999999998</v>
          </cell>
          <cell r="L21">
            <v>0.47410000000000002</v>
          </cell>
          <cell r="M21">
            <v>12.465999999999999</v>
          </cell>
          <cell r="N21">
            <v>1.88</v>
          </cell>
          <cell r="O21">
            <v>0.50009999999999999</v>
          </cell>
          <cell r="P21">
            <v>10.760899999999999</v>
          </cell>
          <cell r="Q21">
            <v>1.8219000000000001</v>
          </cell>
          <cell r="R21">
            <v>0.42620000000000002</v>
          </cell>
          <cell r="S21">
            <v>10.3299</v>
          </cell>
          <cell r="T21">
            <v>1.7447999999999999</v>
          </cell>
          <cell r="U21">
            <v>0.39150000000000001</v>
          </cell>
          <cell r="V21">
            <v>8.0028000000000006</v>
          </cell>
          <cell r="W21">
            <v>1.823</v>
          </cell>
          <cell r="X21">
            <v>0.41389999999999999</v>
          </cell>
          <cell r="Y21">
            <v>9.5741999999999994</v>
          </cell>
        </row>
        <row r="22">
          <cell r="A22" t="str">
            <v>Maine</v>
          </cell>
          <cell r="B22">
            <v>1.2677</v>
          </cell>
          <cell r="C22">
            <v>0.37209999999999999</v>
          </cell>
          <cell r="D22">
            <v>13.5969</v>
          </cell>
          <cell r="E22">
            <v>1.8270999999999999</v>
          </cell>
          <cell r="F22">
            <v>0.56140000000000001</v>
          </cell>
          <cell r="G22">
            <v>15.377000000000001</v>
          </cell>
          <cell r="H22">
            <v>1</v>
          </cell>
          <cell r="I22">
            <v>0</v>
          </cell>
          <cell r="J22">
            <v>0</v>
          </cell>
          <cell r="K22">
            <v>1.6432</v>
          </cell>
          <cell r="L22">
            <v>0.34260000000000002</v>
          </cell>
          <cell r="M22">
            <v>8.7949999999999999</v>
          </cell>
          <cell r="N22">
            <v>1.6079000000000001</v>
          </cell>
          <cell r="O22">
            <v>0.38919999999999999</v>
          </cell>
          <cell r="P22">
            <v>10.062099999999999</v>
          </cell>
          <cell r="Q22">
            <v>1.7148000000000001</v>
          </cell>
          <cell r="R22">
            <v>0.42409999999999998</v>
          </cell>
          <cell r="S22">
            <v>10.4955</v>
          </cell>
          <cell r="T22">
            <v>1.526</v>
          </cell>
          <cell r="U22">
            <v>0.3468</v>
          </cell>
          <cell r="V22">
            <v>7.4798</v>
          </cell>
          <cell r="W22">
            <v>1.7323</v>
          </cell>
          <cell r="X22">
            <v>0.3906</v>
          </cell>
          <cell r="Y22">
            <v>10.391400000000001</v>
          </cell>
        </row>
        <row r="23">
          <cell r="A23" t="str">
            <v>Maryland</v>
          </cell>
          <cell r="B23">
            <v>1.3625</v>
          </cell>
          <cell r="C23">
            <v>0.37209999999999999</v>
          </cell>
          <cell r="D23">
            <v>10.991899999999999</v>
          </cell>
          <cell r="E23">
            <v>1.9298999999999999</v>
          </cell>
          <cell r="F23">
            <v>0.55269999999999997</v>
          </cell>
          <cell r="G23">
            <v>11.8491</v>
          </cell>
          <cell r="H23">
            <v>1.7076</v>
          </cell>
          <cell r="I23">
            <v>0.35239999999999999</v>
          </cell>
          <cell r="J23">
            <v>6.9122000000000003</v>
          </cell>
          <cell r="K23">
            <v>1.702</v>
          </cell>
          <cell r="L23">
            <v>0.3236</v>
          </cell>
          <cell r="M23">
            <v>7.8571</v>
          </cell>
          <cell r="N23">
            <v>1.7802</v>
          </cell>
          <cell r="O23">
            <v>0.43619999999999998</v>
          </cell>
          <cell r="P23">
            <v>8.4620999999999995</v>
          </cell>
          <cell r="Q23">
            <v>1.8252999999999999</v>
          </cell>
          <cell r="R23">
            <v>0.40229999999999999</v>
          </cell>
          <cell r="S23">
            <v>8.7116000000000007</v>
          </cell>
          <cell r="T23">
            <v>1.5628</v>
          </cell>
          <cell r="U23">
            <v>0.33500000000000002</v>
          </cell>
          <cell r="V23">
            <v>5.8270999999999997</v>
          </cell>
          <cell r="W23">
            <v>1.8392999999999999</v>
          </cell>
          <cell r="X23">
            <v>0.38990000000000002</v>
          </cell>
          <cell r="Y23">
            <v>8.1211000000000002</v>
          </cell>
        </row>
        <row r="24">
          <cell r="A24" t="str">
            <v>Massachusetts</v>
          </cell>
          <cell r="B24">
            <v>1.3274999999999999</v>
          </cell>
          <cell r="C24">
            <v>0.37090000000000001</v>
          </cell>
          <cell r="D24">
            <v>10.2492</v>
          </cell>
          <cell r="E24">
            <v>1.9315</v>
          </cell>
          <cell r="F24">
            <v>0.56440000000000001</v>
          </cell>
          <cell r="G24">
            <v>11.449299999999999</v>
          </cell>
          <cell r="H24">
            <v>1.8869</v>
          </cell>
          <cell r="I24">
            <v>0.41880000000000001</v>
          </cell>
          <cell r="J24">
            <v>7.8407</v>
          </cell>
          <cell r="K24">
            <v>2.1682999999999999</v>
          </cell>
          <cell r="L24">
            <v>0.42870000000000003</v>
          </cell>
          <cell r="M24">
            <v>9.0785999999999998</v>
          </cell>
          <cell r="N24">
            <v>1.7714000000000001</v>
          </cell>
          <cell r="O24">
            <v>0.4652</v>
          </cell>
          <cell r="P24">
            <v>8.7866999999999997</v>
          </cell>
          <cell r="Q24">
            <v>1.9554</v>
          </cell>
          <cell r="R24">
            <v>0.4294</v>
          </cell>
          <cell r="S24">
            <v>8.2410999999999994</v>
          </cell>
          <cell r="T24">
            <v>1.5508999999999999</v>
          </cell>
          <cell r="U24">
            <v>0.33789999999999998</v>
          </cell>
          <cell r="V24">
            <v>5.5617000000000001</v>
          </cell>
          <cell r="W24">
            <v>1.9486000000000001</v>
          </cell>
          <cell r="X24">
            <v>0.43809999999999999</v>
          </cell>
          <cell r="Y24">
            <v>8.7909000000000006</v>
          </cell>
        </row>
        <row r="25">
          <cell r="A25" t="str">
            <v>Michigan</v>
          </cell>
          <cell r="B25">
            <v>1.369</v>
          </cell>
          <cell r="C25">
            <v>0.3962</v>
          </cell>
          <cell r="D25">
            <v>13.0397</v>
          </cell>
          <cell r="E25">
            <v>1.9549000000000001</v>
          </cell>
          <cell r="F25">
            <v>0.60560000000000003</v>
          </cell>
          <cell r="G25">
            <v>13.803599999999999</v>
          </cell>
          <cell r="H25">
            <v>2.1646000000000001</v>
          </cell>
          <cell r="I25">
            <v>0.51449999999999996</v>
          </cell>
          <cell r="J25">
            <v>11.0152</v>
          </cell>
          <cell r="K25">
            <v>2.2534000000000001</v>
          </cell>
          <cell r="L25">
            <v>0.47349999999999998</v>
          </cell>
          <cell r="M25">
            <v>10.9191</v>
          </cell>
          <cell r="N25">
            <v>1.9372</v>
          </cell>
          <cell r="O25">
            <v>0.55910000000000004</v>
          </cell>
          <cell r="P25">
            <v>11.7829</v>
          </cell>
          <cell r="Q25">
            <v>2.2181000000000002</v>
          </cell>
          <cell r="R25">
            <v>0.52910000000000001</v>
          </cell>
          <cell r="S25">
            <v>11.6761</v>
          </cell>
          <cell r="T25">
            <v>1.5969</v>
          </cell>
          <cell r="U25">
            <v>0.36209999999999998</v>
          </cell>
          <cell r="V25">
            <v>6.8754</v>
          </cell>
          <cell r="W25">
            <v>2.4094000000000002</v>
          </cell>
          <cell r="X25">
            <v>0.58330000000000004</v>
          </cell>
          <cell r="Y25">
            <v>12.8399</v>
          </cell>
        </row>
        <row r="26">
          <cell r="A26" t="str">
            <v>Minnesota</v>
          </cell>
          <cell r="B26">
            <v>1.5033000000000001</v>
          </cell>
          <cell r="C26">
            <v>0.42009999999999997</v>
          </cell>
          <cell r="D26">
            <v>13.2295</v>
          </cell>
          <cell r="E26">
            <v>2.0680000000000001</v>
          </cell>
          <cell r="F26">
            <v>0.62250000000000005</v>
          </cell>
          <cell r="G26">
            <v>13.852399999999999</v>
          </cell>
          <cell r="H26">
            <v>2.1355</v>
          </cell>
          <cell r="I26">
            <v>0.50049999999999994</v>
          </cell>
          <cell r="J26">
            <v>11.3329</v>
          </cell>
          <cell r="K26">
            <v>2.0188000000000001</v>
          </cell>
          <cell r="L26">
            <v>0.42209999999999998</v>
          </cell>
          <cell r="M26">
            <v>9.8405000000000005</v>
          </cell>
          <cell r="N26">
            <v>2.0327999999999999</v>
          </cell>
          <cell r="O26">
            <v>0.57299999999999995</v>
          </cell>
          <cell r="P26">
            <v>12.481299999999999</v>
          </cell>
          <cell r="Q26">
            <v>2.0945999999999998</v>
          </cell>
          <cell r="R26">
            <v>0.55489999999999995</v>
          </cell>
          <cell r="S26">
            <v>12.3925</v>
          </cell>
          <cell r="T26">
            <v>1.6598999999999999</v>
          </cell>
          <cell r="U26">
            <v>0.37309999999999999</v>
          </cell>
          <cell r="V26">
            <v>7.0639000000000003</v>
          </cell>
          <cell r="W26">
            <v>2.1614</v>
          </cell>
          <cell r="X26">
            <v>0.51080000000000003</v>
          </cell>
          <cell r="Y26">
            <v>12.095800000000001</v>
          </cell>
        </row>
        <row r="27">
          <cell r="A27" t="str">
            <v>Mississippi</v>
          </cell>
          <cell r="B27">
            <v>1.2829999999999999</v>
          </cell>
          <cell r="C27">
            <v>0.35470000000000002</v>
          </cell>
          <cell r="D27">
            <v>13.2826</v>
          </cell>
          <cell r="E27">
            <v>1.7779</v>
          </cell>
          <cell r="F27">
            <v>0.52590000000000003</v>
          </cell>
          <cell r="G27">
            <v>14.1187</v>
          </cell>
          <cell r="H27">
            <v>1</v>
          </cell>
          <cell r="I27">
            <v>0</v>
          </cell>
          <cell r="J27">
            <v>0</v>
          </cell>
          <cell r="K27">
            <v>2.1844000000000001</v>
          </cell>
          <cell r="L27">
            <v>0.4042</v>
          </cell>
          <cell r="M27">
            <v>10.3788</v>
          </cell>
          <cell r="N27">
            <v>1.8239000000000001</v>
          </cell>
          <cell r="O27">
            <v>0.47810000000000002</v>
          </cell>
          <cell r="P27">
            <v>10.774100000000001</v>
          </cell>
          <cell r="Q27">
            <v>1.8689</v>
          </cell>
          <cell r="R27">
            <v>0.41670000000000001</v>
          </cell>
          <cell r="S27">
            <v>11.571899999999999</v>
          </cell>
          <cell r="T27">
            <v>1.6704000000000001</v>
          </cell>
          <cell r="U27">
            <v>0.36680000000000001</v>
          </cell>
          <cell r="V27">
            <v>7.9077000000000002</v>
          </cell>
          <cell r="W27">
            <v>1.9945999999999999</v>
          </cell>
          <cell r="X27">
            <v>0.42870000000000003</v>
          </cell>
          <cell r="Y27">
            <v>10.860200000000001</v>
          </cell>
        </row>
        <row r="28">
          <cell r="A28" t="str">
            <v>Missouri</v>
          </cell>
          <cell r="B28">
            <v>1.5569</v>
          </cell>
          <cell r="C28">
            <v>0.40089999999999998</v>
          </cell>
          <cell r="D28">
            <v>13.6602</v>
          </cell>
          <cell r="E28">
            <v>2.028</v>
          </cell>
          <cell r="F28">
            <v>0.56020000000000003</v>
          </cell>
          <cell r="G28">
            <v>13.7713</v>
          </cell>
          <cell r="H28">
            <v>2.0899000000000001</v>
          </cell>
          <cell r="I28">
            <v>0.45250000000000001</v>
          </cell>
          <cell r="J28">
            <v>10.672000000000001</v>
          </cell>
          <cell r="K28">
            <v>2.3246000000000002</v>
          </cell>
          <cell r="L28">
            <v>0.44940000000000002</v>
          </cell>
          <cell r="M28">
            <v>11.456799999999999</v>
          </cell>
          <cell r="N28">
            <v>1.9765999999999999</v>
          </cell>
          <cell r="O28">
            <v>0.51670000000000005</v>
          </cell>
          <cell r="P28">
            <v>12.1249</v>
          </cell>
          <cell r="Q28">
            <v>2.0463</v>
          </cell>
          <cell r="R28">
            <v>0.47160000000000002</v>
          </cell>
          <cell r="S28">
            <v>11.4933</v>
          </cell>
          <cell r="T28">
            <v>1.7750999999999999</v>
          </cell>
          <cell r="U28">
            <v>0.3674</v>
          </cell>
          <cell r="V28">
            <v>7.6718999999999999</v>
          </cell>
          <cell r="W28">
            <v>2.2421000000000002</v>
          </cell>
          <cell r="X28">
            <v>0.49280000000000002</v>
          </cell>
          <cell r="Y28">
            <v>12.620900000000001</v>
          </cell>
        </row>
        <row r="29">
          <cell r="A29" t="str">
            <v>Montana</v>
          </cell>
          <cell r="B29">
            <v>1.2142999999999999</v>
          </cell>
          <cell r="C29">
            <v>0.3543</v>
          </cell>
          <cell r="D29">
            <v>14.036799999999999</v>
          </cell>
          <cell r="E29">
            <v>1.7451000000000001</v>
          </cell>
          <cell r="F29">
            <v>0.5363</v>
          </cell>
          <cell r="G29">
            <v>15.194699999999999</v>
          </cell>
          <cell r="H29">
            <v>1</v>
          </cell>
          <cell r="I29">
            <v>0</v>
          </cell>
          <cell r="J29">
            <v>0</v>
          </cell>
          <cell r="K29">
            <v>1.6189</v>
          </cell>
          <cell r="L29">
            <v>0.33150000000000002</v>
          </cell>
          <cell r="M29">
            <v>10.052899999999999</v>
          </cell>
          <cell r="N29">
            <v>1.7987</v>
          </cell>
          <cell r="O29">
            <v>0.45379999999999998</v>
          </cell>
          <cell r="P29">
            <v>11.4293</v>
          </cell>
          <cell r="Q29">
            <v>1.6597999999999999</v>
          </cell>
          <cell r="R29">
            <v>0.41720000000000002</v>
          </cell>
          <cell r="S29">
            <v>11.4366</v>
          </cell>
          <cell r="T29">
            <v>1.7905</v>
          </cell>
          <cell r="U29">
            <v>0.40489999999999998</v>
          </cell>
          <cell r="V29">
            <v>8.9974000000000007</v>
          </cell>
          <cell r="W29">
            <v>1.5959000000000001</v>
          </cell>
          <cell r="X29">
            <v>0.36809999999999998</v>
          </cell>
          <cell r="Y29">
            <v>10.2691</v>
          </cell>
        </row>
        <row r="30">
          <cell r="A30" t="str">
            <v>Nebraska</v>
          </cell>
          <cell r="B30">
            <v>1.2895000000000001</v>
          </cell>
          <cell r="C30">
            <v>0.3609</v>
          </cell>
          <cell r="D30">
            <v>13.208500000000001</v>
          </cell>
          <cell r="E30">
            <v>1.8573999999999999</v>
          </cell>
          <cell r="F30">
            <v>0.55320000000000003</v>
          </cell>
          <cell r="G30">
            <v>14.4964</v>
          </cell>
          <cell r="H30">
            <v>1.8980999999999999</v>
          </cell>
          <cell r="I30">
            <v>0.42870000000000003</v>
          </cell>
          <cell r="J30">
            <v>9.9357000000000006</v>
          </cell>
          <cell r="K30">
            <v>2.0440999999999998</v>
          </cell>
          <cell r="L30">
            <v>0.4098</v>
          </cell>
          <cell r="M30">
            <v>11.094200000000001</v>
          </cell>
          <cell r="N30">
            <v>1.8487</v>
          </cell>
          <cell r="O30">
            <v>0.51039999999999996</v>
          </cell>
          <cell r="P30">
            <v>12.0717</v>
          </cell>
          <cell r="Q30">
            <v>1.8714</v>
          </cell>
          <cell r="R30">
            <v>0.4476</v>
          </cell>
          <cell r="S30">
            <v>11.7338</v>
          </cell>
          <cell r="T30">
            <v>1.5679000000000001</v>
          </cell>
          <cell r="U30">
            <v>0.33610000000000001</v>
          </cell>
          <cell r="V30">
            <v>6.7321999999999997</v>
          </cell>
          <cell r="W30">
            <v>2.0609999999999999</v>
          </cell>
          <cell r="X30">
            <v>0.47120000000000001</v>
          </cell>
          <cell r="Y30">
            <v>12.069100000000001</v>
          </cell>
        </row>
        <row r="31">
          <cell r="A31" t="str">
            <v>Nevada</v>
          </cell>
          <cell r="B31">
            <v>1.0276000000000001</v>
          </cell>
          <cell r="C31">
            <v>0.2908</v>
          </cell>
          <cell r="D31">
            <v>9.2382000000000009</v>
          </cell>
          <cell r="E31">
            <v>1.7335</v>
          </cell>
          <cell r="F31">
            <v>0.52849999999999997</v>
          </cell>
          <cell r="G31">
            <v>11.769600000000001</v>
          </cell>
          <cell r="H31">
            <v>1.5912999999999999</v>
          </cell>
          <cell r="I31">
            <v>0.35580000000000001</v>
          </cell>
          <cell r="J31">
            <v>8.6603999999999992</v>
          </cell>
          <cell r="K31">
            <v>1.5359</v>
          </cell>
          <cell r="L31">
            <v>0.31130000000000002</v>
          </cell>
          <cell r="M31">
            <v>7.5388999999999999</v>
          </cell>
          <cell r="N31">
            <v>1.7297</v>
          </cell>
          <cell r="O31">
            <v>0.49780000000000002</v>
          </cell>
          <cell r="P31">
            <v>11.031700000000001</v>
          </cell>
          <cell r="Q31">
            <v>1.6063000000000001</v>
          </cell>
          <cell r="R31">
            <v>0.37830000000000003</v>
          </cell>
          <cell r="S31">
            <v>8.4048999999999996</v>
          </cell>
          <cell r="T31">
            <v>1.4307000000000001</v>
          </cell>
          <cell r="U31">
            <v>0.30630000000000002</v>
          </cell>
          <cell r="V31">
            <v>5.2775999999999996</v>
          </cell>
          <cell r="W31">
            <v>1.6261000000000001</v>
          </cell>
          <cell r="X31">
            <v>0.378</v>
          </cell>
          <cell r="Y31">
            <v>8.7863000000000007</v>
          </cell>
        </row>
        <row r="32">
          <cell r="A32" t="str">
            <v>New Hampshire</v>
          </cell>
          <cell r="B32">
            <v>1.2736000000000001</v>
          </cell>
          <cell r="C32">
            <v>0.34899999999999998</v>
          </cell>
          <cell r="D32">
            <v>10.8855</v>
          </cell>
          <cell r="E32">
            <v>1.8371</v>
          </cell>
          <cell r="F32">
            <v>0.51639999999999997</v>
          </cell>
          <cell r="G32">
            <v>11.173299999999999</v>
          </cell>
          <cell r="H32">
            <v>1.9624999999999999</v>
          </cell>
          <cell r="I32">
            <v>0.42330000000000001</v>
          </cell>
          <cell r="J32">
            <v>9.8787000000000003</v>
          </cell>
          <cell r="K32">
            <v>1.7713000000000001</v>
          </cell>
          <cell r="L32">
            <v>0.34839999999999999</v>
          </cell>
          <cell r="M32">
            <v>7.8205</v>
          </cell>
          <cell r="N32">
            <v>1.8230999999999999</v>
          </cell>
          <cell r="O32">
            <v>0.50860000000000005</v>
          </cell>
          <cell r="P32">
            <v>11.3355</v>
          </cell>
          <cell r="Q32">
            <v>1.9329000000000001</v>
          </cell>
          <cell r="R32">
            <v>0.4118</v>
          </cell>
          <cell r="S32">
            <v>8.8285</v>
          </cell>
          <cell r="T32">
            <v>1.4858</v>
          </cell>
          <cell r="U32">
            <v>0.30990000000000001</v>
          </cell>
          <cell r="V32">
            <v>5.5364000000000004</v>
          </cell>
          <cell r="W32">
            <v>1.9693000000000001</v>
          </cell>
          <cell r="X32">
            <v>0.43640000000000001</v>
          </cell>
          <cell r="Y32">
            <v>9.4864999999999995</v>
          </cell>
        </row>
        <row r="33">
          <cell r="A33" t="str">
            <v>New Jersey</v>
          </cell>
          <cell r="B33">
            <v>1.4917</v>
          </cell>
          <cell r="C33">
            <v>0.3977</v>
          </cell>
          <cell r="D33">
            <v>10.948</v>
          </cell>
          <cell r="E33">
            <v>2.0392000000000001</v>
          </cell>
          <cell r="F33">
            <v>0.56930000000000003</v>
          </cell>
          <cell r="G33">
            <v>11.7158</v>
          </cell>
          <cell r="H33">
            <v>1.9169</v>
          </cell>
          <cell r="I33">
            <v>0.41120000000000001</v>
          </cell>
          <cell r="J33">
            <v>7.7743000000000002</v>
          </cell>
          <cell r="K33">
            <v>2.2778999999999998</v>
          </cell>
          <cell r="L33">
            <v>0.43759999999999999</v>
          </cell>
          <cell r="M33">
            <v>9.1618999999999993</v>
          </cell>
          <cell r="N33">
            <v>1.8994</v>
          </cell>
          <cell r="O33">
            <v>0.4773</v>
          </cell>
          <cell r="P33">
            <v>8.8478999999999992</v>
          </cell>
          <cell r="Q33">
            <v>2.0945</v>
          </cell>
          <cell r="R33">
            <v>0.496</v>
          </cell>
          <cell r="S33">
            <v>10.0656</v>
          </cell>
          <cell r="T33">
            <v>1.609</v>
          </cell>
          <cell r="U33">
            <v>0.34389999999999998</v>
          </cell>
          <cell r="V33">
            <v>5.7591999999999999</v>
          </cell>
          <cell r="W33">
            <v>2.0015999999999998</v>
          </cell>
          <cell r="X33">
            <v>0.43440000000000001</v>
          </cell>
          <cell r="Y33">
            <v>9.2179000000000002</v>
          </cell>
        </row>
        <row r="34">
          <cell r="A34" t="str">
            <v>New Mexico</v>
          </cell>
          <cell r="B34">
            <v>1.1800999999999999</v>
          </cell>
          <cell r="C34">
            <v>0.34420000000000001</v>
          </cell>
          <cell r="D34">
            <v>13.0166</v>
          </cell>
          <cell r="E34">
            <v>1.7176</v>
          </cell>
          <cell r="F34">
            <v>0.52700000000000002</v>
          </cell>
          <cell r="G34">
            <v>14.4506</v>
          </cell>
          <cell r="H34">
            <v>1.5496000000000001</v>
          </cell>
          <cell r="I34">
            <v>0.33350000000000002</v>
          </cell>
          <cell r="J34">
            <v>9.2121999999999993</v>
          </cell>
          <cell r="K34">
            <v>1.5737000000000001</v>
          </cell>
          <cell r="L34">
            <v>0.32079999999999997</v>
          </cell>
          <cell r="M34">
            <v>8.1672999999999991</v>
          </cell>
          <cell r="N34">
            <v>1.7742</v>
          </cell>
          <cell r="O34">
            <v>0.49099999999999999</v>
          </cell>
          <cell r="P34">
            <v>12.981999999999999</v>
          </cell>
          <cell r="Q34">
            <v>1.6358999999999999</v>
          </cell>
          <cell r="R34">
            <v>0.42020000000000002</v>
          </cell>
          <cell r="S34">
            <v>12.139099999999999</v>
          </cell>
          <cell r="T34">
            <v>1.7464</v>
          </cell>
          <cell r="U34">
            <v>0.39319999999999999</v>
          </cell>
          <cell r="V34">
            <v>8.4107000000000003</v>
          </cell>
          <cell r="W34">
            <v>1.5954999999999999</v>
          </cell>
          <cell r="X34">
            <v>0.36409999999999998</v>
          </cell>
          <cell r="Y34">
            <v>10.0192</v>
          </cell>
        </row>
        <row r="35">
          <cell r="A35" t="str">
            <v>New York</v>
          </cell>
          <cell r="B35">
            <v>1.2142999999999999</v>
          </cell>
          <cell r="C35">
            <v>0.31319999999999998</v>
          </cell>
          <cell r="D35">
            <v>8.6646999999999998</v>
          </cell>
          <cell r="E35">
            <v>1.8366</v>
          </cell>
          <cell r="F35">
            <v>0.50600000000000001</v>
          </cell>
          <cell r="G35">
            <v>10.0829</v>
          </cell>
          <cell r="H35">
            <v>1.7416</v>
          </cell>
          <cell r="I35">
            <v>0.37530000000000002</v>
          </cell>
          <cell r="J35">
            <v>7.1337999999999999</v>
          </cell>
          <cell r="K35">
            <v>1.7138</v>
          </cell>
          <cell r="L35">
            <v>0.32850000000000001</v>
          </cell>
          <cell r="M35">
            <v>6.8387000000000002</v>
          </cell>
          <cell r="N35">
            <v>1.712</v>
          </cell>
          <cell r="O35">
            <v>0.44080000000000003</v>
          </cell>
          <cell r="P35">
            <v>7.8339999999999996</v>
          </cell>
          <cell r="Q35">
            <v>1.8371999999999999</v>
          </cell>
          <cell r="R35">
            <v>0.43309999999999998</v>
          </cell>
          <cell r="S35">
            <v>8.7349999999999994</v>
          </cell>
          <cell r="T35">
            <v>1.4819</v>
          </cell>
          <cell r="U35">
            <v>0.30969999999999998</v>
          </cell>
          <cell r="V35">
            <v>4.8430999999999997</v>
          </cell>
          <cell r="W35">
            <v>1.8409</v>
          </cell>
          <cell r="X35">
            <v>0.40439999999999998</v>
          </cell>
          <cell r="Y35">
            <v>7.8864000000000001</v>
          </cell>
        </row>
        <row r="36">
          <cell r="A36" t="str">
            <v>North Carolina</v>
          </cell>
          <cell r="B36">
            <v>1.4495</v>
          </cell>
          <cell r="C36">
            <v>0.40760000000000002</v>
          </cell>
          <cell r="D36">
            <v>13.581799999999999</v>
          </cell>
          <cell r="E36">
            <v>2.0341</v>
          </cell>
          <cell r="F36">
            <v>0.6089</v>
          </cell>
          <cell r="G36">
            <v>15.042199999999999</v>
          </cell>
          <cell r="H36">
            <v>2.1015000000000001</v>
          </cell>
          <cell r="I36">
            <v>0.48089999999999999</v>
          </cell>
          <cell r="J36">
            <v>10.5669</v>
          </cell>
          <cell r="K36">
            <v>2.2610999999999999</v>
          </cell>
          <cell r="L36">
            <v>0.4667</v>
          </cell>
          <cell r="M36">
            <v>11.7098</v>
          </cell>
          <cell r="N36">
            <v>1.9024000000000001</v>
          </cell>
          <cell r="O36">
            <v>0.5363</v>
          </cell>
          <cell r="P36">
            <v>12.787800000000001</v>
          </cell>
          <cell r="Q36">
            <v>2.1246</v>
          </cell>
          <cell r="R36">
            <v>0.50139999999999996</v>
          </cell>
          <cell r="S36">
            <v>11.7316</v>
          </cell>
          <cell r="T36">
            <v>1.5972999999999999</v>
          </cell>
          <cell r="U36">
            <v>0.3538</v>
          </cell>
          <cell r="V36">
            <v>7.1772999999999998</v>
          </cell>
          <cell r="W36">
            <v>2.2481</v>
          </cell>
          <cell r="X36">
            <v>0.52990000000000004</v>
          </cell>
          <cell r="Y36">
            <v>12.601100000000001</v>
          </cell>
        </row>
        <row r="37">
          <cell r="A37" t="str">
            <v>North Dakota</v>
          </cell>
          <cell r="B37">
            <v>1.2012</v>
          </cell>
          <cell r="C37">
            <v>0.32569999999999999</v>
          </cell>
          <cell r="D37">
            <v>12.622299999999999</v>
          </cell>
          <cell r="E37">
            <v>1.7149000000000001</v>
          </cell>
          <cell r="F37">
            <v>0.48599999999999999</v>
          </cell>
          <cell r="G37">
            <v>13.4016</v>
          </cell>
          <cell r="H37">
            <v>1</v>
          </cell>
          <cell r="I37">
            <v>0</v>
          </cell>
          <cell r="J37">
            <v>0</v>
          </cell>
          <cell r="K37">
            <v>1.6319999999999999</v>
          </cell>
          <cell r="L37">
            <v>0.30980000000000002</v>
          </cell>
          <cell r="M37">
            <v>8.8644999999999996</v>
          </cell>
          <cell r="N37">
            <v>1.853</v>
          </cell>
          <cell r="O37">
            <v>0.50649999999999995</v>
          </cell>
          <cell r="P37">
            <v>12.645200000000001</v>
          </cell>
          <cell r="Q37">
            <v>1.4663999999999999</v>
          </cell>
          <cell r="R37">
            <v>0.1804</v>
          </cell>
          <cell r="S37">
            <v>5.1698000000000004</v>
          </cell>
          <cell r="T37">
            <v>1.7492000000000001</v>
          </cell>
          <cell r="U37">
            <v>0.37909999999999999</v>
          </cell>
          <cell r="V37">
            <v>8.0821000000000005</v>
          </cell>
          <cell r="W37">
            <v>1.6344000000000001</v>
          </cell>
          <cell r="X37">
            <v>0.33910000000000001</v>
          </cell>
          <cell r="Y37">
            <v>9.4579000000000004</v>
          </cell>
        </row>
        <row r="38">
          <cell r="A38" t="str">
            <v>Ohio</v>
          </cell>
          <cell r="B38">
            <v>1.5186999999999999</v>
          </cell>
          <cell r="C38">
            <v>0.41959999999999997</v>
          </cell>
          <cell r="D38">
            <v>13.975</v>
          </cell>
          <cell r="E38">
            <v>2.0577000000000001</v>
          </cell>
          <cell r="F38">
            <v>0.61050000000000004</v>
          </cell>
          <cell r="G38">
            <v>14.9361</v>
          </cell>
          <cell r="H38">
            <v>2.3283999999999998</v>
          </cell>
          <cell r="I38">
            <v>0.54079999999999995</v>
          </cell>
          <cell r="J38">
            <v>11.7781</v>
          </cell>
          <cell r="K38">
            <v>2.5867</v>
          </cell>
          <cell r="L38">
            <v>0.52990000000000004</v>
          </cell>
          <cell r="M38">
            <v>12.836399999999999</v>
          </cell>
          <cell r="N38">
            <v>2.0815000000000001</v>
          </cell>
          <cell r="O38">
            <v>0.57169999999999999</v>
          </cell>
          <cell r="P38">
            <v>13.252700000000001</v>
          </cell>
          <cell r="Q38">
            <v>2.3336000000000001</v>
          </cell>
          <cell r="R38">
            <v>0.57709999999999995</v>
          </cell>
          <cell r="S38">
            <v>13.261699999999999</v>
          </cell>
          <cell r="T38">
            <v>1.7925</v>
          </cell>
          <cell r="U38">
            <v>0.39560000000000001</v>
          </cell>
          <cell r="V38">
            <v>7.9678000000000004</v>
          </cell>
          <cell r="W38">
            <v>2.5535000000000001</v>
          </cell>
          <cell r="X38">
            <v>0.59730000000000005</v>
          </cell>
          <cell r="Y38">
            <v>13.591900000000001</v>
          </cell>
        </row>
        <row r="39">
          <cell r="A39" t="str">
            <v>Oklahoma</v>
          </cell>
          <cell r="B39">
            <v>1.4339999999999999</v>
          </cell>
          <cell r="C39">
            <v>0.4083</v>
          </cell>
          <cell r="D39">
            <v>14.9392</v>
          </cell>
          <cell r="E39">
            <v>1.9379</v>
          </cell>
          <cell r="F39">
            <v>0.59109999999999996</v>
          </cell>
          <cell r="G39">
            <v>16.191099999999999</v>
          </cell>
          <cell r="H39">
            <v>2.0386000000000002</v>
          </cell>
          <cell r="I39">
            <v>0.47460000000000002</v>
          </cell>
          <cell r="J39">
            <v>11.684699999999999</v>
          </cell>
          <cell r="K39">
            <v>1.9077</v>
          </cell>
          <cell r="L39">
            <v>0.39989999999999998</v>
          </cell>
          <cell r="M39">
            <v>11.3996</v>
          </cell>
          <cell r="N39">
            <v>2.0396999999999998</v>
          </cell>
          <cell r="O39">
            <v>0.56120000000000003</v>
          </cell>
          <cell r="P39">
            <v>13.314500000000001</v>
          </cell>
          <cell r="Q39">
            <v>1.9789000000000001</v>
          </cell>
          <cell r="R39">
            <v>0.49390000000000001</v>
          </cell>
          <cell r="S39">
            <v>13.812900000000001</v>
          </cell>
          <cell r="T39">
            <v>1.8101</v>
          </cell>
          <cell r="U39">
            <v>0.41110000000000002</v>
          </cell>
          <cell r="V39">
            <v>9.0989000000000004</v>
          </cell>
          <cell r="W39">
            <v>2.0771000000000002</v>
          </cell>
          <cell r="X39">
            <v>0.48880000000000001</v>
          </cell>
          <cell r="Y39">
            <v>13.190099999999999</v>
          </cell>
        </row>
        <row r="40">
          <cell r="A40" t="str">
            <v>Oregon</v>
          </cell>
          <cell r="B40">
            <v>1.3268</v>
          </cell>
          <cell r="C40">
            <v>0.3659</v>
          </cell>
          <cell r="D40">
            <v>12.470800000000001</v>
          </cell>
          <cell r="E40">
            <v>1.9241999999999999</v>
          </cell>
          <cell r="F40">
            <v>0.55959999999999999</v>
          </cell>
          <cell r="G40">
            <v>13.180400000000001</v>
          </cell>
          <cell r="H40">
            <v>1.9641</v>
          </cell>
          <cell r="I40">
            <v>0.43990000000000001</v>
          </cell>
          <cell r="J40">
            <v>10.1731</v>
          </cell>
          <cell r="K40">
            <v>1.865</v>
          </cell>
          <cell r="L40">
            <v>0.38250000000000001</v>
          </cell>
          <cell r="M40">
            <v>9.3033999999999999</v>
          </cell>
          <cell r="N40">
            <v>1.8808</v>
          </cell>
          <cell r="O40">
            <v>0.51329999999999998</v>
          </cell>
          <cell r="P40">
            <v>10.6798</v>
          </cell>
          <cell r="Q40">
            <v>1.9452</v>
          </cell>
          <cell r="R40">
            <v>0.46939999999999998</v>
          </cell>
          <cell r="S40">
            <v>11.2288</v>
          </cell>
          <cell r="T40">
            <v>1.5658000000000001</v>
          </cell>
          <cell r="U40">
            <v>0.33410000000000001</v>
          </cell>
          <cell r="V40">
            <v>6.5613999999999999</v>
          </cell>
          <cell r="W40">
            <v>2.1046999999999998</v>
          </cell>
          <cell r="X40">
            <v>0.4647</v>
          </cell>
          <cell r="Y40">
            <v>11.2974</v>
          </cell>
        </row>
        <row r="41">
          <cell r="A41" t="str">
            <v>Pennsylvania</v>
          </cell>
          <cell r="B41">
            <v>1.5834999999999999</v>
          </cell>
          <cell r="C41">
            <v>0.43030000000000002</v>
          </cell>
          <cell r="D41">
            <v>12.9754</v>
          </cell>
          <cell r="E41">
            <v>2.0994999999999999</v>
          </cell>
          <cell r="F41">
            <v>0.61099999999999999</v>
          </cell>
          <cell r="G41">
            <v>13.6229</v>
          </cell>
          <cell r="H41">
            <v>2.3029000000000002</v>
          </cell>
          <cell r="I41">
            <v>0.53080000000000005</v>
          </cell>
          <cell r="J41">
            <v>11.107200000000001</v>
          </cell>
          <cell r="K41">
            <v>2.6055999999999999</v>
          </cell>
          <cell r="L41">
            <v>0.52910000000000001</v>
          </cell>
          <cell r="M41">
            <v>11.7996</v>
          </cell>
          <cell r="N41">
            <v>2.0868000000000002</v>
          </cell>
          <cell r="O41">
            <v>0.55510000000000004</v>
          </cell>
          <cell r="P41">
            <v>12.228999999999999</v>
          </cell>
          <cell r="Q41">
            <v>2.2799</v>
          </cell>
          <cell r="R41">
            <v>0.53600000000000003</v>
          </cell>
          <cell r="S41">
            <v>11.5732</v>
          </cell>
          <cell r="T41">
            <v>1.9104000000000001</v>
          </cell>
          <cell r="U41">
            <v>0.4264</v>
          </cell>
          <cell r="V41">
            <v>7.8261000000000003</v>
          </cell>
          <cell r="W41">
            <v>2.4807000000000001</v>
          </cell>
          <cell r="X41">
            <v>0.56920000000000004</v>
          </cell>
          <cell r="Y41">
            <v>12.749700000000001</v>
          </cell>
        </row>
        <row r="42">
          <cell r="A42" t="str">
            <v>Rhode Island</v>
          </cell>
          <cell r="B42">
            <v>1.2098</v>
          </cell>
          <cell r="C42">
            <v>0.32290000000000002</v>
          </cell>
          <cell r="D42">
            <v>10.4282</v>
          </cell>
          <cell r="E42">
            <v>1.7739</v>
          </cell>
          <cell r="F42">
            <v>0.49320000000000003</v>
          </cell>
          <cell r="G42">
            <v>11.085000000000001</v>
          </cell>
          <cell r="H42">
            <v>1.6309</v>
          </cell>
          <cell r="I42">
            <v>0.32969999999999999</v>
          </cell>
          <cell r="J42">
            <v>6.6177000000000001</v>
          </cell>
          <cell r="K42">
            <v>1.9934000000000001</v>
          </cell>
          <cell r="L42">
            <v>0.3619</v>
          </cell>
          <cell r="M42">
            <v>8.2142999999999997</v>
          </cell>
          <cell r="N42">
            <v>1.6669</v>
          </cell>
          <cell r="O42">
            <v>0.43259999999999998</v>
          </cell>
          <cell r="P42">
            <v>10.342000000000001</v>
          </cell>
          <cell r="Q42">
            <v>1.8648</v>
          </cell>
          <cell r="R42">
            <v>0.39200000000000002</v>
          </cell>
          <cell r="S42">
            <v>8.3686000000000007</v>
          </cell>
          <cell r="T42">
            <v>1.4509000000000001</v>
          </cell>
          <cell r="U42">
            <v>0.28010000000000002</v>
          </cell>
          <cell r="V42">
            <v>5.1340000000000003</v>
          </cell>
          <cell r="W42">
            <v>1.7121</v>
          </cell>
          <cell r="X42">
            <v>0.3407</v>
          </cell>
          <cell r="Y42">
            <v>7.3804999999999996</v>
          </cell>
        </row>
        <row r="43">
          <cell r="A43" t="str">
            <v>South Carolina</v>
          </cell>
          <cell r="B43">
            <v>1.4184000000000001</v>
          </cell>
          <cell r="C43">
            <v>0.39279999999999998</v>
          </cell>
          <cell r="D43">
            <v>13.986000000000001</v>
          </cell>
          <cell r="E43">
            <v>1.9217</v>
          </cell>
          <cell r="F43">
            <v>0.56559999999999999</v>
          </cell>
          <cell r="G43">
            <v>14.853400000000001</v>
          </cell>
          <cell r="H43">
            <v>2.0693000000000001</v>
          </cell>
          <cell r="I43">
            <v>0.46679999999999999</v>
          </cell>
          <cell r="J43">
            <v>12.080299999999999</v>
          </cell>
          <cell r="K43">
            <v>2.3978000000000002</v>
          </cell>
          <cell r="L43">
            <v>0.47270000000000001</v>
          </cell>
          <cell r="M43">
            <v>12.1251</v>
          </cell>
          <cell r="N43">
            <v>1.8660000000000001</v>
          </cell>
          <cell r="O43">
            <v>0.50829999999999997</v>
          </cell>
          <cell r="P43">
            <v>13.0761</v>
          </cell>
          <cell r="Q43">
            <v>2.0499999999999998</v>
          </cell>
          <cell r="R43">
            <v>0.48399999999999999</v>
          </cell>
          <cell r="S43">
            <v>11.8125</v>
          </cell>
          <cell r="T43">
            <v>1.5729</v>
          </cell>
          <cell r="U43">
            <v>0.32829999999999998</v>
          </cell>
          <cell r="V43">
            <v>7.1082999999999998</v>
          </cell>
          <cell r="W43">
            <v>2.2955999999999999</v>
          </cell>
          <cell r="X43">
            <v>0.52490000000000003</v>
          </cell>
          <cell r="Y43">
            <v>12.945600000000001</v>
          </cell>
        </row>
        <row r="44">
          <cell r="A44" t="str">
            <v>South Dakota</v>
          </cell>
          <cell r="B44">
            <v>1.1966000000000001</v>
          </cell>
          <cell r="C44">
            <v>0.33889999999999998</v>
          </cell>
          <cell r="D44">
            <v>13.3024</v>
          </cell>
          <cell r="E44">
            <v>1.7407999999999999</v>
          </cell>
          <cell r="F44">
            <v>0.51890000000000003</v>
          </cell>
          <cell r="G44">
            <v>14.427099999999999</v>
          </cell>
          <cell r="H44">
            <v>1.7272000000000001</v>
          </cell>
          <cell r="I44">
            <v>0.37630000000000002</v>
          </cell>
          <cell r="J44">
            <v>10.3765</v>
          </cell>
          <cell r="K44">
            <v>1</v>
          </cell>
          <cell r="L44">
            <v>0</v>
          </cell>
          <cell r="M44">
            <v>0</v>
          </cell>
          <cell r="N44">
            <v>1.7149000000000001</v>
          </cell>
          <cell r="O44">
            <v>0.46639999999999998</v>
          </cell>
          <cell r="P44">
            <v>11.6892</v>
          </cell>
          <cell r="Q44">
            <v>1.6245000000000001</v>
          </cell>
          <cell r="R44">
            <v>0.38479999999999998</v>
          </cell>
          <cell r="S44">
            <v>10.0587</v>
          </cell>
          <cell r="T44">
            <v>1.4939</v>
          </cell>
          <cell r="U44">
            <v>0.3301</v>
          </cell>
          <cell r="V44">
            <v>7.2019000000000002</v>
          </cell>
          <cell r="W44">
            <v>1.7056</v>
          </cell>
          <cell r="X44">
            <v>0.37990000000000002</v>
          </cell>
          <cell r="Y44">
            <v>10.752700000000001</v>
          </cell>
        </row>
        <row r="45">
          <cell r="A45" t="str">
            <v>Tennessee</v>
          </cell>
          <cell r="B45">
            <v>1.6446000000000001</v>
          </cell>
          <cell r="C45">
            <v>0.44180000000000003</v>
          </cell>
          <cell r="D45">
            <v>13.855700000000001</v>
          </cell>
          <cell r="E45">
            <v>2.0758000000000001</v>
          </cell>
          <cell r="F45">
            <v>0.59850000000000003</v>
          </cell>
          <cell r="G45">
            <v>14.379300000000001</v>
          </cell>
          <cell r="H45">
            <v>2.2181999999999999</v>
          </cell>
          <cell r="I45">
            <v>0.49309999999999998</v>
          </cell>
          <cell r="J45">
            <v>12.3292</v>
          </cell>
          <cell r="K45">
            <v>2.3874</v>
          </cell>
          <cell r="L45">
            <v>0.47260000000000002</v>
          </cell>
          <cell r="M45">
            <v>11.5366</v>
          </cell>
          <cell r="N45">
            <v>2.0733999999999999</v>
          </cell>
          <cell r="O45">
            <v>0.55689999999999995</v>
          </cell>
          <cell r="P45">
            <v>11.525</v>
          </cell>
          <cell r="Q45">
            <v>2.2109999999999999</v>
          </cell>
          <cell r="R45">
            <v>0.50170000000000003</v>
          </cell>
          <cell r="S45">
            <v>12.078799999999999</v>
          </cell>
          <cell r="T45">
            <v>1.7157</v>
          </cell>
          <cell r="U45">
            <v>0.37259999999999999</v>
          </cell>
          <cell r="V45">
            <v>7.6344000000000003</v>
          </cell>
          <cell r="W45">
            <v>2.4487000000000001</v>
          </cell>
          <cell r="X45">
            <v>0.56210000000000004</v>
          </cell>
          <cell r="Y45">
            <v>13.449</v>
          </cell>
        </row>
        <row r="46">
          <cell r="A46" t="str">
            <v>Texas</v>
          </cell>
          <cell r="B46">
            <v>1.6983999999999999</v>
          </cell>
          <cell r="C46">
            <v>0.47299999999999998</v>
          </cell>
          <cell r="D46">
            <v>14.180999999999999</v>
          </cell>
          <cell r="E46">
            <v>2.1697000000000002</v>
          </cell>
          <cell r="F46">
            <v>0.65290000000000004</v>
          </cell>
          <cell r="G46">
            <v>14.4595</v>
          </cell>
          <cell r="H46">
            <v>2.1798000000000002</v>
          </cell>
          <cell r="I46">
            <v>0.51029999999999998</v>
          </cell>
          <cell r="J46">
            <v>10.585800000000001</v>
          </cell>
          <cell r="K46">
            <v>2.7334000000000001</v>
          </cell>
          <cell r="L46">
            <v>0.56689999999999996</v>
          </cell>
          <cell r="M46">
            <v>12.6309</v>
          </cell>
          <cell r="N46">
            <v>2.1804000000000001</v>
          </cell>
          <cell r="O46">
            <v>0.59870000000000001</v>
          </cell>
          <cell r="P46">
            <v>12.442299999999999</v>
          </cell>
          <cell r="Q46">
            <v>2.2351000000000001</v>
          </cell>
          <cell r="R46">
            <v>0.5363</v>
          </cell>
          <cell r="S46">
            <v>11.6747</v>
          </cell>
          <cell r="T46">
            <v>2.0142000000000002</v>
          </cell>
          <cell r="U46">
            <v>0.46679999999999999</v>
          </cell>
          <cell r="V46">
            <v>8.6640999999999995</v>
          </cell>
          <cell r="W46">
            <v>2.3149999999999999</v>
          </cell>
          <cell r="X46">
            <v>0.54710000000000003</v>
          </cell>
          <cell r="Y46">
            <v>12.410299999999999</v>
          </cell>
        </row>
        <row r="47">
          <cell r="A47" t="str">
            <v>Utah</v>
          </cell>
          <cell r="B47">
            <v>1.5331999999999999</v>
          </cell>
          <cell r="C47">
            <v>0.43280000000000002</v>
          </cell>
          <cell r="D47">
            <v>15.4551</v>
          </cell>
          <cell r="E47">
            <v>2.1</v>
          </cell>
          <cell r="F47">
            <v>0.63870000000000005</v>
          </cell>
          <cell r="G47">
            <v>17.256499999999999</v>
          </cell>
          <cell r="H47">
            <v>2.0621999999999998</v>
          </cell>
          <cell r="I47">
            <v>0.48809999999999998</v>
          </cell>
          <cell r="J47">
            <v>13.279400000000001</v>
          </cell>
          <cell r="K47">
            <v>1.9049</v>
          </cell>
          <cell r="L47">
            <v>0.40439999999999998</v>
          </cell>
          <cell r="M47">
            <v>11.5594</v>
          </cell>
          <cell r="N47">
            <v>2.1522000000000001</v>
          </cell>
          <cell r="O47">
            <v>0.60850000000000004</v>
          </cell>
          <cell r="P47">
            <v>16.1098</v>
          </cell>
          <cell r="Q47">
            <v>2.0255000000000001</v>
          </cell>
          <cell r="R47">
            <v>0.55610000000000004</v>
          </cell>
          <cell r="S47">
            <v>13.880800000000001</v>
          </cell>
          <cell r="T47">
            <v>1.9428000000000001</v>
          </cell>
          <cell r="U47">
            <v>0.4506</v>
          </cell>
          <cell r="V47">
            <v>9.4949999999999992</v>
          </cell>
          <cell r="W47">
            <v>2.2416</v>
          </cell>
          <cell r="X47">
            <v>0.5393</v>
          </cell>
          <cell r="Y47">
            <v>13.742599999999999</v>
          </cell>
        </row>
        <row r="48">
          <cell r="A48" t="str">
            <v>Vermont</v>
          </cell>
          <cell r="B48">
            <v>1.1473</v>
          </cell>
          <cell r="C48">
            <v>0.31850000000000001</v>
          </cell>
          <cell r="D48">
            <v>11.750999999999999</v>
          </cell>
          <cell r="E48">
            <v>1.6612</v>
          </cell>
          <cell r="F48">
            <v>0.4672</v>
          </cell>
          <cell r="G48">
            <v>12.6388</v>
          </cell>
          <cell r="H48">
            <v>1</v>
          </cell>
          <cell r="I48">
            <v>0</v>
          </cell>
          <cell r="J48">
            <v>0</v>
          </cell>
          <cell r="K48">
            <v>1.5946</v>
          </cell>
          <cell r="L48">
            <v>0.29220000000000002</v>
          </cell>
          <cell r="M48">
            <v>8.4403000000000006</v>
          </cell>
          <cell r="N48">
            <v>1.6057999999999999</v>
          </cell>
          <cell r="O48">
            <v>0.41720000000000002</v>
          </cell>
          <cell r="P48">
            <v>10.969799999999999</v>
          </cell>
          <cell r="Q48">
            <v>1.6141000000000001</v>
          </cell>
          <cell r="R48">
            <v>0.32040000000000002</v>
          </cell>
          <cell r="S48">
            <v>8.1419999999999995</v>
          </cell>
          <cell r="T48">
            <v>1.4093</v>
          </cell>
          <cell r="U48">
            <v>0.2727</v>
          </cell>
          <cell r="V48">
            <v>5.3822999999999999</v>
          </cell>
          <cell r="W48">
            <v>1.7010000000000001</v>
          </cell>
          <cell r="X48">
            <v>0.37009999999999998</v>
          </cell>
          <cell r="Y48">
            <v>9.1012000000000004</v>
          </cell>
        </row>
        <row r="49">
          <cell r="A49" t="str">
            <v>Virginia</v>
          </cell>
          <cell r="B49">
            <v>1.3738999999999999</v>
          </cell>
          <cell r="C49">
            <v>0.36459999999999998</v>
          </cell>
          <cell r="D49">
            <v>11.676600000000001</v>
          </cell>
          <cell r="E49">
            <v>1.9777</v>
          </cell>
          <cell r="F49">
            <v>0.56730000000000003</v>
          </cell>
          <cell r="G49">
            <v>12.7158</v>
          </cell>
          <cell r="H49">
            <v>1.9224000000000001</v>
          </cell>
          <cell r="I49">
            <v>0.4199</v>
          </cell>
          <cell r="J49">
            <v>10.314500000000001</v>
          </cell>
          <cell r="K49">
            <v>2.0110999999999999</v>
          </cell>
          <cell r="L49">
            <v>0.39219999999999999</v>
          </cell>
          <cell r="M49">
            <v>9.4910999999999994</v>
          </cell>
          <cell r="N49">
            <v>1.8660000000000001</v>
          </cell>
          <cell r="O49">
            <v>0.49370000000000003</v>
          </cell>
          <cell r="P49">
            <v>11.218999999999999</v>
          </cell>
          <cell r="Q49">
            <v>1.9366000000000001</v>
          </cell>
          <cell r="R49">
            <v>0.46289999999999998</v>
          </cell>
          <cell r="S49">
            <v>10.1478</v>
          </cell>
          <cell r="T49">
            <v>1.7346999999999999</v>
          </cell>
          <cell r="U49">
            <v>0.37390000000000001</v>
          </cell>
          <cell r="V49">
            <v>6.8727</v>
          </cell>
          <cell r="W49">
            <v>2.0051999999999999</v>
          </cell>
          <cell r="X49">
            <v>0.44740000000000002</v>
          </cell>
          <cell r="Y49">
            <v>10.3468</v>
          </cell>
        </row>
        <row r="50">
          <cell r="A50" t="str">
            <v>Washington</v>
          </cell>
          <cell r="B50">
            <v>1.4517</v>
          </cell>
          <cell r="C50">
            <v>0.40860000000000002</v>
          </cell>
          <cell r="D50">
            <v>12.561199999999999</v>
          </cell>
          <cell r="E50">
            <v>1.9904999999999999</v>
          </cell>
          <cell r="F50">
            <v>0.60099999999999998</v>
          </cell>
          <cell r="G50">
            <v>13.484999999999999</v>
          </cell>
          <cell r="H50">
            <v>1.8533999999999999</v>
          </cell>
          <cell r="I50">
            <v>0.42459999999999998</v>
          </cell>
          <cell r="J50">
            <v>10.4529</v>
          </cell>
          <cell r="K50">
            <v>1.8862000000000001</v>
          </cell>
          <cell r="L50">
            <v>0.39829999999999999</v>
          </cell>
          <cell r="M50">
            <v>9.5580999999999996</v>
          </cell>
          <cell r="N50">
            <v>2.0156000000000001</v>
          </cell>
          <cell r="O50">
            <v>0.56479999999999997</v>
          </cell>
          <cell r="P50">
            <v>11.711399999999999</v>
          </cell>
          <cell r="Q50">
            <v>2.0341</v>
          </cell>
          <cell r="R50">
            <v>0.56220000000000003</v>
          </cell>
          <cell r="S50">
            <v>11.9634</v>
          </cell>
          <cell r="T50">
            <v>1.6717</v>
          </cell>
          <cell r="U50">
            <v>0.37159999999999999</v>
          </cell>
          <cell r="V50">
            <v>6.8665000000000003</v>
          </cell>
          <cell r="W50">
            <v>1.9430000000000001</v>
          </cell>
          <cell r="X50">
            <v>0.46300000000000002</v>
          </cell>
          <cell r="Y50">
            <v>10.8553</v>
          </cell>
        </row>
        <row r="51">
          <cell r="A51" t="str">
            <v>West Virginia</v>
          </cell>
          <cell r="B51">
            <v>1.0849</v>
          </cell>
          <cell r="C51">
            <v>0.29430000000000001</v>
          </cell>
          <cell r="D51">
            <v>11.5741</v>
          </cell>
          <cell r="E51">
            <v>1.6168</v>
          </cell>
          <cell r="F51">
            <v>0.45440000000000003</v>
          </cell>
          <cell r="G51">
            <v>12.457700000000001</v>
          </cell>
          <cell r="H51">
            <v>1.6489</v>
          </cell>
          <cell r="I51">
            <v>0.32400000000000001</v>
          </cell>
          <cell r="J51">
            <v>7.5225999999999997</v>
          </cell>
          <cell r="K51">
            <v>2.1414</v>
          </cell>
          <cell r="L51">
            <v>0.36380000000000001</v>
          </cell>
          <cell r="M51">
            <v>10.0945</v>
          </cell>
          <cell r="N51">
            <v>1.758</v>
          </cell>
          <cell r="O51">
            <v>0.45190000000000002</v>
          </cell>
          <cell r="P51">
            <v>10.200900000000001</v>
          </cell>
          <cell r="Q51">
            <v>1.7292000000000001</v>
          </cell>
          <cell r="R51">
            <v>0.43059999999999998</v>
          </cell>
          <cell r="S51">
            <v>10.228300000000001</v>
          </cell>
          <cell r="T51">
            <v>1.7021999999999999</v>
          </cell>
          <cell r="U51">
            <v>0.35099999999999998</v>
          </cell>
          <cell r="V51">
            <v>7.4829999999999997</v>
          </cell>
          <cell r="W51">
            <v>1.8438000000000001</v>
          </cell>
          <cell r="X51">
            <v>0.3624</v>
          </cell>
          <cell r="Y51">
            <v>8.7317999999999998</v>
          </cell>
        </row>
        <row r="52">
          <cell r="A52" t="str">
            <v>Wisconsin</v>
          </cell>
          <cell r="B52">
            <v>1.3984000000000001</v>
          </cell>
          <cell r="C52">
            <v>0.39400000000000002</v>
          </cell>
          <cell r="D52">
            <v>13.747</v>
          </cell>
          <cell r="E52">
            <v>1.9386000000000001</v>
          </cell>
          <cell r="F52">
            <v>0.58740000000000003</v>
          </cell>
          <cell r="G52">
            <v>14.8337</v>
          </cell>
          <cell r="H52">
            <v>2.1591</v>
          </cell>
          <cell r="I52">
            <v>0.50590000000000002</v>
          </cell>
          <cell r="J52">
            <v>11.869199999999999</v>
          </cell>
          <cell r="K52">
            <v>2.0333000000000001</v>
          </cell>
          <cell r="L52">
            <v>0.42380000000000001</v>
          </cell>
          <cell r="M52">
            <v>11.411</v>
          </cell>
          <cell r="N52">
            <v>1.8917999999999999</v>
          </cell>
          <cell r="O52">
            <v>0.51629999999999998</v>
          </cell>
          <cell r="P52">
            <v>11.1937</v>
          </cell>
          <cell r="Q52">
            <v>2.0566</v>
          </cell>
          <cell r="R52">
            <v>0.54949999999999999</v>
          </cell>
          <cell r="S52">
            <v>12.437099999999999</v>
          </cell>
          <cell r="T52">
            <v>1.5892999999999999</v>
          </cell>
          <cell r="U52">
            <v>0.3569</v>
          </cell>
          <cell r="V52">
            <v>7.3128000000000002</v>
          </cell>
          <cell r="W52">
            <v>2.2597999999999998</v>
          </cell>
          <cell r="X52">
            <v>0.53659999999999997</v>
          </cell>
          <cell r="Y52">
            <v>12.5465</v>
          </cell>
        </row>
        <row r="53">
          <cell r="A53" t="str">
            <v>Wyoming</v>
          </cell>
          <cell r="B53">
            <v>0.91449999999999998</v>
          </cell>
          <cell r="C53">
            <v>0.26150000000000001</v>
          </cell>
          <cell r="D53">
            <v>10.1456</v>
          </cell>
          <cell r="E53">
            <v>1.5224</v>
          </cell>
          <cell r="F53">
            <v>0.45610000000000001</v>
          </cell>
          <cell r="G53">
            <v>11.473699999999999</v>
          </cell>
          <cell r="H53">
            <v>1</v>
          </cell>
          <cell r="I53">
            <v>0</v>
          </cell>
          <cell r="J53">
            <v>0</v>
          </cell>
          <cell r="K53">
            <v>1.4751000000000001</v>
          </cell>
          <cell r="L53">
            <v>0.27089999999999997</v>
          </cell>
          <cell r="M53">
            <v>7.6744000000000003</v>
          </cell>
          <cell r="N53">
            <v>1.7055</v>
          </cell>
          <cell r="O53">
            <v>0.46550000000000002</v>
          </cell>
          <cell r="P53">
            <v>11.448600000000001</v>
          </cell>
          <cell r="Q53">
            <v>1.4729000000000001</v>
          </cell>
          <cell r="R53">
            <v>0.34760000000000002</v>
          </cell>
          <cell r="S53">
            <v>8.1690000000000005</v>
          </cell>
          <cell r="T53">
            <v>1.6437999999999999</v>
          </cell>
          <cell r="U53">
            <v>0.35439999999999999</v>
          </cell>
          <cell r="V53">
            <v>6.9581</v>
          </cell>
          <cell r="W53">
            <v>1.4753000000000001</v>
          </cell>
          <cell r="X53">
            <v>0.32419999999999999</v>
          </cell>
          <cell r="Y53">
            <v>8.7619000000000007</v>
          </cell>
        </row>
      </sheetData>
      <sheetData sheetId="31"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User's Guide"/>
      <sheetName val="Analysis Inputs"/>
      <sheetName val="Summary Data"/>
      <sheetName val="Summary Data NRG"/>
      <sheetName val="Summary Data_EconFactors"/>
      <sheetName val="Summary Report (MTCO2E)"/>
      <sheetName val="Analysis Results (MTCO2E)"/>
      <sheetName val="Production + EOL (MTCO2E)"/>
      <sheetName val="Production + EOL Data"/>
      <sheetName val="Summary Report (energy)"/>
      <sheetName val="Analysis Results (energy)"/>
      <sheetName val="Summary Report (MTCE)"/>
      <sheetName val="Analysis Results (MTCE)"/>
      <sheetName val="Production + EOL (energy)"/>
      <sheetName val="Summary Report (Labor Hours)"/>
      <sheetName val="Analysis Results (Labor Hours)"/>
      <sheetName val="Summary Report (Wages)"/>
      <sheetName val="Analysis Results (Wages)"/>
      <sheetName val="Summary Report (Taxes)"/>
      <sheetName val="Analysis Results (Taxes)"/>
      <sheetName val="Avoided Utility"/>
      <sheetName val="Landfill Gas Collection"/>
      <sheetName val="Landfilling EFs"/>
      <sheetName val="Equivalencies"/>
      <sheetName val="Revisions"/>
    </sheetNames>
    <sheetDataSet>
      <sheetData sheetId="0" refreshError="1"/>
      <sheetData sheetId="1">
        <row r="15">
          <cell r="D15" t="str">
            <v>Corrugated Containers</v>
          </cell>
          <cell r="J15" t="str">
            <v>NA</v>
          </cell>
          <cell r="K15" t="str">
            <v>NA</v>
          </cell>
          <cell r="M15">
            <v>0</v>
          </cell>
          <cell r="T15" t="str">
            <v>NA</v>
          </cell>
          <cell r="U15" t="str">
            <v>NA</v>
          </cell>
        </row>
        <row r="16">
          <cell r="D16" t="str">
            <v>Magazines/Third-class Mail</v>
          </cell>
          <cell r="J16" t="str">
            <v>NA</v>
          </cell>
          <cell r="K16" t="str">
            <v>NA</v>
          </cell>
          <cell r="M16">
            <v>0</v>
          </cell>
          <cell r="T16" t="str">
            <v>NA</v>
          </cell>
          <cell r="U16" t="str">
            <v>NA</v>
          </cell>
        </row>
        <row r="17">
          <cell r="D17" t="str">
            <v>Newspaper</v>
          </cell>
          <cell r="J17" t="str">
            <v>NA</v>
          </cell>
          <cell r="K17" t="str">
            <v>NA</v>
          </cell>
          <cell r="M17">
            <v>0</v>
          </cell>
          <cell r="T17" t="str">
            <v>NA</v>
          </cell>
          <cell r="U17" t="str">
            <v>NA</v>
          </cell>
        </row>
        <row r="18">
          <cell r="D18" t="str">
            <v>Office Paper</v>
          </cell>
          <cell r="J18" t="str">
            <v>NA</v>
          </cell>
          <cell r="K18" t="str">
            <v>NA</v>
          </cell>
          <cell r="M18">
            <v>0</v>
          </cell>
          <cell r="T18" t="str">
            <v>NA</v>
          </cell>
          <cell r="U18" t="str">
            <v>NA</v>
          </cell>
        </row>
        <row r="19">
          <cell r="D19" t="str">
            <v>Phonebooks</v>
          </cell>
          <cell r="J19" t="str">
            <v>NA</v>
          </cell>
          <cell r="K19" t="str">
            <v>NA</v>
          </cell>
          <cell r="M19">
            <v>0</v>
          </cell>
          <cell r="T19" t="str">
            <v>NA</v>
          </cell>
          <cell r="U19" t="str">
            <v>NA</v>
          </cell>
        </row>
        <row r="20">
          <cell r="D20" t="str">
            <v>Textbooks</v>
          </cell>
          <cell r="J20" t="str">
            <v>NA</v>
          </cell>
          <cell r="K20" t="str">
            <v>NA</v>
          </cell>
          <cell r="M20">
            <v>0</v>
          </cell>
          <cell r="T20" t="str">
            <v>NA</v>
          </cell>
          <cell r="U20" t="str">
            <v>NA</v>
          </cell>
        </row>
        <row r="21">
          <cell r="D21" t="str">
            <v>Mixed Paper (general)</v>
          </cell>
          <cell r="J21" t="str">
            <v>NA</v>
          </cell>
          <cell r="K21" t="str">
            <v>NA</v>
          </cell>
          <cell r="M21">
            <v>0</v>
          </cell>
          <cell r="T21" t="str">
            <v>NA</v>
          </cell>
          <cell r="U21" t="str">
            <v>NA</v>
          </cell>
        </row>
        <row r="22">
          <cell r="D22" t="str">
            <v>Mixed Paper (primarily residential)</v>
          </cell>
          <cell r="J22" t="str">
            <v>NA</v>
          </cell>
          <cell r="K22" t="str">
            <v>NA</v>
          </cell>
          <cell r="M22">
            <v>0</v>
          </cell>
          <cell r="T22" t="str">
            <v>NA</v>
          </cell>
          <cell r="U22" t="str">
            <v>NA</v>
          </cell>
        </row>
        <row r="23">
          <cell r="D23" t="str">
            <v>Mixed Paper (primarily from offices)</v>
          </cell>
          <cell r="J23" t="str">
            <v>NA</v>
          </cell>
          <cell r="K23" t="str">
            <v>NA</v>
          </cell>
          <cell r="M23">
            <v>0</v>
          </cell>
          <cell r="T23" t="str">
            <v>NA</v>
          </cell>
          <cell r="U23" t="str">
            <v>NA</v>
          </cell>
        </row>
        <row r="24">
          <cell r="D24" t="str">
            <v>Food Waste</v>
          </cell>
          <cell r="G24" t="str">
            <v>NA</v>
          </cell>
          <cell r="K24">
            <v>7800</v>
          </cell>
          <cell r="M24">
            <v>7800</v>
          </cell>
          <cell r="Q24" t="str">
            <v>NA</v>
          </cell>
        </row>
        <row r="25">
          <cell r="D25" t="str">
            <v>Food Waste (non-meat)</v>
          </cell>
          <cell r="G25" t="str">
            <v>NA</v>
          </cell>
          <cell r="M25">
            <v>0</v>
          </cell>
          <cell r="Q25" t="str">
            <v>NA</v>
          </cell>
        </row>
        <row r="26">
          <cell r="D26" t="str">
            <v>Food Waste (meat only)</v>
          </cell>
          <cell r="G26" t="str">
            <v>NA</v>
          </cell>
          <cell r="K26">
            <v>4000</v>
          </cell>
          <cell r="M26">
            <v>4000</v>
          </cell>
          <cell r="Q26" t="str">
            <v>NA</v>
          </cell>
        </row>
        <row r="27">
          <cell r="D27" t="str">
            <v>Beef</v>
          </cell>
          <cell r="G27" t="str">
            <v>NA</v>
          </cell>
          <cell r="M27">
            <v>0</v>
          </cell>
          <cell r="Q27" t="str">
            <v>NA</v>
          </cell>
        </row>
        <row r="28">
          <cell r="D28" t="str">
            <v>Poultry</v>
          </cell>
          <cell r="G28" t="str">
            <v>NA</v>
          </cell>
          <cell r="M28">
            <v>0</v>
          </cell>
          <cell r="Q28" t="str">
            <v>NA</v>
          </cell>
        </row>
        <row r="29">
          <cell r="D29" t="str">
            <v>Grains</v>
          </cell>
          <cell r="G29" t="str">
            <v>NA</v>
          </cell>
          <cell r="K29">
            <v>15650</v>
          </cell>
          <cell r="M29">
            <v>15650</v>
          </cell>
          <cell r="Q29" t="str">
            <v>NA</v>
          </cell>
        </row>
        <row r="30">
          <cell r="D30" t="str">
            <v>Bread</v>
          </cell>
          <cell r="G30" t="str">
            <v>NA</v>
          </cell>
          <cell r="M30">
            <v>0</v>
          </cell>
          <cell r="Q30" t="str">
            <v>NA</v>
          </cell>
        </row>
        <row r="31">
          <cell r="D31" t="str">
            <v>Fruits and Vegetables</v>
          </cell>
          <cell r="G31" t="str">
            <v>NA</v>
          </cell>
          <cell r="K31">
            <v>37150</v>
          </cell>
          <cell r="M31">
            <v>37150</v>
          </cell>
          <cell r="Q31" t="str">
            <v>NA</v>
          </cell>
        </row>
        <row r="32">
          <cell r="D32" t="str">
            <v>Dairy Products</v>
          </cell>
          <cell r="G32" t="str">
            <v>NA</v>
          </cell>
          <cell r="M32">
            <v>0</v>
          </cell>
          <cell r="Q32" t="str">
            <v>NA</v>
          </cell>
        </row>
        <row r="33">
          <cell r="D33" t="str">
            <v>Yard Trimmings</v>
          </cell>
          <cell r="G33" t="str">
            <v>NA</v>
          </cell>
          <cell r="M33">
            <v>0</v>
          </cell>
          <cell r="P33" t="str">
            <v>NA</v>
          </cell>
          <cell r="Q33" t="str">
            <v>NA</v>
          </cell>
        </row>
        <row r="34">
          <cell r="D34" t="str">
            <v>Grass</v>
          </cell>
          <cell r="G34" t="str">
            <v>NA</v>
          </cell>
          <cell r="K34">
            <v>700</v>
          </cell>
          <cell r="M34">
            <v>700</v>
          </cell>
          <cell r="P34" t="str">
            <v>NA</v>
          </cell>
          <cell r="Q34" t="str">
            <v>NA</v>
          </cell>
        </row>
        <row r="35">
          <cell r="D35" t="str">
            <v>Leaves</v>
          </cell>
          <cell r="G35" t="str">
            <v>NA</v>
          </cell>
          <cell r="M35">
            <v>0</v>
          </cell>
          <cell r="P35" t="str">
            <v>NA</v>
          </cell>
          <cell r="Q35" t="str">
            <v>NA</v>
          </cell>
        </row>
        <row r="36">
          <cell r="D36" t="str">
            <v>Branches</v>
          </cell>
          <cell r="G36" t="str">
            <v>NA</v>
          </cell>
          <cell r="M36">
            <v>0</v>
          </cell>
          <cell r="P36" t="str">
            <v>NA</v>
          </cell>
          <cell r="Q36" t="str">
            <v>NA</v>
          </cell>
        </row>
        <row r="37">
          <cell r="D37" t="str">
            <v>HDPE</v>
          </cell>
          <cell r="J37" t="str">
            <v>NA</v>
          </cell>
          <cell r="K37" t="str">
            <v>NA</v>
          </cell>
          <cell r="M37">
            <v>0</v>
          </cell>
          <cell r="T37" t="str">
            <v>NA</v>
          </cell>
          <cell r="U37" t="str">
            <v>NA</v>
          </cell>
        </row>
        <row r="38">
          <cell r="D38" t="str">
            <v>LDPE</v>
          </cell>
          <cell r="G38" t="str">
            <v>NA</v>
          </cell>
          <cell r="J38" t="str">
            <v>NA</v>
          </cell>
          <cell r="K38" t="str">
            <v>NA</v>
          </cell>
          <cell r="M38">
            <v>0</v>
          </cell>
          <cell r="Q38" t="str">
            <v>NA</v>
          </cell>
          <cell r="T38" t="str">
            <v>NA</v>
          </cell>
          <cell r="U38" t="str">
            <v>NA</v>
          </cell>
        </row>
        <row r="39">
          <cell r="D39" t="str">
            <v>PET</v>
          </cell>
          <cell r="J39" t="str">
            <v>NA</v>
          </cell>
          <cell r="K39" t="str">
            <v>NA</v>
          </cell>
          <cell r="M39">
            <v>0</v>
          </cell>
          <cell r="T39" t="str">
            <v>NA</v>
          </cell>
          <cell r="U39" t="str">
            <v>NA</v>
          </cell>
        </row>
        <row r="40">
          <cell r="D40" t="str">
            <v>LLDPE</v>
          </cell>
          <cell r="G40" t="str">
            <v>NA</v>
          </cell>
          <cell r="J40" t="str">
            <v>NA</v>
          </cell>
          <cell r="K40" t="str">
            <v>NA</v>
          </cell>
          <cell r="M40">
            <v>0</v>
          </cell>
          <cell r="Q40" t="str">
            <v>NA</v>
          </cell>
          <cell r="T40" t="str">
            <v>NA</v>
          </cell>
          <cell r="U40" t="str">
            <v>NA</v>
          </cell>
        </row>
        <row r="41">
          <cell r="D41" t="str">
            <v>PP</v>
          </cell>
          <cell r="J41" t="str">
            <v>NA</v>
          </cell>
          <cell r="K41" t="str">
            <v>NA</v>
          </cell>
          <cell r="M41">
            <v>0</v>
          </cell>
          <cell r="T41" t="str">
            <v>NA</v>
          </cell>
          <cell r="U41" t="str">
            <v>NA</v>
          </cell>
        </row>
        <row r="42">
          <cell r="D42" t="str">
            <v>PS</v>
          </cell>
          <cell r="G42" t="str">
            <v>NA</v>
          </cell>
          <cell r="J42" t="str">
            <v>NA</v>
          </cell>
          <cell r="K42" t="str">
            <v>NA</v>
          </cell>
          <cell r="M42">
            <v>0</v>
          </cell>
          <cell r="Q42" t="str">
            <v>NA</v>
          </cell>
          <cell r="T42" t="str">
            <v>NA</v>
          </cell>
          <cell r="U42" t="str">
            <v>NA</v>
          </cell>
        </row>
        <row r="43">
          <cell r="D43" t="str">
            <v>PVC</v>
          </cell>
          <cell r="G43" t="str">
            <v>NA</v>
          </cell>
          <cell r="J43" t="str">
            <v>NA</v>
          </cell>
          <cell r="K43" t="str">
            <v>NA</v>
          </cell>
          <cell r="M43">
            <v>0</v>
          </cell>
          <cell r="Q43" t="str">
            <v>NA</v>
          </cell>
          <cell r="T43" t="str">
            <v>NA</v>
          </cell>
          <cell r="U43" t="str">
            <v>NA</v>
          </cell>
        </row>
        <row r="44">
          <cell r="D44" t="str">
            <v>Mixed Plastics</v>
          </cell>
          <cell r="J44" t="str">
            <v>NA</v>
          </cell>
          <cell r="K44" t="str">
            <v>NA</v>
          </cell>
          <cell r="M44">
            <v>0</v>
          </cell>
          <cell r="T44" t="str">
            <v>NA</v>
          </cell>
          <cell r="U44" t="str">
            <v>NA</v>
          </cell>
        </row>
        <row r="45">
          <cell r="D45" t="str">
            <v>PLA</v>
          </cell>
          <cell r="G45" t="str">
            <v>NA</v>
          </cell>
          <cell r="K45" t="str">
            <v>NA</v>
          </cell>
          <cell r="M45">
            <v>0</v>
          </cell>
          <cell r="Q45" t="str">
            <v>NA</v>
          </cell>
          <cell r="U45" t="str">
            <v>NA</v>
          </cell>
        </row>
        <row r="46">
          <cell r="D46" t="str">
            <v>Desktop CPUs</v>
          </cell>
          <cell r="J46" t="str">
            <v>NA</v>
          </cell>
          <cell r="K46" t="str">
            <v>NA</v>
          </cell>
          <cell r="M46">
            <v>0</v>
          </cell>
          <cell r="T46" t="str">
            <v>NA</v>
          </cell>
          <cell r="U46" t="str">
            <v>NA</v>
          </cell>
        </row>
        <row r="47">
          <cell r="D47" t="str">
            <v>Portable Electronic Devices</v>
          </cell>
          <cell r="J47" t="str">
            <v>NA</v>
          </cell>
          <cell r="K47" t="str">
            <v>NA</v>
          </cell>
          <cell r="M47">
            <v>0</v>
          </cell>
          <cell r="T47" t="str">
            <v>NA</v>
          </cell>
          <cell r="U47" t="str">
            <v>NA</v>
          </cell>
        </row>
        <row r="48">
          <cell r="D48" t="str">
            <v>Flat-Panel Displays</v>
          </cell>
          <cell r="J48" t="str">
            <v>NA</v>
          </cell>
          <cell r="K48" t="str">
            <v>NA</v>
          </cell>
          <cell r="M48">
            <v>0</v>
          </cell>
          <cell r="T48" t="str">
            <v>NA</v>
          </cell>
          <cell r="U48" t="str">
            <v>NA</v>
          </cell>
        </row>
        <row r="49">
          <cell r="D49" t="str">
            <v>CRT Displays</v>
          </cell>
          <cell r="J49" t="str">
            <v>NA</v>
          </cell>
          <cell r="K49" t="str">
            <v>NA</v>
          </cell>
          <cell r="M49">
            <v>0</v>
          </cell>
          <cell r="P49" t="str">
            <v>NA</v>
          </cell>
          <cell r="T49" t="str">
            <v>NA</v>
          </cell>
          <cell r="U49" t="str">
            <v>NA</v>
          </cell>
        </row>
        <row r="50">
          <cell r="D50" t="str">
            <v>Electronic Peripherals</v>
          </cell>
          <cell r="J50" t="str">
            <v>NA</v>
          </cell>
          <cell r="K50" t="str">
            <v>NA</v>
          </cell>
          <cell r="M50">
            <v>0</v>
          </cell>
          <cell r="T50" t="str">
            <v>NA</v>
          </cell>
          <cell r="U50" t="str">
            <v>NA</v>
          </cell>
        </row>
        <row r="51">
          <cell r="D51" t="str">
            <v>Hard-Copy Devices</v>
          </cell>
          <cell r="J51" t="str">
            <v>NA</v>
          </cell>
          <cell r="K51" t="str">
            <v>NA</v>
          </cell>
          <cell r="M51">
            <v>0</v>
          </cell>
          <cell r="T51" t="str">
            <v>NA</v>
          </cell>
          <cell r="U51" t="str">
            <v>NA</v>
          </cell>
        </row>
        <row r="52">
          <cell r="D52" t="str">
            <v>Mixed Electronics</v>
          </cell>
          <cell r="J52" t="str">
            <v>NA</v>
          </cell>
          <cell r="K52" t="str">
            <v>NA</v>
          </cell>
          <cell r="M52">
            <v>0</v>
          </cell>
          <cell r="T52" t="str">
            <v>NA</v>
          </cell>
          <cell r="U52" t="str">
            <v>NA</v>
          </cell>
        </row>
        <row r="53">
          <cell r="D53" t="str">
            <v>Aluminum Cans</v>
          </cell>
          <cell r="J53" t="str">
            <v>NA</v>
          </cell>
          <cell r="K53" t="str">
            <v>NA</v>
          </cell>
          <cell r="M53">
            <v>0</v>
          </cell>
          <cell r="T53" t="str">
            <v>NA</v>
          </cell>
          <cell r="U53" t="str">
            <v>NA</v>
          </cell>
        </row>
        <row r="54">
          <cell r="D54" t="str">
            <v>Aluminum Ingot</v>
          </cell>
          <cell r="J54" t="str">
            <v>NA</v>
          </cell>
          <cell r="K54" t="str">
            <v>NA</v>
          </cell>
          <cell r="M54">
            <v>0</v>
          </cell>
          <cell r="T54" t="str">
            <v>NA</v>
          </cell>
          <cell r="U54" t="str">
            <v>NA</v>
          </cell>
        </row>
        <row r="55">
          <cell r="D55" t="str">
            <v>Steel Cans</v>
          </cell>
          <cell r="J55" t="str">
            <v>NA</v>
          </cell>
          <cell r="K55" t="str">
            <v>NA</v>
          </cell>
          <cell r="M55">
            <v>0</v>
          </cell>
          <cell r="T55" t="str">
            <v>NA</v>
          </cell>
          <cell r="U55" t="str">
            <v>NA</v>
          </cell>
        </row>
        <row r="56">
          <cell r="D56" t="str">
            <v>Copper Wire</v>
          </cell>
          <cell r="J56" t="str">
            <v>NA</v>
          </cell>
          <cell r="K56" t="str">
            <v>NA</v>
          </cell>
          <cell r="M56">
            <v>0</v>
          </cell>
          <cell r="T56" t="str">
            <v>NA</v>
          </cell>
          <cell r="U56" t="str">
            <v>NA</v>
          </cell>
        </row>
        <row r="57">
          <cell r="D57" t="str">
            <v>Mixed Metals</v>
          </cell>
          <cell r="J57" t="str">
            <v>NA</v>
          </cell>
          <cell r="K57" t="str">
            <v>NA</v>
          </cell>
          <cell r="M57">
            <v>0</v>
          </cell>
          <cell r="T57" t="str">
            <v>NA</v>
          </cell>
          <cell r="U57" t="str">
            <v>NA</v>
          </cell>
        </row>
        <row r="58">
          <cell r="D58" t="str">
            <v>Glass</v>
          </cell>
          <cell r="J58" t="str">
            <v>NA</v>
          </cell>
          <cell r="K58" t="str">
            <v>NA</v>
          </cell>
          <cell r="M58">
            <v>0</v>
          </cell>
          <cell r="T58" t="str">
            <v>NA</v>
          </cell>
          <cell r="U58" t="str">
            <v>NA</v>
          </cell>
        </row>
        <row r="59">
          <cell r="D59" t="str">
            <v>Asphalt Concrete</v>
          </cell>
          <cell r="I59" t="str">
            <v>NA</v>
          </cell>
          <cell r="J59" t="str">
            <v>NA</v>
          </cell>
          <cell r="K59" t="str">
            <v>NA</v>
          </cell>
          <cell r="M59">
            <v>0</v>
          </cell>
          <cell r="S59" t="str">
            <v>NA</v>
          </cell>
          <cell r="T59" t="str">
            <v>NA</v>
          </cell>
          <cell r="U59" t="str">
            <v>NA</v>
          </cell>
        </row>
        <row r="60">
          <cell r="D60" t="str">
            <v>Asphalt Shingles</v>
          </cell>
          <cell r="J60" t="str">
            <v>NA</v>
          </cell>
          <cell r="K60" t="str">
            <v>NA</v>
          </cell>
          <cell r="M60">
            <v>0</v>
          </cell>
          <cell r="T60" t="str">
            <v>NA</v>
          </cell>
          <cell r="U60" t="str">
            <v>NA</v>
          </cell>
        </row>
        <row r="61">
          <cell r="D61" t="str">
            <v>Carpet</v>
          </cell>
          <cell r="J61" t="str">
            <v>NA</v>
          </cell>
          <cell r="K61" t="str">
            <v>NA</v>
          </cell>
          <cell r="M61">
            <v>0</v>
          </cell>
          <cell r="T61" t="str">
            <v>NA</v>
          </cell>
          <cell r="U61" t="str">
            <v>NA</v>
          </cell>
        </row>
        <row r="62">
          <cell r="D62" t="str">
            <v>Clay Bricks</v>
          </cell>
          <cell r="G62" t="str">
            <v>NA</v>
          </cell>
          <cell r="I62" t="str">
            <v>NA</v>
          </cell>
          <cell r="J62" t="str">
            <v>NA</v>
          </cell>
          <cell r="K62" t="str">
            <v>NA</v>
          </cell>
          <cell r="M62">
            <v>0</v>
          </cell>
          <cell r="Q62" t="str">
            <v>NA</v>
          </cell>
          <cell r="S62" t="str">
            <v>NA</v>
          </cell>
          <cell r="T62" t="str">
            <v>NA</v>
          </cell>
          <cell r="U62" t="str">
            <v>NA</v>
          </cell>
        </row>
        <row r="63">
          <cell r="D63" t="str">
            <v>Concrete</v>
          </cell>
          <cell r="I63" t="str">
            <v>NA</v>
          </cell>
          <cell r="J63" t="str">
            <v>NA</v>
          </cell>
          <cell r="K63" t="str">
            <v>NA</v>
          </cell>
          <cell r="M63">
            <v>0</v>
          </cell>
          <cell r="P63" t="str">
            <v>NA</v>
          </cell>
          <cell r="S63" t="str">
            <v>NA</v>
          </cell>
          <cell r="T63" t="str">
            <v>NA</v>
          </cell>
          <cell r="U63" t="str">
            <v>NA</v>
          </cell>
        </row>
        <row r="64">
          <cell r="D64" t="str">
            <v>Dimensional Lumber*</v>
          </cell>
          <cell r="J64" t="str">
            <v>NA</v>
          </cell>
          <cell r="K64" t="str">
            <v>NA</v>
          </cell>
          <cell r="M64">
            <v>0</v>
          </cell>
          <cell r="T64" t="str">
            <v>NA</v>
          </cell>
          <cell r="U64" t="str">
            <v>NA</v>
          </cell>
        </row>
        <row r="65">
          <cell r="D65" t="str">
            <v>Drywall</v>
          </cell>
          <cell r="I65" t="str">
            <v>NA</v>
          </cell>
          <cell r="J65" t="str">
            <v>NA</v>
          </cell>
          <cell r="K65" t="str">
            <v>NA</v>
          </cell>
          <cell r="M65">
            <v>0</v>
          </cell>
          <cell r="S65" t="str">
            <v>NA</v>
          </cell>
          <cell r="T65" t="str">
            <v>NA</v>
          </cell>
          <cell r="U65" t="str">
            <v>NA</v>
          </cell>
        </row>
        <row r="66">
          <cell r="D66" t="str">
            <v>Fiberglass Insulation</v>
          </cell>
          <cell r="G66" t="str">
            <v>NA</v>
          </cell>
          <cell r="I66" t="str">
            <v>NA</v>
          </cell>
          <cell r="J66" t="str">
            <v>NA</v>
          </cell>
          <cell r="K66" t="str">
            <v>NA</v>
          </cell>
          <cell r="M66">
            <v>0</v>
          </cell>
          <cell r="Q66" t="str">
            <v>NA</v>
          </cell>
          <cell r="S66" t="str">
            <v>NA</v>
          </cell>
          <cell r="T66" t="str">
            <v>NA</v>
          </cell>
          <cell r="U66" t="str">
            <v>NA</v>
          </cell>
        </row>
        <row r="67">
          <cell r="D67" t="str">
            <v>Fly Ash</v>
          </cell>
          <cell r="I67" t="str">
            <v>NA</v>
          </cell>
          <cell r="J67" t="str">
            <v>NA</v>
          </cell>
          <cell r="K67" t="str">
            <v>NA</v>
          </cell>
          <cell r="M67">
            <v>0</v>
          </cell>
          <cell r="P67" t="str">
            <v>NA</v>
          </cell>
          <cell r="S67" t="str">
            <v>NA</v>
          </cell>
          <cell r="T67" t="str">
            <v>NA</v>
          </cell>
          <cell r="U67" t="str">
            <v>NA</v>
          </cell>
        </row>
        <row r="68">
          <cell r="D68" t="str">
            <v>Medium-density Fiberboard</v>
          </cell>
          <cell r="G68" t="str">
            <v>NA</v>
          </cell>
          <cell r="J68" t="str">
            <v>NA</v>
          </cell>
          <cell r="K68" t="str">
            <v>NA</v>
          </cell>
          <cell r="M68">
            <v>0</v>
          </cell>
          <cell r="Q68" t="str">
            <v>NA</v>
          </cell>
          <cell r="T68" t="str">
            <v>NA</v>
          </cell>
          <cell r="U68" t="str">
            <v>NA</v>
          </cell>
        </row>
        <row r="69">
          <cell r="D69" t="str">
            <v>Structural Steel</v>
          </cell>
          <cell r="I69" t="str">
            <v>NA</v>
          </cell>
          <cell r="J69" t="str">
            <v>NA</v>
          </cell>
          <cell r="K69" t="str">
            <v>NA</v>
          </cell>
          <cell r="M69">
            <v>0</v>
          </cell>
          <cell r="S69" t="str">
            <v>NA</v>
          </cell>
          <cell r="T69" t="str">
            <v>NA</v>
          </cell>
          <cell r="U69" t="str">
            <v>NA</v>
          </cell>
        </row>
        <row r="70">
          <cell r="D70" t="str">
            <v>Vinyl Flooring</v>
          </cell>
          <cell r="G70" t="str">
            <v>NA</v>
          </cell>
          <cell r="J70" t="str">
            <v>NA</v>
          </cell>
          <cell r="K70" t="str">
            <v>NA</v>
          </cell>
          <cell r="M70">
            <v>0</v>
          </cell>
          <cell r="Q70" t="str">
            <v>NA</v>
          </cell>
          <cell r="T70" t="str">
            <v>NA</v>
          </cell>
          <cell r="U70" t="str">
            <v>NA</v>
          </cell>
        </row>
        <row r="71">
          <cell r="D71" t="str">
            <v>Wood Flooring*</v>
          </cell>
          <cell r="J71" t="str">
            <v>NA</v>
          </cell>
          <cell r="K71" t="str">
            <v>NA</v>
          </cell>
          <cell r="M71">
            <v>0</v>
          </cell>
          <cell r="T71" t="str">
            <v>NA</v>
          </cell>
          <cell r="U71" t="str">
            <v>NA</v>
          </cell>
        </row>
        <row r="72">
          <cell r="D72" t="str">
            <v>Tires</v>
          </cell>
          <cell r="J72" t="str">
            <v>NA</v>
          </cell>
          <cell r="K72" t="str">
            <v>NA</v>
          </cell>
          <cell r="M72">
            <v>0</v>
          </cell>
          <cell r="T72" t="str">
            <v>NA</v>
          </cell>
          <cell r="U72" t="str">
            <v>NA</v>
          </cell>
        </row>
        <row r="73">
          <cell r="D73" t="str">
            <v>Mixed Recyclables</v>
          </cell>
          <cell r="J73" t="str">
            <v>NA</v>
          </cell>
          <cell r="K73" t="str">
            <v>NA</v>
          </cell>
          <cell r="M73">
            <v>0</v>
          </cell>
          <cell r="P73" t="str">
            <v>NA</v>
          </cell>
          <cell r="T73" t="str">
            <v>NA</v>
          </cell>
          <cell r="U73" t="str">
            <v>NA</v>
          </cell>
        </row>
        <row r="74">
          <cell r="D74" t="str">
            <v>Mixed Organics</v>
          </cell>
          <cell r="G74" t="str">
            <v>NA</v>
          </cell>
          <cell r="M74">
            <v>0</v>
          </cell>
          <cell r="P74" t="str">
            <v>NA</v>
          </cell>
          <cell r="Q74" t="str">
            <v>NA</v>
          </cell>
        </row>
        <row r="75">
          <cell r="D75" t="str">
            <v>Mixed MSW</v>
          </cell>
          <cell r="G75" t="str">
            <v>NA</v>
          </cell>
          <cell r="J75" t="str">
            <v>NA</v>
          </cell>
          <cell r="K75" t="str">
            <v>NA</v>
          </cell>
          <cell r="M75">
            <v>0</v>
          </cell>
          <cell r="P75" t="str">
            <v>NA</v>
          </cell>
          <cell r="Q75" t="str">
            <v>NA</v>
          </cell>
          <cell r="T75" t="str">
            <v>NA</v>
          </cell>
          <cell r="U75" t="str">
            <v>NA</v>
          </cell>
        </row>
        <row r="154">
          <cell r="N154">
            <v>2</v>
          </cell>
        </row>
        <row r="158">
          <cell r="N158">
            <v>4</v>
          </cell>
        </row>
        <row r="164">
          <cell r="N164">
            <v>1</v>
          </cell>
        </row>
      </sheetData>
      <sheetData sheetId="2">
        <row r="1">
          <cell r="A1" t="str">
            <v>Material</v>
          </cell>
          <cell r="B1" t="str">
            <v>Source Reduction: Current Mix or 100% Virgin</v>
          </cell>
          <cell r="C1" t="str">
            <v>Recycling of Post-Consumer Material: Default or Customized Transportation Distance</v>
          </cell>
          <cell r="D1" t="str">
            <v>Landfilling of Post-Consumer Material: Recovery Assumptions</v>
          </cell>
          <cell r="E1" t="str">
            <v>Landfilling, National Average: Default or Customized Transportation Distance</v>
          </cell>
          <cell r="F1" t="str">
            <v>Landfilling, No Recovery: Default or Customized Transportation Distance</v>
          </cell>
          <cell r="G1" t="str">
            <v>Landfilling, Flaring: Default or Customized System Collection Efficiency &amp; Transportation Distance</v>
          </cell>
          <cell r="H1" t="str">
            <v>Landfilling, Energy Recovery: Default or Customized System Collection Efficiency &amp; Transportation Distance</v>
          </cell>
          <cell r="I1" t="str">
            <v>Combustion</v>
          </cell>
          <cell r="J1" t="str">
            <v>Composting</v>
          </cell>
          <cell r="K1" t="str">
            <v xml:space="preserve">Wet Digestion with Curing </v>
          </cell>
          <cell r="L1" t="str">
            <v>Wet Digestion Direct Application</v>
          </cell>
          <cell r="M1" t="str">
            <v xml:space="preserve">Dry Digestion with Curing </v>
          </cell>
          <cell r="N1" t="str">
            <v>Dry Digestion Direct Application</v>
          </cell>
          <cell r="O1" t="str">
            <v>Landfill gas collection efficiency based on user input</v>
          </cell>
          <cell r="P1" t="str">
            <v>Avoided Utility for combustion pathway (MTCO2E/Ton combusted)</v>
          </cell>
          <cell r="Q1" t="str">
            <v>Ratio of MTCO2E avoided utility C per MTCO2E CH4 for landfill pathway</v>
          </cell>
        </row>
        <row r="2">
          <cell r="A2" t="str">
            <v>Aluminum Cans</v>
          </cell>
          <cell r="B2">
            <v>-4.799452726904927</v>
          </cell>
          <cell r="C2">
            <v>-9.1273781621056216</v>
          </cell>
          <cell r="D2">
            <v>2.0254519141196047E-2</v>
          </cell>
          <cell r="E2">
            <v>2.0254519141196047E-2</v>
          </cell>
          <cell r="F2">
            <v>2.0254519141196047E-2</v>
          </cell>
          <cell r="G2">
            <v>2.0254519141196047E-2</v>
          </cell>
          <cell r="H2">
            <v>2.0254519141196047E-2</v>
          </cell>
          <cell r="I2">
            <v>3.4432220545025718E-2</v>
          </cell>
          <cell r="J2" t="str">
            <v>NA</v>
          </cell>
          <cell r="K2" t="str">
            <v>NA</v>
          </cell>
          <cell r="L2" t="str">
            <v>NA</v>
          </cell>
          <cell r="M2" t="str">
            <v>NA</v>
          </cell>
          <cell r="N2" t="str">
            <v>NA</v>
          </cell>
          <cell r="O2" t="str">
            <v>--</v>
          </cell>
          <cell r="P2">
            <v>2.5432810862966629E-2</v>
          </cell>
          <cell r="Q2">
            <v>0.10682596783875441</v>
          </cell>
        </row>
        <row r="3">
          <cell r="A3" t="str">
            <v>Steel Cans</v>
          </cell>
          <cell r="B3">
            <v>-3.0274716623608411</v>
          </cell>
          <cell r="C3">
            <v>-1.8320754180112897</v>
          </cell>
          <cell r="D3">
            <v>2.0254519141196047E-2</v>
          </cell>
          <cell r="E3">
            <v>2.0254519141196047E-2</v>
          </cell>
          <cell r="F3">
            <v>2.0254519141196047E-2</v>
          </cell>
          <cell r="G3">
            <v>2.0254519141196047E-2</v>
          </cell>
          <cell r="H3">
            <v>2.0254519141196047E-2</v>
          </cell>
          <cell r="I3">
            <v>-1.5909481529405463</v>
          </cell>
          <cell r="J3" t="str">
            <v>NA</v>
          </cell>
          <cell r="K3" t="str">
            <v>NA</v>
          </cell>
          <cell r="L3" t="str">
            <v>NA</v>
          </cell>
          <cell r="M3" t="str">
            <v>NA</v>
          </cell>
          <cell r="N3" t="str">
            <v>NA</v>
          </cell>
          <cell r="O3" t="str">
            <v>--</v>
          </cell>
          <cell r="P3">
            <v>1.5942956063352214E-2</v>
          </cell>
          <cell r="Q3">
            <v>0.10682596783875441</v>
          </cell>
        </row>
        <row r="4">
          <cell r="A4" t="str">
            <v>Copper Wire</v>
          </cell>
          <cell r="B4">
            <v>-6.7219289919592509</v>
          </cell>
          <cell r="C4">
            <v>-4.4888284917503007</v>
          </cell>
          <cell r="D4">
            <v>2.0254519141196047E-2</v>
          </cell>
          <cell r="E4">
            <v>2.0254519141196047E-2</v>
          </cell>
          <cell r="F4">
            <v>2.0254519141196047E-2</v>
          </cell>
          <cell r="G4">
            <v>2.0254519141196047E-2</v>
          </cell>
          <cell r="H4">
            <v>2.0254519141196047E-2</v>
          </cell>
          <cell r="I4">
            <v>2.9687293145218514E-2</v>
          </cell>
          <cell r="J4" t="str">
            <v>NA</v>
          </cell>
          <cell r="K4" t="str">
            <v>NA</v>
          </cell>
          <cell r="L4" t="str">
            <v>NA</v>
          </cell>
          <cell r="M4" t="str">
            <v>NA</v>
          </cell>
          <cell r="N4" t="str">
            <v>NA</v>
          </cell>
          <cell r="O4" t="str">
            <v>--</v>
          </cell>
          <cell r="P4">
            <v>2.0687883463159421E-2</v>
          </cell>
          <cell r="Q4">
            <v>0.10682596783875441</v>
          </cell>
        </row>
        <row r="5">
          <cell r="A5" t="str">
            <v>Glass</v>
          </cell>
          <cell r="B5">
            <v>-0.53082087431688396</v>
          </cell>
          <cell r="C5">
            <v>-0.2760901764592596</v>
          </cell>
          <cell r="D5">
            <v>2.0254519141196047E-2</v>
          </cell>
          <cell r="E5">
            <v>2.0254519141196047E-2</v>
          </cell>
          <cell r="F5">
            <v>2.0254519141196047E-2</v>
          </cell>
          <cell r="G5">
            <v>2.0254519141196047E-2</v>
          </cell>
          <cell r="H5">
            <v>2.0254519141196047E-2</v>
          </cell>
          <cell r="I5">
            <v>2.684033670533419E-2</v>
          </cell>
          <cell r="J5" t="str">
            <v>NA</v>
          </cell>
          <cell r="K5" t="str">
            <v>NA</v>
          </cell>
          <cell r="L5" t="str">
            <v>NA</v>
          </cell>
          <cell r="M5" t="str">
            <v>NA</v>
          </cell>
          <cell r="N5" t="str">
            <v>NA</v>
          </cell>
          <cell r="O5" t="str">
            <v>--</v>
          </cell>
          <cell r="P5">
            <v>1.7840927023275097E-2</v>
          </cell>
          <cell r="Q5">
            <v>0.10682596783875441</v>
          </cell>
        </row>
        <row r="6">
          <cell r="A6" t="str">
            <v>HDPE</v>
          </cell>
          <cell r="B6">
            <v>-1.4192980914359248</v>
          </cell>
          <cell r="C6">
            <v>-0.75845019481932519</v>
          </cell>
          <cell r="D6">
            <v>2.0254519141196047E-2</v>
          </cell>
          <cell r="E6">
            <v>2.0254519141196047E-2</v>
          </cell>
          <cell r="F6">
            <v>2.0254519141196047E-2</v>
          </cell>
          <cell r="G6">
            <v>2.0254519141196047E-2</v>
          </cell>
          <cell r="H6">
            <v>2.0254519141196047E-2</v>
          </cell>
          <cell r="I6">
            <v>1.2859190946453891</v>
          </cell>
          <cell r="J6" t="str">
            <v>NA</v>
          </cell>
          <cell r="K6" t="str">
            <v>NA</v>
          </cell>
          <cell r="L6" t="str">
            <v>NA</v>
          </cell>
          <cell r="M6" t="str">
            <v>NA</v>
          </cell>
          <cell r="N6" t="str">
            <v>NA</v>
          </cell>
          <cell r="O6" t="str">
            <v>--</v>
          </cell>
          <cell r="P6">
            <v>-1.5172379853623523</v>
          </cell>
          <cell r="Q6">
            <v>0.10682596783875441</v>
          </cell>
        </row>
        <row r="7">
          <cell r="A7" t="str">
            <v>LDPE</v>
          </cell>
          <cell r="B7">
            <v>-1.7955085787455409</v>
          </cell>
          <cell r="C7" t="str">
            <v>NA</v>
          </cell>
          <cell r="D7">
            <v>2.0254519141196047E-2</v>
          </cell>
          <cell r="E7">
            <v>2.0254519141196047E-2</v>
          </cell>
          <cell r="F7">
            <v>2.0254519141196047E-2</v>
          </cell>
          <cell r="G7">
            <v>2.0254519141196047E-2</v>
          </cell>
          <cell r="H7">
            <v>2.0254519141196047E-2</v>
          </cell>
          <cell r="I7">
            <v>1.294118329192256</v>
          </cell>
          <cell r="J7" t="str">
            <v>NA</v>
          </cell>
          <cell r="K7" t="str">
            <v>NA</v>
          </cell>
          <cell r="L7" t="str">
            <v>NA</v>
          </cell>
          <cell r="M7" t="str">
            <v>NA</v>
          </cell>
          <cell r="N7" t="str">
            <v>NA</v>
          </cell>
          <cell r="O7" t="str">
            <v>--</v>
          </cell>
          <cell r="P7">
            <v>-1.5090387508154854</v>
          </cell>
          <cell r="Q7">
            <v>0.10682596783875441</v>
          </cell>
        </row>
        <row r="8">
          <cell r="A8" t="str">
            <v>PET</v>
          </cell>
          <cell r="B8">
            <v>-2.1729152901086737</v>
          </cell>
          <cell r="C8">
            <v>-1.0357206316437553</v>
          </cell>
          <cell r="D8">
            <v>2.0254519141196047E-2</v>
          </cell>
          <cell r="E8">
            <v>2.0254519141196047E-2</v>
          </cell>
          <cell r="F8">
            <v>2.0254519141196047E-2</v>
          </cell>
          <cell r="G8">
            <v>2.0254519141196047E-2</v>
          </cell>
          <cell r="H8">
            <v>2.0254519141196047E-2</v>
          </cell>
          <cell r="I8">
            <v>1.2416663572872335</v>
          </cell>
          <cell r="J8" t="str">
            <v>NA</v>
          </cell>
          <cell r="K8" t="str">
            <v>NA</v>
          </cell>
          <cell r="L8" t="str">
            <v>NA</v>
          </cell>
          <cell r="M8" t="str">
            <v>NA</v>
          </cell>
          <cell r="N8" t="str">
            <v>NA</v>
          </cell>
          <cell r="O8" t="str">
            <v>--</v>
          </cell>
          <cell r="P8">
            <v>-0.80473968700730225</v>
          </cell>
          <cell r="Q8">
            <v>0.10682596783875441</v>
          </cell>
        </row>
        <row r="9">
          <cell r="A9" t="str">
            <v>Corrugated Containers</v>
          </cell>
          <cell r="B9">
            <v>-5.5752083160829438</v>
          </cell>
          <cell r="C9">
            <v>-3.1353369086789917</v>
          </cell>
          <cell r="D9">
            <v>0.18162984857485934</v>
          </cell>
          <cell r="E9">
            <v>0.18162984857485934</v>
          </cell>
          <cell r="F9">
            <v>1.6634715021436628</v>
          </cell>
          <cell r="G9">
            <v>0.44665125308099551</v>
          </cell>
          <cell r="H9">
            <v>-9.7719669002345577E-2</v>
          </cell>
          <cell r="I9">
            <v>-0.48903030248074875</v>
          </cell>
          <cell r="J9" t="str">
            <v>NA</v>
          </cell>
          <cell r="K9" t="str">
            <v>NA</v>
          </cell>
          <cell r="L9" t="str">
            <v>NA</v>
          </cell>
          <cell r="M9" t="str">
            <v>NA</v>
          </cell>
          <cell r="N9" t="str">
            <v>NA</v>
          </cell>
          <cell r="O9">
            <v>0.56183941976614793</v>
          </cell>
          <cell r="P9">
            <v>-0.53469637882947452</v>
          </cell>
          <cell r="Q9">
            <v>0.10682596783875441</v>
          </cell>
        </row>
        <row r="10">
          <cell r="A10" t="str">
            <v>Magazines/third-class mail</v>
          </cell>
          <cell r="B10">
            <v>-8.5662288958060273</v>
          </cell>
          <cell r="C10">
            <v>-3.0696999395965698</v>
          </cell>
          <cell r="D10">
            <v>-0.42684420939886758</v>
          </cell>
          <cell r="E10">
            <v>-0.42684420939886758</v>
          </cell>
          <cell r="F10">
            <v>0.24852403935782544</v>
          </cell>
          <cell r="G10">
            <v>-0.36989396963564486</v>
          </cell>
          <cell r="H10">
            <v>-0.52962773043112066</v>
          </cell>
          <cell r="I10">
            <v>-0.3535151759422549</v>
          </cell>
          <cell r="J10" t="str">
            <v>NA</v>
          </cell>
          <cell r="K10" t="str">
            <v>NA</v>
          </cell>
          <cell r="L10" t="str">
            <v>NA</v>
          </cell>
          <cell r="M10" t="str">
            <v>NA</v>
          </cell>
          <cell r="N10" t="str">
            <v>NA</v>
          </cell>
          <cell r="O10">
            <v>0.53654881762944973</v>
          </cell>
          <cell r="P10">
            <v>-0.39918125229098067</v>
          </cell>
          <cell r="Q10">
            <v>0.10682596783875441</v>
          </cell>
        </row>
        <row r="11">
          <cell r="A11" t="str">
            <v>Newspaper</v>
          </cell>
          <cell r="B11">
            <v>-4.6772365260279951</v>
          </cell>
          <cell r="C11">
            <v>-2.70827152821093</v>
          </cell>
          <cell r="D11">
            <v>-0.84613881483919107</v>
          </cell>
          <cell r="E11">
            <v>-0.84613881483919107</v>
          </cell>
          <cell r="F11">
            <v>-0.23072721102720414</v>
          </cell>
          <cell r="G11">
            <v>-0.74591085695389259</v>
          </cell>
          <cell r="H11">
            <v>-0.9583730651462925</v>
          </cell>
          <cell r="I11">
            <v>-0.55788868890675092</v>
          </cell>
          <cell r="J11" t="str">
            <v>NA</v>
          </cell>
          <cell r="K11" t="str">
            <v>NA</v>
          </cell>
          <cell r="L11" t="str">
            <v>NA</v>
          </cell>
          <cell r="M11" t="str">
            <v>NA</v>
          </cell>
          <cell r="N11" t="str">
            <v>NA</v>
          </cell>
          <cell r="O11">
            <v>0.59254687177708976</v>
          </cell>
          <cell r="P11">
            <v>-0.60355476525547669</v>
          </cell>
          <cell r="Q11">
            <v>0.10682596783875441</v>
          </cell>
        </row>
        <row r="12">
          <cell r="A12" t="str">
            <v>Office Paper</v>
          </cell>
          <cell r="B12">
            <v>-7.9489589921669603</v>
          </cell>
          <cell r="C12">
            <v>-2.8637458899895774</v>
          </cell>
          <cell r="D12">
            <v>1.1338746968208027</v>
          </cell>
          <cell r="E12">
            <v>1.1338746968208027</v>
          </cell>
          <cell r="F12">
            <v>3.3978061204317305</v>
          </cell>
          <cell r="G12">
            <v>1.5139729523196255</v>
          </cell>
          <cell r="H12">
            <v>0.71661929653273282</v>
          </cell>
          <cell r="I12">
            <v>-0.47058202475029831</v>
          </cell>
          <cell r="J12" t="str">
            <v>NA</v>
          </cell>
          <cell r="K12" t="str">
            <v>NA</v>
          </cell>
          <cell r="L12" t="str">
            <v>NA</v>
          </cell>
          <cell r="M12" t="str">
            <v>NA</v>
          </cell>
          <cell r="N12" t="str">
            <v>NA</v>
          </cell>
          <cell r="O12">
            <v>0.5862330883873319</v>
          </cell>
          <cell r="P12">
            <v>-0.51624810109902408</v>
          </cell>
          <cell r="Q12">
            <v>0.10682596783875441</v>
          </cell>
        </row>
        <row r="13">
          <cell r="A13" t="str">
            <v>Phonebooks</v>
          </cell>
          <cell r="B13">
            <v>-6.1650826358897923</v>
          </cell>
          <cell r="C13">
            <v>-2.6222802143476724</v>
          </cell>
          <cell r="D13">
            <v>-0.84613881483919107</v>
          </cell>
          <cell r="E13">
            <v>-0.84613881483919107</v>
          </cell>
          <cell r="F13">
            <v>-0.23072721102720414</v>
          </cell>
          <cell r="G13">
            <v>-0.74591085695389259</v>
          </cell>
          <cell r="H13">
            <v>-0.9583730651462925</v>
          </cell>
          <cell r="I13">
            <v>-0.55788868890675092</v>
          </cell>
          <cell r="J13" t="str">
            <v>NA</v>
          </cell>
          <cell r="K13" t="str">
            <v>NA</v>
          </cell>
          <cell r="L13" t="str">
            <v>NA</v>
          </cell>
          <cell r="M13" t="str">
            <v>NA</v>
          </cell>
          <cell r="N13" t="str">
            <v>NA</v>
          </cell>
          <cell r="O13">
            <v>0.59254687177708976</v>
          </cell>
          <cell r="P13">
            <v>-0.60355476525547669</v>
          </cell>
          <cell r="Q13">
            <v>0.10682596783875441</v>
          </cell>
        </row>
        <row r="14">
          <cell r="A14" t="str">
            <v>Textbooks</v>
          </cell>
          <cell r="B14">
            <v>-9.0237639267157572</v>
          </cell>
          <cell r="C14">
            <v>-3.1044786327343226</v>
          </cell>
          <cell r="D14">
            <v>1.1338746968208027</v>
          </cell>
          <cell r="E14">
            <v>1.1338746968208027</v>
          </cell>
          <cell r="F14">
            <v>3.3978061204317305</v>
          </cell>
          <cell r="G14">
            <v>1.5139729523196255</v>
          </cell>
          <cell r="H14">
            <v>0.71661929653273282</v>
          </cell>
          <cell r="I14">
            <v>-0.47058202475029831</v>
          </cell>
          <cell r="J14" t="str">
            <v>NA</v>
          </cell>
          <cell r="K14" t="str">
            <v>NA</v>
          </cell>
          <cell r="L14" t="str">
            <v>NA</v>
          </cell>
          <cell r="M14" t="str">
            <v>NA</v>
          </cell>
          <cell r="N14" t="str">
            <v>NA</v>
          </cell>
          <cell r="O14">
            <v>0.5862330883873319</v>
          </cell>
          <cell r="P14">
            <v>-0.51624810109902408</v>
          </cell>
          <cell r="Q14">
            <v>0.10682596783875441</v>
          </cell>
        </row>
        <row r="15">
          <cell r="A15" t="str">
            <v>Dimensional Lumber</v>
          </cell>
          <cell r="B15">
            <v>-2.1129433194407268</v>
          </cell>
          <cell r="C15">
            <v>-1.6595759283861717</v>
          </cell>
          <cell r="D15">
            <v>-0.92340796891716337</v>
          </cell>
          <cell r="E15">
            <v>-0.92340796891716337</v>
          </cell>
          <cell r="F15">
            <v>-0.91931617608588745</v>
          </cell>
          <cell r="G15">
            <v>-1.0063227353991218</v>
          </cell>
          <cell r="H15">
            <v>-1.0330935503798786</v>
          </cell>
          <cell r="I15">
            <v>-0.58446028234567138</v>
          </cell>
          <cell r="J15" t="str">
            <v>NA</v>
          </cell>
          <cell r="K15" t="str">
            <v>NA</v>
          </cell>
          <cell r="L15" t="str">
            <v>NA</v>
          </cell>
          <cell r="M15" t="str">
            <v>NA</v>
          </cell>
          <cell r="N15" t="str">
            <v>NA</v>
          </cell>
          <cell r="O15">
            <v>0.57678878295939606</v>
          </cell>
          <cell r="P15">
            <v>-0.63012635869439715</v>
          </cell>
          <cell r="Q15">
            <v>0.10682596783875441</v>
          </cell>
        </row>
        <row r="16">
          <cell r="A16" t="str">
            <v>Medium-density Fiberboard</v>
          </cell>
          <cell r="B16">
            <v>-3.0454111003886863</v>
          </cell>
          <cell r="C16" t="str">
            <v>NA</v>
          </cell>
          <cell r="D16">
            <v>-0.8538867821502174</v>
          </cell>
          <cell r="E16">
            <v>-0.8538867821502174</v>
          </cell>
          <cell r="F16">
            <v>-0.85250579992130393</v>
          </cell>
          <cell r="G16">
            <v>-0.88154507312554509</v>
          </cell>
          <cell r="H16">
            <v>-0.89137451588026095</v>
          </cell>
          <cell r="I16">
            <v>-0.58446028234567138</v>
          </cell>
          <cell r="J16" t="str">
            <v>NA</v>
          </cell>
          <cell r="K16" t="str">
            <v>NA</v>
          </cell>
          <cell r="L16" t="str">
            <v>NA</v>
          </cell>
          <cell r="M16" t="str">
            <v>NA</v>
          </cell>
          <cell r="N16" t="str">
            <v>NA</v>
          </cell>
          <cell r="O16">
            <v>0.59235143357917641</v>
          </cell>
          <cell r="P16">
            <v>-0.63012635869439715</v>
          </cell>
          <cell r="Q16">
            <v>0.10682596783875441</v>
          </cell>
        </row>
        <row r="17">
          <cell r="A17" t="str">
            <v>Structural Steel</v>
          </cell>
          <cell r="B17">
            <v>-1.6682402580960147</v>
          </cell>
          <cell r="C17">
            <v>-1.9288102239875635</v>
          </cell>
          <cell r="D17">
            <v>2.0254519141196047E-2</v>
          </cell>
          <cell r="E17">
            <v>2.0254519141196047E-2</v>
          </cell>
          <cell r="F17">
            <v>2.0254519141196047E-2</v>
          </cell>
          <cell r="G17">
            <v>2.0254519141196047E-2</v>
          </cell>
          <cell r="H17">
            <v>2.0254519141196047E-2</v>
          </cell>
          <cell r="I17" t="str">
            <v>NA</v>
          </cell>
          <cell r="J17" t="str">
            <v>NA</v>
          </cell>
          <cell r="K17" t="str">
            <v>NA</v>
          </cell>
          <cell r="L17" t="str">
            <v>NA</v>
          </cell>
          <cell r="M17" t="str">
            <v>NA</v>
          </cell>
          <cell r="N17" t="str">
            <v>NA</v>
          </cell>
          <cell r="O17" t="str">
            <v>--</v>
          </cell>
          <cell r="P17" t="str">
            <v>NA</v>
          </cell>
          <cell r="Q17">
            <v>0.10682596783875441</v>
          </cell>
        </row>
        <row r="18">
          <cell r="A18" t="str">
            <v>Food Waste</v>
          </cell>
          <cell r="B18">
            <v>-3.6597480795437827</v>
          </cell>
          <cell r="C18" t="str">
            <v>NA</v>
          </cell>
          <cell r="D18">
            <v>0.50146223402798329</v>
          </cell>
          <cell r="E18">
            <v>0.50146223402798329</v>
          </cell>
          <cell r="F18">
            <v>1.4515126160178209</v>
          </cell>
          <cell r="G18">
            <v>0.57131719201222442</v>
          </cell>
          <cell r="H18">
            <v>0.36081740380599037</v>
          </cell>
          <cell r="I18">
            <v>-0.13426157065196354</v>
          </cell>
          <cell r="J18">
            <v>-0.15213492335194001</v>
          </cell>
          <cell r="K18">
            <v>-8.0166271216236318E-2</v>
          </cell>
          <cell r="L18">
            <v>-0.15914617040393822</v>
          </cell>
          <cell r="M18">
            <v>-4.166706810201283E-2</v>
          </cell>
          <cell r="N18">
            <v>-9.8804536091628176E-2</v>
          </cell>
          <cell r="O18">
            <v>0.51578569694278531</v>
          </cell>
          <cell r="P18">
            <v>-0.17992764700068928</v>
          </cell>
          <cell r="Q18">
            <v>0.10682596783875441</v>
          </cell>
        </row>
        <row r="19">
          <cell r="A19" t="str">
            <v>Food Waste (non-meat)</v>
          </cell>
          <cell r="B19">
            <v>-0.76105208909505295</v>
          </cell>
          <cell r="C19" t="str">
            <v>NA</v>
          </cell>
          <cell r="D19">
            <v>0.50208695685235794</v>
          </cell>
          <cell r="E19">
            <v>0.50208695685235794</v>
          </cell>
          <cell r="F19">
            <v>1.439935254579515</v>
          </cell>
          <cell r="G19">
            <v>0.5710447244352812</v>
          </cell>
          <cell r="H19">
            <v>0.3632485151146102</v>
          </cell>
          <cell r="I19">
            <v>-0.13426157065196354</v>
          </cell>
          <cell r="J19">
            <v>-0.15213492335194001</v>
          </cell>
          <cell r="K19">
            <v>-8.0166271216236318E-2</v>
          </cell>
          <cell r="L19">
            <v>-0.15914617040393822</v>
          </cell>
          <cell r="M19">
            <v>-4.166706810201283E-2</v>
          </cell>
          <cell r="N19">
            <v>-9.8804536091628176E-2</v>
          </cell>
          <cell r="O19">
            <v>0.51578569694278531</v>
          </cell>
          <cell r="P19">
            <v>-0.17992764700068928</v>
          </cell>
          <cell r="Q19">
            <v>0.10682596783875441</v>
          </cell>
        </row>
        <row r="20">
          <cell r="A20" t="str">
            <v>Food Waste (meat only)</v>
          </cell>
          <cell r="B20">
            <v>-15.102290225561314</v>
          </cell>
          <cell r="C20" t="str">
            <v>NA</v>
          </cell>
          <cell r="D20">
            <v>0.46339271526250747</v>
          </cell>
          <cell r="E20">
            <v>0.46339271526250747</v>
          </cell>
          <cell r="F20">
            <v>1.4280981562569797</v>
          </cell>
          <cell r="G20">
            <v>0.53432522508024316</v>
          </cell>
          <cell r="H20">
            <v>0.32057835979777627</v>
          </cell>
          <cell r="I20">
            <v>-0.13426157065196354</v>
          </cell>
          <cell r="J20">
            <v>-0.15213492335194001</v>
          </cell>
          <cell r="K20">
            <v>-8.0166271216236318E-2</v>
          </cell>
          <cell r="L20">
            <v>-0.15914617040393822</v>
          </cell>
          <cell r="M20">
            <v>-4.166706810201283E-2</v>
          </cell>
          <cell r="N20">
            <v>-9.8804536091628176E-2</v>
          </cell>
          <cell r="O20">
            <v>0.51578569694278531</v>
          </cell>
          <cell r="P20">
            <v>-0.17992764700068928</v>
          </cell>
          <cell r="Q20">
            <v>0.10682596783875441</v>
          </cell>
        </row>
        <row r="21">
          <cell r="A21" t="str">
            <v>Beef</v>
          </cell>
          <cell r="B21">
            <v>-30.086331335537999</v>
          </cell>
          <cell r="C21" t="str">
            <v>NA</v>
          </cell>
          <cell r="D21">
            <v>0.43044266593233688</v>
          </cell>
          <cell r="E21">
            <v>0.43044266593233688</v>
          </cell>
          <cell r="F21">
            <v>1.3234163263037959</v>
          </cell>
          <cell r="G21">
            <v>0.4961009075464638</v>
          </cell>
          <cell r="H21">
            <v>0.29824743583032032</v>
          </cell>
          <cell r="I21">
            <v>-0.13426157065196354</v>
          </cell>
          <cell r="J21">
            <v>-0.15213492335194001</v>
          </cell>
          <cell r="K21">
            <v>-8.0166271216236318E-2</v>
          </cell>
          <cell r="L21">
            <v>-0.15914617040393822</v>
          </cell>
          <cell r="M21">
            <v>-4.166706810201283E-2</v>
          </cell>
          <cell r="N21">
            <v>-9.8804536091628176E-2</v>
          </cell>
          <cell r="O21">
            <v>0.51578569694278531</v>
          </cell>
          <cell r="P21">
            <v>-0.17992764700068928</v>
          </cell>
          <cell r="Q21">
            <v>0.10682596783875441</v>
          </cell>
        </row>
        <row r="22">
          <cell r="A22" t="str">
            <v>Poultry</v>
          </cell>
          <cell r="B22">
            <v>-2.4517925725092473</v>
          </cell>
          <cell r="C22" t="str">
            <v>NA</v>
          </cell>
          <cell r="D22">
            <v>0.49121128027176508</v>
          </cell>
          <cell r="E22">
            <v>0.49121128027176508</v>
          </cell>
          <cell r="F22">
            <v>1.5164773347723293</v>
          </cell>
          <cell r="G22">
            <v>0.56659666879168868</v>
          </cell>
          <cell r="H22">
            <v>0.33943157163611648</v>
          </cell>
          <cell r="I22">
            <v>-0.13426157065196354</v>
          </cell>
          <cell r="J22">
            <v>-0.15213492335194001</v>
          </cell>
          <cell r="K22">
            <v>-8.0166271216236318E-2</v>
          </cell>
          <cell r="L22">
            <v>-0.15914617040393822</v>
          </cell>
          <cell r="M22">
            <v>-4.166706810201283E-2</v>
          </cell>
          <cell r="N22">
            <v>-9.8804536091628176E-2</v>
          </cell>
          <cell r="O22">
            <v>0.51578569694278531</v>
          </cell>
          <cell r="P22">
            <v>-0.17992764700068928</v>
          </cell>
          <cell r="Q22">
            <v>0.10682596783875441</v>
          </cell>
        </row>
        <row r="23">
          <cell r="A23" t="str">
            <v>Grains</v>
          </cell>
          <cell r="B23">
            <v>-0.62121804200504194</v>
          </cell>
          <cell r="C23" t="str">
            <v>NA</v>
          </cell>
          <cell r="D23">
            <v>1.373269084702389</v>
          </cell>
          <cell r="E23">
            <v>1.373269084702389</v>
          </cell>
          <cell r="F23">
            <v>4.3187622165657817</v>
          </cell>
          <cell r="G23">
            <v>1.5898442294207553</v>
          </cell>
          <cell r="H23">
            <v>0.93722022950030404</v>
          </cell>
          <cell r="I23">
            <v>-0.13426157065196354</v>
          </cell>
          <cell r="J23">
            <v>-0.15213492335194001</v>
          </cell>
          <cell r="K23">
            <v>-8.0166271216236318E-2</v>
          </cell>
          <cell r="L23">
            <v>-0.15914617040393822</v>
          </cell>
          <cell r="M23">
            <v>-4.166706810201283E-2</v>
          </cell>
          <cell r="N23">
            <v>-9.8804536091628176E-2</v>
          </cell>
          <cell r="O23">
            <v>0.51578569694278531</v>
          </cell>
          <cell r="P23">
            <v>-0.17992764700068928</v>
          </cell>
          <cell r="Q23">
            <v>0.10682596783875441</v>
          </cell>
        </row>
        <row r="24">
          <cell r="A24" t="str">
            <v>Bread</v>
          </cell>
          <cell r="B24">
            <v>-0.6575061385044213</v>
          </cell>
          <cell r="C24" t="str">
            <v>NA</v>
          </cell>
          <cell r="D24">
            <v>0.99255234857204844</v>
          </cell>
          <cell r="E24">
            <v>0.99255234857204844</v>
          </cell>
          <cell r="F24">
            <v>3.1092306546377291</v>
          </cell>
          <cell r="G24">
            <v>1.1481866990647938</v>
          </cell>
          <cell r="H24">
            <v>0.67920069203393529</v>
          </cell>
          <cell r="I24">
            <v>-0.13426157065196354</v>
          </cell>
          <cell r="J24">
            <v>-0.15213492335194001</v>
          </cell>
          <cell r="K24">
            <v>-8.0166271216236318E-2</v>
          </cell>
          <cell r="L24">
            <v>-0.15914617040393822</v>
          </cell>
          <cell r="M24">
            <v>-4.166706810201283E-2</v>
          </cell>
          <cell r="N24">
            <v>-9.8804536091628176E-2</v>
          </cell>
          <cell r="O24">
            <v>0.51578569694278531</v>
          </cell>
          <cell r="P24">
            <v>-0.17992764700068928</v>
          </cell>
          <cell r="Q24">
            <v>0.10682596783875441</v>
          </cell>
        </row>
        <row r="25">
          <cell r="A25" t="str">
            <v>Fruits and Vegetables</v>
          </cell>
          <cell r="B25">
            <v>-0.44108924773101815</v>
          </cell>
          <cell r="C25" t="str">
            <v>NA</v>
          </cell>
          <cell r="D25">
            <v>0.228626887119319</v>
          </cell>
          <cell r="E25">
            <v>0.228626887119319</v>
          </cell>
          <cell r="F25">
            <v>0.60896752024049594</v>
          </cell>
          <cell r="G25">
            <v>0.25659243447348412</v>
          </cell>
          <cell r="H25">
            <v>0.17232151133512677</v>
          </cell>
          <cell r="I25">
            <v>-0.13426157065196354</v>
          </cell>
          <cell r="J25">
            <v>-0.15213492335194001</v>
          </cell>
          <cell r="K25">
            <v>-8.0166271216236318E-2</v>
          </cell>
          <cell r="L25">
            <v>-0.15914617040393822</v>
          </cell>
          <cell r="M25">
            <v>-4.166706810201283E-2</v>
          </cell>
          <cell r="N25">
            <v>-9.8804536091628176E-2</v>
          </cell>
          <cell r="O25">
            <v>0.51578569694278531</v>
          </cell>
          <cell r="P25">
            <v>-0.17992764700068928</v>
          </cell>
          <cell r="Q25">
            <v>0.10682596783875441</v>
          </cell>
        </row>
        <row r="26">
          <cell r="A26" t="str">
            <v>Dairy Products</v>
          </cell>
          <cell r="B26">
            <v>-1.7517932330248354</v>
          </cell>
          <cell r="C26" t="str">
            <v>NA</v>
          </cell>
          <cell r="D26">
            <v>0.48080200501919867</v>
          </cell>
          <cell r="E26">
            <v>0.48080200501919867</v>
          </cell>
          <cell r="F26">
            <v>1.4834072179113107</v>
          </cell>
          <cell r="G26">
            <v>0.55452119544220591</v>
          </cell>
          <cell r="H26">
            <v>0.33237699238823226</v>
          </cell>
          <cell r="I26">
            <v>-0.13426157065196354</v>
          </cell>
          <cell r="J26">
            <v>-0.15213492335194001</v>
          </cell>
          <cell r="K26">
            <v>-8.0166271216236318E-2</v>
          </cell>
          <cell r="L26">
            <v>-0.15914617040393822</v>
          </cell>
          <cell r="M26">
            <v>-4.166706810201283E-2</v>
          </cell>
          <cell r="N26">
            <v>-9.8804536091628176E-2</v>
          </cell>
          <cell r="O26">
            <v>0.51578569694278531</v>
          </cell>
          <cell r="P26">
            <v>-0.17992764700068928</v>
          </cell>
          <cell r="Q26">
            <v>0.10682596783875441</v>
          </cell>
        </row>
        <row r="27">
          <cell r="A27" t="str">
            <v>Yard Trimmings</v>
          </cell>
          <cell r="B27" t="str">
            <v>NA</v>
          </cell>
          <cell r="C27" t="str">
            <v>NA</v>
          </cell>
          <cell r="D27">
            <v>-0.20051974151841304</v>
          </cell>
          <cell r="E27">
            <v>-0.20051974151841304</v>
          </cell>
          <cell r="F27">
            <v>0.21407605081676276</v>
          </cell>
          <cell r="G27">
            <v>-0.166679280608413</v>
          </cell>
          <cell r="H27">
            <v>-0.26318608212896993</v>
          </cell>
          <cell r="I27">
            <v>-0.16690667116263708</v>
          </cell>
          <cell r="J27">
            <v>-0.10590613724308875</v>
          </cell>
          <cell r="K27" t="str">
            <v>NA</v>
          </cell>
          <cell r="L27" t="str">
            <v>NA</v>
          </cell>
          <cell r="M27">
            <v>-8.9160932574846835E-2</v>
          </cell>
          <cell r="N27">
            <v>-0.3447089215221979</v>
          </cell>
          <cell r="O27">
            <v>0.4652558286703779</v>
          </cell>
          <cell r="P27">
            <v>-0.21257274751136282</v>
          </cell>
          <cell r="Q27">
            <v>0.10682596783875441</v>
          </cell>
        </row>
        <row r="28">
          <cell r="A28" t="str">
            <v>Grass</v>
          </cell>
          <cell r="B28" t="str">
            <v>NA</v>
          </cell>
          <cell r="C28" t="str">
            <v>NA</v>
          </cell>
          <cell r="D28">
            <v>0.1157487405734986</v>
          </cell>
          <cell r="E28">
            <v>0.1157487405734986</v>
          </cell>
          <cell r="F28">
            <v>0.38848080510719618</v>
          </cell>
          <cell r="G28">
            <v>0.12480512610651065</v>
          </cell>
          <cell r="H28">
            <v>7.9599997593901975E-2</v>
          </cell>
          <cell r="I28">
            <v>-0.16690667116263708</v>
          </cell>
          <cell r="J28">
            <v>-0.10590613724308875</v>
          </cell>
          <cell r="K28" t="str">
            <v>NA</v>
          </cell>
          <cell r="L28" t="str">
            <v>NA</v>
          </cell>
          <cell r="M28">
            <v>4.597750251882235E-3</v>
          </cell>
          <cell r="N28">
            <v>-6.1815503991157587E-2</v>
          </cell>
          <cell r="O28">
            <v>0.41386837507689106</v>
          </cell>
          <cell r="P28">
            <v>-0.21257274751136282</v>
          </cell>
          <cell r="Q28">
            <v>0.10682596783875441</v>
          </cell>
        </row>
        <row r="29">
          <cell r="A29" t="str">
            <v>Leaves</v>
          </cell>
          <cell r="B29" t="str">
            <v>NA</v>
          </cell>
          <cell r="C29" t="str">
            <v>NA</v>
          </cell>
          <cell r="D29">
            <v>-0.53386292841973759</v>
          </cell>
          <cell r="E29">
            <v>-0.53386292841973759</v>
          </cell>
          <cell r="F29">
            <v>-0.18251034209620373</v>
          </cell>
          <cell r="G29">
            <v>-0.51177958356259634</v>
          </cell>
          <cell r="H29">
            <v>-0.58443543982614199</v>
          </cell>
          <cell r="I29">
            <v>-0.16690667116263708</v>
          </cell>
          <cell r="J29">
            <v>-0.10590613724308875</v>
          </cell>
          <cell r="K29" t="str">
            <v>NA</v>
          </cell>
          <cell r="L29" t="str">
            <v>NA</v>
          </cell>
          <cell r="M29">
            <v>-0.14208180467687503</v>
          </cell>
          <cell r="N29">
            <v>-0.53053627298428163</v>
          </cell>
          <cell r="O29">
            <v>0.49269734210479671</v>
          </cell>
          <cell r="P29">
            <v>-0.21257274751136282</v>
          </cell>
          <cell r="Q29">
            <v>0.10682596783875441</v>
          </cell>
        </row>
        <row r="30">
          <cell r="A30" t="str">
            <v>Branches</v>
          </cell>
          <cell r="B30" t="str">
            <v>NA</v>
          </cell>
          <cell r="C30" t="str">
            <v>NA</v>
          </cell>
          <cell r="D30">
            <v>-0.53606258783504601</v>
          </cell>
          <cell r="E30">
            <v>-0.53606258783504601</v>
          </cell>
          <cell r="F30">
            <v>0.26185293514886254</v>
          </cell>
          <cell r="G30">
            <v>-0.38901413895450632</v>
          </cell>
          <cell r="H30">
            <v>-0.68815136803174382</v>
          </cell>
          <cell r="I30">
            <v>-0.16690667116263708</v>
          </cell>
          <cell r="J30">
            <v>-0.10590613724308875</v>
          </cell>
          <cell r="K30" t="str">
            <v>NA</v>
          </cell>
          <cell r="L30" t="str">
            <v>NA</v>
          </cell>
          <cell r="M30">
            <v>-0.2237574261262768</v>
          </cell>
          <cell r="N30">
            <v>-0.72466840512219477</v>
          </cell>
          <cell r="O30">
            <v>0.54058922242293272</v>
          </cell>
          <cell r="P30">
            <v>-0.21257274751136282</v>
          </cell>
          <cell r="Q30">
            <v>0.10682596783875441</v>
          </cell>
        </row>
        <row r="31">
          <cell r="A31" t="str">
            <v>Mixed Paper (general)</v>
          </cell>
          <cell r="B31">
            <v>-6.0737268680644059</v>
          </cell>
          <cell r="C31">
            <v>-3.5455235990647034</v>
          </cell>
          <cell r="D31">
            <v>7.470296200674445E-2</v>
          </cell>
          <cell r="E31">
            <v>7.470296200674445E-2</v>
          </cell>
          <cell r="F31">
            <v>1.4425349376174013</v>
          </cell>
          <cell r="G31">
            <v>0.3007318776279817</v>
          </cell>
          <cell r="H31">
            <v>-0.1760048007569987</v>
          </cell>
          <cell r="I31">
            <v>-0.49102544955381977</v>
          </cell>
          <cell r="J31" t="str">
            <v>NA</v>
          </cell>
          <cell r="K31" t="str">
            <v>NA</v>
          </cell>
          <cell r="L31" t="str">
            <v>NA</v>
          </cell>
          <cell r="M31" t="str">
            <v>NA</v>
          </cell>
          <cell r="N31" t="str">
            <v>NA</v>
          </cell>
          <cell r="O31">
            <v>0.57206469380207481</v>
          </cell>
          <cell r="P31">
            <v>-0.53669152590254554</v>
          </cell>
          <cell r="Q31">
            <v>0.10682596783875441</v>
          </cell>
        </row>
        <row r="32">
          <cell r="A32" t="str">
            <v>Mixed Paper (primarily residential)</v>
          </cell>
          <cell r="B32">
            <v>-6.000101956994377</v>
          </cell>
          <cell r="C32">
            <v>-3.5455235990647034</v>
          </cell>
          <cell r="D32">
            <v>1.5061573769341717E-2</v>
          </cell>
          <cell r="E32">
            <v>1.5061573769341717E-2</v>
          </cell>
          <cell r="F32">
            <v>1.3291178983961094</v>
          </cell>
          <cell r="G32">
            <v>0.2308059764332471</v>
          </cell>
          <cell r="H32">
            <v>-0.22525234431622385</v>
          </cell>
          <cell r="I32">
            <v>-0.48873345982261684</v>
          </cell>
          <cell r="J32" t="str">
            <v>NA</v>
          </cell>
          <cell r="K32" t="str">
            <v>NA</v>
          </cell>
          <cell r="L32" t="str">
            <v>NA</v>
          </cell>
          <cell r="M32" t="str">
            <v>NA</v>
          </cell>
          <cell r="N32" t="str">
            <v>NA</v>
          </cell>
          <cell r="O32">
            <v>0.56978818712196055</v>
          </cell>
          <cell r="P32">
            <v>-0.53439953617134262</v>
          </cell>
          <cell r="Q32">
            <v>0.10682596783875441</v>
          </cell>
        </row>
        <row r="33">
          <cell r="A33" t="str">
            <v>Mixed Paper (primarily from offices)</v>
          </cell>
          <cell r="B33">
            <v>-7.3654269057836412</v>
          </cell>
          <cell r="C33">
            <v>-3.5796025767975275</v>
          </cell>
          <cell r="D33">
            <v>0.11358720066488817</v>
          </cell>
          <cell r="E33">
            <v>0.11358720066488817</v>
          </cell>
          <cell r="F33">
            <v>1.4153558407243449</v>
          </cell>
          <cell r="G33">
            <v>0.29304157961226607</v>
          </cell>
          <cell r="H33">
            <v>-0.11130796471149812</v>
          </cell>
          <cell r="I33">
            <v>-0.44769477253878021</v>
          </cell>
          <cell r="J33" t="str">
            <v>NA</v>
          </cell>
          <cell r="K33" t="str">
            <v>NA</v>
          </cell>
          <cell r="L33" t="str">
            <v>NA</v>
          </cell>
          <cell r="M33" t="str">
            <v>NA</v>
          </cell>
          <cell r="N33" t="str">
            <v>NA</v>
          </cell>
          <cell r="O33">
            <v>0.56845296199528428</v>
          </cell>
          <cell r="P33">
            <v>-0.49336084888750598</v>
          </cell>
          <cell r="Q33">
            <v>0.10682596783875441</v>
          </cell>
        </row>
        <row r="34">
          <cell r="A34" t="str">
            <v>Mixed Metals</v>
          </cell>
          <cell r="B34">
            <v>-3.6490566431171434</v>
          </cell>
          <cell r="C34">
            <v>-4.3911606737930704</v>
          </cell>
          <cell r="D34">
            <v>2.0254519141196047E-2</v>
          </cell>
          <cell r="E34">
            <v>2.0254519141196047E-2</v>
          </cell>
          <cell r="F34">
            <v>2.0254519141196047E-2</v>
          </cell>
          <cell r="G34">
            <v>2.0254519141196047E-2</v>
          </cell>
          <cell r="H34">
            <v>2.0254519141196047E-2</v>
          </cell>
          <cell r="I34">
            <v>-1.0207885454874921</v>
          </cell>
          <cell r="J34" t="str">
            <v>NA</v>
          </cell>
          <cell r="K34" t="str">
            <v>NA</v>
          </cell>
          <cell r="L34" t="str">
            <v>NA</v>
          </cell>
          <cell r="M34" t="str">
            <v>NA</v>
          </cell>
          <cell r="N34" t="str">
            <v>NA</v>
          </cell>
          <cell r="O34" t="str">
            <v>--</v>
          </cell>
          <cell r="P34">
            <v>1.9271858008766695E-2</v>
          </cell>
          <cell r="Q34" t="str">
            <v>NA</v>
          </cell>
        </row>
        <row r="35">
          <cell r="A35" t="str">
            <v>Mixed Plastics</v>
          </cell>
          <cell r="B35">
            <v>-1.8734007624310425</v>
          </cell>
          <cell r="C35">
            <v>-0.92552340675199463</v>
          </cell>
          <cell r="D35">
            <v>2.0254519141196047E-2</v>
          </cell>
          <cell r="E35">
            <v>2.0254519141196047E-2</v>
          </cell>
          <cell r="F35">
            <v>2.0254519141196047E-2</v>
          </cell>
          <cell r="G35">
            <v>2.0254519141196047E-2</v>
          </cell>
          <cell r="H35">
            <v>2.0254519141196047E-2</v>
          </cell>
          <cell r="I35">
            <v>1.2592539836731671</v>
          </cell>
          <cell r="J35" t="str">
            <v>NA</v>
          </cell>
          <cell r="K35" t="str">
            <v>NA</v>
          </cell>
          <cell r="L35" t="str">
            <v>NA</v>
          </cell>
          <cell r="M35" t="str">
            <v>NA</v>
          </cell>
          <cell r="N35" t="str">
            <v>NA</v>
          </cell>
          <cell r="O35" t="str">
            <v>--</v>
          </cell>
          <cell r="P35">
            <v>-1.0879120876355914</v>
          </cell>
          <cell r="Q35" t="str">
            <v>NA</v>
          </cell>
        </row>
        <row r="36">
          <cell r="A36" t="str">
            <v>Mixed Recyclables</v>
          </cell>
          <cell r="B36" t="str">
            <v>NA</v>
          </cell>
          <cell r="C36">
            <v>-2.8009509451764503</v>
          </cell>
          <cell r="D36">
            <v>3.4185776672640021E-2</v>
          </cell>
          <cell r="E36">
            <v>3.4185776672640021E-2</v>
          </cell>
          <cell r="F36">
            <v>1.1837560802845759</v>
          </cell>
          <cell r="G36">
            <v>0.37147444949602637</v>
          </cell>
          <cell r="H36">
            <v>-0.23313746559672313</v>
          </cell>
          <cell r="I36">
            <v>-0.42469288377343062</v>
          </cell>
          <cell r="J36" t="str">
            <v>NA</v>
          </cell>
          <cell r="K36" t="str">
            <v>NA</v>
          </cell>
          <cell r="L36" t="str">
            <v>NA</v>
          </cell>
          <cell r="M36" t="str">
            <v>NA</v>
          </cell>
          <cell r="N36" t="str">
            <v>NA</v>
          </cell>
          <cell r="O36">
            <v>0.49400164558181769</v>
          </cell>
          <cell r="P36">
            <v>-0.49796112853601598</v>
          </cell>
          <cell r="Q36">
            <v>0.10682596783875441</v>
          </cell>
        </row>
        <row r="37">
          <cell r="A37" t="str">
            <v>Mixed Organics</v>
          </cell>
          <cell r="B37" t="str">
            <v>NA</v>
          </cell>
          <cell r="C37" t="str">
            <v>NA</v>
          </cell>
          <cell r="D37">
            <v>0.15807392806431295</v>
          </cell>
          <cell r="E37">
            <v>0.15807392806431295</v>
          </cell>
          <cell r="F37">
            <v>0.8491926664939331</v>
          </cell>
          <cell r="G37">
            <v>0.21139303654660987</v>
          </cell>
          <cell r="H37">
            <v>5.4799302389338028E-2</v>
          </cell>
          <cell r="I37">
            <v>-0.14948571960737767</v>
          </cell>
          <cell r="J37">
            <v>-0.13040739388077993</v>
          </cell>
          <cell r="K37" t="str">
            <v>NA</v>
          </cell>
          <cell r="L37" t="str">
            <v>NA</v>
          </cell>
          <cell r="M37">
            <v>-6.3815986496865679E-2</v>
          </cell>
          <cell r="N37">
            <v>-0.21348284720176083</v>
          </cell>
          <cell r="O37">
            <v>0.49222092828707026</v>
          </cell>
          <cell r="P37">
            <v>-0.19515179595610344</v>
          </cell>
          <cell r="Q37">
            <v>0.10682596783875441</v>
          </cell>
        </row>
        <row r="38">
          <cell r="A38" t="str">
            <v>Mixed MSW</v>
          </cell>
          <cell r="B38" t="str">
            <v>NA</v>
          </cell>
          <cell r="C38" t="str">
            <v>NA</v>
          </cell>
          <cell r="D38">
            <v>0.30922398376646776</v>
          </cell>
          <cell r="E38">
            <v>0.30922398376646776</v>
          </cell>
          <cell r="F38">
            <v>1.270666125629196</v>
          </cell>
          <cell r="G38">
            <v>0.45743010919162508</v>
          </cell>
          <cell r="H38">
            <v>0.13710285175277587</v>
          </cell>
          <cell r="I38">
            <v>9.1542228046413987E-3</v>
          </cell>
          <cell r="J38" t="str">
            <v>NA</v>
          </cell>
          <cell r="K38" t="str">
            <v>NA</v>
          </cell>
          <cell r="L38" t="str">
            <v>NA</v>
          </cell>
          <cell r="M38" t="str">
            <v>NA</v>
          </cell>
          <cell r="N38" t="str">
            <v>NA</v>
          </cell>
          <cell r="O38">
            <v>0.59867869959228781</v>
          </cell>
          <cell r="P38">
            <v>-0.37959419198457656</v>
          </cell>
          <cell r="Q38">
            <v>0.10682596783875441</v>
          </cell>
        </row>
        <row r="39">
          <cell r="A39" t="str">
            <v>Carpet</v>
          </cell>
          <cell r="B39">
            <v>-3.6831269309259898</v>
          </cell>
          <cell r="C39">
            <v>-2.3816001800168372</v>
          </cell>
          <cell r="D39">
            <v>2.0254519141196047E-2</v>
          </cell>
          <cell r="E39">
            <v>2.0254519141196047E-2</v>
          </cell>
          <cell r="F39">
            <v>2.0254519141196047E-2</v>
          </cell>
          <cell r="G39">
            <v>2.0254519141196047E-2</v>
          </cell>
          <cell r="H39">
            <v>2.0254519141196047E-2</v>
          </cell>
          <cell r="I39">
            <v>1.0980672100751245</v>
          </cell>
          <cell r="J39" t="str">
            <v>NA</v>
          </cell>
          <cell r="K39" t="str">
            <v>NA</v>
          </cell>
          <cell r="L39" t="str">
            <v>NA</v>
          </cell>
          <cell r="M39" t="str">
            <v>NA</v>
          </cell>
          <cell r="N39" t="str">
            <v>NA</v>
          </cell>
          <cell r="O39" t="str">
            <v>--</v>
          </cell>
          <cell r="P39">
            <v>-0.57698317181655634</v>
          </cell>
          <cell r="Q39" t="str">
            <v>NA</v>
          </cell>
        </row>
        <row r="40">
          <cell r="A40" t="str">
            <v>Desktop CPUs</v>
          </cell>
          <cell r="B40">
            <v>-20.864196009734808</v>
          </cell>
          <cell r="C40">
            <v>-1.4868382376024454</v>
          </cell>
          <cell r="D40">
            <v>2.0254519141196047E-2</v>
          </cell>
          <cell r="E40">
            <v>2.0254519141196047E-2</v>
          </cell>
          <cell r="F40">
            <v>2.0254519141196047E-2</v>
          </cell>
          <cell r="G40">
            <v>2.0254519141196047E-2</v>
          </cell>
          <cell r="H40">
            <v>2.0254519141196047E-2</v>
          </cell>
          <cell r="I40">
            <v>-0.65895940211468551</v>
          </cell>
          <cell r="J40" t="str">
            <v>NA</v>
          </cell>
          <cell r="K40" t="str">
            <v>NA</v>
          </cell>
          <cell r="L40" t="str">
            <v>NA</v>
          </cell>
          <cell r="M40" t="str">
            <v>NA</v>
          </cell>
          <cell r="N40" t="str">
            <v>NA</v>
          </cell>
          <cell r="O40" t="str">
            <v>--</v>
          </cell>
          <cell r="P40">
            <v>-0.11640888554193682</v>
          </cell>
          <cell r="Q40" t="str">
            <v>NA</v>
          </cell>
        </row>
        <row r="41">
          <cell r="A41" t="str">
            <v>Portable Electronic Devices</v>
          </cell>
          <cell r="B41">
            <v>-29.834297794910995</v>
          </cell>
          <cell r="C41">
            <v>-1.0617686307750867</v>
          </cell>
          <cell r="D41">
            <v>2.0254519141196047E-2</v>
          </cell>
          <cell r="E41">
            <v>2.0254519141196047E-2</v>
          </cell>
          <cell r="F41">
            <v>2.0254519141196047E-2</v>
          </cell>
          <cell r="G41">
            <v>2.0254519141196047E-2</v>
          </cell>
          <cell r="H41">
            <v>2.0254519141196047E-2</v>
          </cell>
          <cell r="I41">
            <v>0.65415399357374215</v>
          </cell>
          <cell r="J41" t="str">
            <v>NA</v>
          </cell>
          <cell r="K41" t="str">
            <v>NA</v>
          </cell>
          <cell r="L41" t="str">
            <v>NA</v>
          </cell>
          <cell r="M41" t="str">
            <v>NA</v>
          </cell>
          <cell r="N41" t="str">
            <v>NA</v>
          </cell>
          <cell r="O41" t="str">
            <v>--</v>
          </cell>
          <cell r="P41">
            <v>-0.11640888554193682</v>
          </cell>
          <cell r="Q41" t="str">
            <v>NA</v>
          </cell>
        </row>
        <row r="42">
          <cell r="A42" t="str">
            <v>Flat-Panel Displays</v>
          </cell>
          <cell r="B42">
            <v>-24.194600105982435</v>
          </cell>
          <cell r="C42">
            <v>-0.99227028605862688</v>
          </cell>
          <cell r="D42">
            <v>2.0254519141196047E-2</v>
          </cell>
          <cell r="E42">
            <v>2.0254519141196047E-2</v>
          </cell>
          <cell r="F42">
            <v>2.0254519141196047E-2</v>
          </cell>
          <cell r="G42">
            <v>2.0254519141196047E-2</v>
          </cell>
          <cell r="H42">
            <v>2.0254519141196047E-2</v>
          </cell>
          <cell r="I42">
            <v>2.5310415295543259E-2</v>
          </cell>
          <cell r="J42" t="str">
            <v>NA</v>
          </cell>
          <cell r="K42" t="str">
            <v>NA</v>
          </cell>
          <cell r="L42" t="str">
            <v>NA</v>
          </cell>
          <cell r="M42" t="str">
            <v>NA</v>
          </cell>
          <cell r="N42" t="str">
            <v>NA</v>
          </cell>
          <cell r="O42" t="str">
            <v>--</v>
          </cell>
          <cell r="P42">
            <v>-0.11640888554193682</v>
          </cell>
          <cell r="Q42" t="str">
            <v>NA</v>
          </cell>
        </row>
        <row r="43">
          <cell r="A43" t="str">
            <v>CRT Displays</v>
          </cell>
          <cell r="B43" t="str">
            <v>NA</v>
          </cell>
          <cell r="C43">
            <v>-0.56954424891234812</v>
          </cell>
          <cell r="D43">
            <v>2.0254519141196047E-2</v>
          </cell>
          <cell r="E43">
            <v>2.0254519141196047E-2</v>
          </cell>
          <cell r="F43">
            <v>2.0254519141196047E-2</v>
          </cell>
          <cell r="G43">
            <v>2.0254519141196047E-2</v>
          </cell>
          <cell r="H43">
            <v>2.0254519141196047E-2</v>
          </cell>
          <cell r="I43">
            <v>0.44868287053641109</v>
          </cell>
          <cell r="J43" t="str">
            <v>NA</v>
          </cell>
          <cell r="K43" t="str">
            <v>NA</v>
          </cell>
          <cell r="L43" t="str">
            <v>NA</v>
          </cell>
          <cell r="M43" t="str">
            <v>NA</v>
          </cell>
          <cell r="N43" t="str">
            <v>NA</v>
          </cell>
          <cell r="O43" t="str">
            <v>--</v>
          </cell>
          <cell r="P43">
            <v>-0.11640888554193682</v>
          </cell>
          <cell r="Q43" t="str">
            <v>NA</v>
          </cell>
        </row>
        <row r="44">
          <cell r="A44" t="str">
            <v>Electronic Peripherals</v>
          </cell>
          <cell r="B44">
            <v>-10.316002191792363</v>
          </cell>
          <cell r="C44">
            <v>-0.36434580220643786</v>
          </cell>
          <cell r="D44">
            <v>2.0254519141196047E-2</v>
          </cell>
          <cell r="E44">
            <v>2.0254519141196047E-2</v>
          </cell>
          <cell r="F44">
            <v>2.0254519141196047E-2</v>
          </cell>
          <cell r="G44">
            <v>2.0254519141196047E-2</v>
          </cell>
          <cell r="H44">
            <v>2.0254519141196047E-2</v>
          </cell>
          <cell r="I44">
            <v>2.0819232398532308</v>
          </cell>
          <cell r="J44" t="str">
            <v>NA</v>
          </cell>
          <cell r="K44" t="str">
            <v>NA</v>
          </cell>
          <cell r="L44" t="str">
            <v>NA</v>
          </cell>
          <cell r="M44" t="str">
            <v>NA</v>
          </cell>
          <cell r="N44" t="str">
            <v>NA</v>
          </cell>
          <cell r="O44" t="str">
            <v>--</v>
          </cell>
          <cell r="P44">
            <v>-0.11640888554193682</v>
          </cell>
          <cell r="Q44" t="str">
            <v>NA</v>
          </cell>
        </row>
        <row r="45">
          <cell r="A45" t="str">
            <v>Hard-Copy Devices</v>
          </cell>
          <cell r="B45">
            <v>-7.6461346412299527</v>
          </cell>
          <cell r="C45">
            <v>-0.55742377483757122</v>
          </cell>
          <cell r="D45">
            <v>2.0254519141196047E-2</v>
          </cell>
          <cell r="E45">
            <v>2.0254519141196047E-2</v>
          </cell>
          <cell r="F45">
            <v>2.0254519141196047E-2</v>
          </cell>
          <cell r="G45">
            <v>2.0254519141196047E-2</v>
          </cell>
          <cell r="H45">
            <v>2.0254519141196047E-2</v>
          </cell>
          <cell r="I45">
            <v>1.1984833170760558</v>
          </cell>
          <cell r="J45" t="str">
            <v>NA</v>
          </cell>
          <cell r="K45" t="str">
            <v>NA</v>
          </cell>
          <cell r="L45" t="str">
            <v>NA</v>
          </cell>
          <cell r="M45" t="str">
            <v>NA</v>
          </cell>
          <cell r="N45" t="str">
            <v>NA</v>
          </cell>
          <cell r="O45" t="str">
            <v>--</v>
          </cell>
          <cell r="P45">
            <v>-0.11640888554193682</v>
          </cell>
          <cell r="Q45" t="str">
            <v>NA</v>
          </cell>
        </row>
        <row r="46">
          <cell r="A46" t="str">
            <v>Mixed Electronics</v>
          </cell>
          <cell r="B46">
            <v>-20.791713261664754</v>
          </cell>
          <cell r="C46">
            <v>-0.9038615759580324</v>
          </cell>
          <cell r="D46">
            <v>2.0254519141196047E-2</v>
          </cell>
          <cell r="E46">
            <v>2.0254519141196047E-2</v>
          </cell>
          <cell r="F46">
            <v>2.0254519141196047E-2</v>
          </cell>
          <cell r="G46">
            <v>2.0254519141196047E-2</v>
          </cell>
          <cell r="H46">
            <v>2.0254519141196047E-2</v>
          </cell>
          <cell r="I46">
            <v>0.34071356444031542</v>
          </cell>
          <cell r="J46" t="str">
            <v>NA</v>
          </cell>
          <cell r="K46" t="str">
            <v>NA</v>
          </cell>
          <cell r="L46" t="str">
            <v>NA</v>
          </cell>
          <cell r="M46" t="str">
            <v>NA</v>
          </cell>
          <cell r="N46" t="str">
            <v>NA</v>
          </cell>
          <cell r="O46" t="str">
            <v>--</v>
          </cell>
          <cell r="P46">
            <v>-0.11640888554193682</v>
          </cell>
          <cell r="Q46" t="str">
            <v>NA</v>
          </cell>
        </row>
        <row r="47">
          <cell r="A47" t="str">
            <v>Clay Bricks</v>
          </cell>
          <cell r="B47">
            <v>-0.26681148164878588</v>
          </cell>
          <cell r="C47" t="str">
            <v>NA</v>
          </cell>
          <cell r="D47">
            <v>2.0254519141196047E-2</v>
          </cell>
          <cell r="E47">
            <v>2.0254519141196047E-2</v>
          </cell>
          <cell r="F47">
            <v>2.0254519141196047E-2</v>
          </cell>
          <cell r="G47">
            <v>2.0254519141196047E-2</v>
          </cell>
          <cell r="H47">
            <v>2.0254519141196047E-2</v>
          </cell>
          <cell r="I47" t="str">
            <v>NA</v>
          </cell>
          <cell r="J47" t="str">
            <v>NA</v>
          </cell>
          <cell r="K47" t="str">
            <v>NA</v>
          </cell>
          <cell r="L47" t="str">
            <v>NA</v>
          </cell>
          <cell r="M47" t="str">
            <v>NA</v>
          </cell>
          <cell r="N47" t="str">
            <v>NA</v>
          </cell>
          <cell r="O47" t="str">
            <v>--</v>
          </cell>
          <cell r="P47" t="str">
            <v>NA</v>
          </cell>
          <cell r="Q47" t="str">
            <v>NA</v>
          </cell>
        </row>
        <row r="48">
          <cell r="A48" t="str">
            <v>Concrete</v>
          </cell>
          <cell r="B48" t="str">
            <v>NA</v>
          </cell>
          <cell r="C48">
            <v>-7.9915606690990279E-3</v>
          </cell>
          <cell r="D48">
            <v>2.0254519141196047E-2</v>
          </cell>
          <cell r="E48">
            <v>2.0254519141196047E-2</v>
          </cell>
          <cell r="F48">
            <v>2.0254519141196047E-2</v>
          </cell>
          <cell r="G48">
            <v>2.0254519141196047E-2</v>
          </cell>
          <cell r="H48">
            <v>2.0254519141196047E-2</v>
          </cell>
          <cell r="I48" t="str">
            <v>NA</v>
          </cell>
          <cell r="J48" t="str">
            <v>NA</v>
          </cell>
          <cell r="K48" t="str">
            <v>NA</v>
          </cell>
          <cell r="L48" t="str">
            <v>NA</v>
          </cell>
          <cell r="M48" t="str">
            <v>NA</v>
          </cell>
          <cell r="N48" t="str">
            <v>NA</v>
          </cell>
          <cell r="O48" t="str">
            <v>--</v>
          </cell>
          <cell r="P48" t="str">
            <v>NA</v>
          </cell>
          <cell r="Q48" t="str">
            <v>NA</v>
          </cell>
        </row>
        <row r="49">
          <cell r="A49" t="str">
            <v>Fly Ash</v>
          </cell>
          <cell r="B49" t="str">
            <v>NA</v>
          </cell>
          <cell r="C49">
            <v>-0.86528618366060273</v>
          </cell>
          <cell r="D49">
            <v>2.0254519141196047E-2</v>
          </cell>
          <cell r="E49">
            <v>2.0254519141196047E-2</v>
          </cell>
          <cell r="F49">
            <v>2.0254519141196047E-2</v>
          </cell>
          <cell r="G49">
            <v>2.0254519141196047E-2</v>
          </cell>
          <cell r="H49">
            <v>2.0254519141196047E-2</v>
          </cell>
          <cell r="I49" t="str">
            <v>NA</v>
          </cell>
          <cell r="J49" t="str">
            <v>NA</v>
          </cell>
          <cell r="K49" t="str">
            <v>NA</v>
          </cell>
          <cell r="L49" t="str">
            <v>NA</v>
          </cell>
          <cell r="M49" t="str">
            <v>NA</v>
          </cell>
          <cell r="N49" t="str">
            <v>NA</v>
          </cell>
          <cell r="O49" t="str">
            <v>--</v>
          </cell>
          <cell r="P49" t="str">
            <v>NA</v>
          </cell>
          <cell r="Q49" t="str">
            <v>NA</v>
          </cell>
        </row>
        <row r="50">
          <cell r="A50" t="str">
            <v>Tires</v>
          </cell>
          <cell r="B50">
            <v>-4.2988112330745327</v>
          </cell>
          <cell r="C50">
            <v>-0.37630348405859365</v>
          </cell>
          <cell r="D50">
            <v>2.0254519141196047E-2</v>
          </cell>
          <cell r="E50">
            <v>2.0254519141196047E-2</v>
          </cell>
          <cell r="F50">
            <v>2.0254519141196047E-2</v>
          </cell>
          <cell r="G50">
            <v>2.0254519141196047E-2</v>
          </cell>
          <cell r="H50">
            <v>2.0254519141196047E-2</v>
          </cell>
          <cell r="I50">
            <v>0.49981021699866868</v>
          </cell>
          <cell r="J50" t="str">
            <v>NA</v>
          </cell>
          <cell r="K50" t="str">
            <v>NA</v>
          </cell>
          <cell r="L50" t="str">
            <v>NA</v>
          </cell>
          <cell r="M50" t="str">
            <v>NA</v>
          </cell>
          <cell r="N50" t="str">
            <v>NA</v>
          </cell>
          <cell r="O50" t="str">
            <v>--</v>
          </cell>
          <cell r="P50">
            <v>-1.5720084439067941</v>
          </cell>
          <cell r="Q50" t="str">
            <v>NA</v>
          </cell>
        </row>
        <row r="51">
          <cell r="A51" t="str">
            <v>Asphalt Concrete</v>
          </cell>
          <cell r="B51">
            <v>-0.11093650882302269</v>
          </cell>
          <cell r="C51">
            <v>-8.0929830930775618E-2</v>
          </cell>
          <cell r="D51">
            <v>2.0254519141196047E-2</v>
          </cell>
          <cell r="E51">
            <v>2.0254519141196047E-2</v>
          </cell>
          <cell r="F51">
            <v>2.0254519141196047E-2</v>
          </cell>
          <cell r="G51">
            <v>2.0254519141196047E-2</v>
          </cell>
          <cell r="H51">
            <v>2.0254519141196047E-2</v>
          </cell>
          <cell r="I51" t="str">
            <v>NA</v>
          </cell>
          <cell r="J51" t="str">
            <v>NA</v>
          </cell>
          <cell r="K51" t="str">
            <v>NA</v>
          </cell>
          <cell r="L51" t="str">
            <v>NA</v>
          </cell>
          <cell r="M51" t="str">
            <v>NA</v>
          </cell>
          <cell r="N51" t="str">
            <v>NA</v>
          </cell>
          <cell r="O51" t="str">
            <v>--</v>
          </cell>
          <cell r="P51" t="str">
            <v>NA</v>
          </cell>
          <cell r="Q51" t="str">
            <v>NA</v>
          </cell>
        </row>
        <row r="52">
          <cell r="A52" t="str">
            <v>Asphalt Shingles</v>
          </cell>
          <cell r="B52">
            <v>-0.18994168948972495</v>
          </cell>
          <cell r="C52">
            <v>-8.9875346416933649E-2</v>
          </cell>
          <cell r="D52">
            <v>2.0254519141196047E-2</v>
          </cell>
          <cell r="E52">
            <v>2.0254519141196047E-2</v>
          </cell>
          <cell r="F52">
            <v>2.0254519141196047E-2</v>
          </cell>
          <cell r="G52">
            <v>2.0254519141196047E-2</v>
          </cell>
          <cell r="H52">
            <v>2.0254519141196047E-2</v>
          </cell>
          <cell r="I52">
            <v>-0.35461659031794068</v>
          </cell>
          <cell r="J52" t="str">
            <v>NA</v>
          </cell>
          <cell r="K52" t="str">
            <v>NA</v>
          </cell>
          <cell r="L52" t="str">
            <v>NA</v>
          </cell>
          <cell r="M52" t="str">
            <v>NA</v>
          </cell>
          <cell r="N52" t="str">
            <v>NA</v>
          </cell>
          <cell r="O52" t="str">
            <v>--</v>
          </cell>
          <cell r="P52">
            <v>-1.0533599999999996</v>
          </cell>
          <cell r="Q52" t="str">
            <v>NA</v>
          </cell>
        </row>
        <row r="53">
          <cell r="A53" t="str">
            <v>Drywall</v>
          </cell>
          <cell r="B53">
            <v>-0.21543021258138986</v>
          </cell>
          <cell r="C53">
            <v>2.608665626869755E-2</v>
          </cell>
          <cell r="D53">
            <v>-6.1041329359337294E-2</v>
          </cell>
          <cell r="E53">
            <v>-6.1041329359337294E-2</v>
          </cell>
          <cell r="F53">
            <v>-1.0427785112925372</v>
          </cell>
          <cell r="G53">
            <v>-6.1041329359337294E-2</v>
          </cell>
          <cell r="H53">
            <v>-6.1041329359337294E-2</v>
          </cell>
          <cell r="I53" t="str">
            <v>NA</v>
          </cell>
          <cell r="J53" t="str">
            <v>NA</v>
          </cell>
          <cell r="K53" t="str">
            <v>NA</v>
          </cell>
          <cell r="L53" t="str">
            <v>NA</v>
          </cell>
          <cell r="M53" t="str">
            <v>NA</v>
          </cell>
          <cell r="N53" t="str">
            <v>NA</v>
          </cell>
          <cell r="O53" t="str">
            <v>--</v>
          </cell>
          <cell r="P53" t="str">
            <v>NA</v>
          </cell>
          <cell r="Q53" t="str">
            <v>NA</v>
          </cell>
        </row>
        <row r="54">
          <cell r="A54" t="str">
            <v>Fiberglass Insulation</v>
          </cell>
          <cell r="B54">
            <v>-0.37729663011161302</v>
          </cell>
          <cell r="C54" t="str">
            <v>NA</v>
          </cell>
          <cell r="D54">
            <v>2.0254519141196047E-2</v>
          </cell>
          <cell r="E54">
            <v>2.0254519141196047E-2</v>
          </cell>
          <cell r="F54">
            <v>2.0254519141196047E-2</v>
          </cell>
          <cell r="G54">
            <v>2.0254519141196047E-2</v>
          </cell>
          <cell r="H54">
            <v>2.0254519141196047E-2</v>
          </cell>
          <cell r="I54" t="str">
            <v>NA</v>
          </cell>
          <cell r="J54" t="str">
            <v>NA</v>
          </cell>
          <cell r="K54" t="str">
            <v>NA</v>
          </cell>
          <cell r="L54" t="str">
            <v>NA</v>
          </cell>
          <cell r="M54" t="str">
            <v>NA</v>
          </cell>
          <cell r="N54" t="str">
            <v>NA</v>
          </cell>
          <cell r="O54" t="str">
            <v>--</v>
          </cell>
          <cell r="P54" t="str">
            <v>NA</v>
          </cell>
          <cell r="Q54" t="str">
            <v>NA</v>
          </cell>
        </row>
        <row r="55">
          <cell r="A55" t="str">
            <v>Vinyl Flooring</v>
          </cell>
          <cell r="B55">
            <v>-0.58343753572038659</v>
          </cell>
          <cell r="C55" t="str">
            <v>NA</v>
          </cell>
          <cell r="D55">
            <v>2.0254519141196047E-2</v>
          </cell>
          <cell r="E55">
            <v>2.0254519141196047E-2</v>
          </cell>
          <cell r="F55">
            <v>2.0254519141196047E-2</v>
          </cell>
          <cell r="G55">
            <v>2.0254519141196047E-2</v>
          </cell>
          <cell r="H55">
            <v>2.0254519141196047E-2</v>
          </cell>
          <cell r="I55">
            <v>-0.30797451115899921</v>
          </cell>
          <cell r="J55" t="str">
            <v>NA</v>
          </cell>
          <cell r="K55" t="str">
            <v>NA</v>
          </cell>
          <cell r="L55" t="str">
            <v>NA</v>
          </cell>
          <cell r="M55" t="str">
            <v>NA</v>
          </cell>
          <cell r="N55" t="str">
            <v>NA</v>
          </cell>
          <cell r="O55" t="str">
            <v>--</v>
          </cell>
          <cell r="P55">
            <v>-0.59786085237570807</v>
          </cell>
          <cell r="Q55" t="str">
            <v>NA</v>
          </cell>
        </row>
        <row r="56">
          <cell r="A56" t="str">
            <v>Wood Flooring</v>
          </cell>
          <cell r="B56">
            <v>-4.1129199902628848</v>
          </cell>
          <cell r="C56">
            <v>-3.6849344170172293</v>
          </cell>
          <cell r="D56">
            <v>-0.8592610862888036</v>
          </cell>
          <cell r="E56">
            <v>-0.8592610862888036</v>
          </cell>
          <cell r="F56">
            <v>-0.8592610862888036</v>
          </cell>
          <cell r="G56">
            <v>-0.8592610862888036</v>
          </cell>
          <cell r="H56">
            <v>-0.8592610862888036</v>
          </cell>
          <cell r="I56">
            <v>-0.74082170725489027</v>
          </cell>
          <cell r="J56" t="str">
            <v>NA</v>
          </cell>
          <cell r="K56" t="str">
            <v>NA</v>
          </cell>
          <cell r="L56" t="str">
            <v>NA</v>
          </cell>
          <cell r="M56" t="str">
            <v>NA</v>
          </cell>
          <cell r="N56" t="str">
            <v>NA</v>
          </cell>
          <cell r="O56" t="str">
            <v>--</v>
          </cell>
          <cell r="P56">
            <v>-0.82466189531666112</v>
          </cell>
          <cell r="Q56" t="str">
            <v>NA</v>
          </cell>
        </row>
        <row r="57">
          <cell r="A57" t="str">
            <v>Aluminum Ingot</v>
          </cell>
          <cell r="B57">
            <v>-7.4772845674468833</v>
          </cell>
          <cell r="C57">
            <v>-7.2036649178223389</v>
          </cell>
          <cell r="D57">
            <v>2.0254519141196047E-2</v>
          </cell>
          <cell r="E57">
            <v>2.0254519141196047E-2</v>
          </cell>
          <cell r="F57">
            <v>2.0254519141196047E-2</v>
          </cell>
          <cell r="G57">
            <v>2.0254519141196047E-2</v>
          </cell>
          <cell r="H57">
            <v>2.0254519141196047E-2</v>
          </cell>
          <cell r="I57">
            <v>3.4432220545025718E-2</v>
          </cell>
          <cell r="J57" t="str">
            <v>NA</v>
          </cell>
          <cell r="K57" t="str">
            <v>NA</v>
          </cell>
          <cell r="L57" t="str">
            <v>NA</v>
          </cell>
          <cell r="M57" t="str">
            <v>NA</v>
          </cell>
          <cell r="N57" t="str">
            <v>NA</v>
          </cell>
          <cell r="O57" t="str">
            <v>--</v>
          </cell>
          <cell r="P57">
            <v>2.5432810862966629E-2</v>
          </cell>
          <cell r="Q57" t="str">
            <v>NA</v>
          </cell>
        </row>
        <row r="58">
          <cell r="A58" t="str">
            <v>PLA</v>
          </cell>
          <cell r="B58">
            <v>-2.4528916331677815</v>
          </cell>
          <cell r="C58" t="str">
            <v>NA</v>
          </cell>
          <cell r="D58">
            <v>-1.6426151092788039</v>
          </cell>
          <cell r="E58">
            <v>-1.6426151092788039</v>
          </cell>
          <cell r="F58">
            <v>-1.6426151092788039</v>
          </cell>
          <cell r="G58">
            <v>-1.6426151092788039</v>
          </cell>
          <cell r="H58">
            <v>-1.6426151092788039</v>
          </cell>
          <cell r="I58">
            <v>-0.62628943002332815</v>
          </cell>
          <cell r="J58">
            <v>-0.13040739388077993</v>
          </cell>
          <cell r="K58" t="str">
            <v>NA</v>
          </cell>
          <cell r="L58" t="str">
            <v>NA</v>
          </cell>
          <cell r="M58" t="str">
            <v>NA</v>
          </cell>
          <cell r="N58" t="str">
            <v>NA</v>
          </cell>
          <cell r="O58" t="str">
            <v>--</v>
          </cell>
          <cell r="P58">
            <v>-0.6352888397053873</v>
          </cell>
          <cell r="Q58" t="str">
            <v>NA</v>
          </cell>
        </row>
        <row r="59">
          <cell r="A59" t="str">
            <v>LLDPE</v>
          </cell>
          <cell r="B59">
            <v>-1.575798913594386</v>
          </cell>
          <cell r="C59" t="str">
            <v>NA</v>
          </cell>
          <cell r="D59">
            <v>2.0254519141196047E-2</v>
          </cell>
          <cell r="E59">
            <v>2.0254519141196047E-2</v>
          </cell>
          <cell r="F59">
            <v>2.0254519141196047E-2</v>
          </cell>
          <cell r="G59">
            <v>2.0254519141196047E-2</v>
          </cell>
          <cell r="H59">
            <v>2.0254519141196047E-2</v>
          </cell>
          <cell r="I59">
            <v>1.2888799293428685</v>
          </cell>
          <cell r="J59" t="str">
            <v>NA</v>
          </cell>
          <cell r="K59" t="str">
            <v>NA</v>
          </cell>
          <cell r="L59" t="str">
            <v>NA</v>
          </cell>
          <cell r="M59" t="str">
            <v>NA</v>
          </cell>
          <cell r="N59" t="str">
            <v>NA</v>
          </cell>
          <cell r="O59" t="str">
            <v>--</v>
          </cell>
          <cell r="P59">
            <v>-1.5142771506648729</v>
          </cell>
          <cell r="Q59" t="str">
            <v>NA</v>
          </cell>
        </row>
        <row r="60">
          <cell r="A60" t="str">
            <v>PP</v>
          </cell>
          <cell r="B60">
            <v>-1.5248004300239186</v>
          </cell>
          <cell r="C60">
            <v>-0.79374839120334784</v>
          </cell>
          <cell r="D60">
            <v>2.0254519141196047E-2</v>
          </cell>
          <cell r="E60">
            <v>2.0254519141196047E-2</v>
          </cell>
          <cell r="F60">
            <v>2.0254519141196047E-2</v>
          </cell>
          <cell r="G60">
            <v>2.0254519141196047E-2</v>
          </cell>
          <cell r="H60">
            <v>2.0254519141196047E-2</v>
          </cell>
          <cell r="I60">
            <v>1.2887280916660748</v>
          </cell>
          <cell r="J60" t="str">
            <v>NA</v>
          </cell>
          <cell r="K60" t="str">
            <v>NA</v>
          </cell>
          <cell r="L60" t="str">
            <v>NA</v>
          </cell>
          <cell r="M60" t="str">
            <v>NA</v>
          </cell>
          <cell r="N60" t="str">
            <v>NA</v>
          </cell>
          <cell r="O60" t="str">
            <v>--</v>
          </cell>
          <cell r="P60">
            <v>-1.5144289883416666</v>
          </cell>
          <cell r="Q60" t="str">
            <v>NA</v>
          </cell>
        </row>
        <row r="61">
          <cell r="A61" t="str">
            <v>PS</v>
          </cell>
          <cell r="B61">
            <v>-2.4996318935816175</v>
          </cell>
          <cell r="C61" t="str">
            <v>NA</v>
          </cell>
          <cell r="D61">
            <v>2.0254519141196047E-2</v>
          </cell>
          <cell r="E61">
            <v>2.0254519141196047E-2</v>
          </cell>
          <cell r="F61">
            <v>2.0254519141196047E-2</v>
          </cell>
          <cell r="G61">
            <v>2.0254519141196047E-2</v>
          </cell>
          <cell r="H61">
            <v>2.0254519141196047E-2</v>
          </cell>
          <cell r="I61">
            <v>1.651553194272934</v>
          </cell>
          <cell r="J61" t="str">
            <v>NA</v>
          </cell>
          <cell r="K61" t="str">
            <v>NA</v>
          </cell>
          <cell r="L61" t="str">
            <v>NA</v>
          </cell>
          <cell r="M61" t="str">
            <v>NA</v>
          </cell>
          <cell r="N61" t="str">
            <v>NA</v>
          </cell>
          <cell r="O61" t="str">
            <v>--</v>
          </cell>
          <cell r="P61">
            <v>-1.3665390911444755</v>
          </cell>
          <cell r="Q61" t="str">
            <v>NA</v>
          </cell>
        </row>
        <row r="62">
          <cell r="A62" t="str">
            <v>PVC</v>
          </cell>
          <cell r="B62">
            <v>-1.9251482239214053</v>
          </cell>
          <cell r="C62" t="str">
            <v>NA</v>
          </cell>
          <cell r="D62">
            <v>2.0254519141196047E-2</v>
          </cell>
          <cell r="E62">
            <v>2.0254519141196047E-2</v>
          </cell>
          <cell r="F62">
            <v>2.0254519141196047E-2</v>
          </cell>
          <cell r="G62">
            <v>2.0254519141196047E-2</v>
          </cell>
          <cell r="H62">
            <v>2.0254519141196047E-2</v>
          </cell>
          <cell r="I62">
            <v>0.66386324257557927</v>
          </cell>
          <cell r="J62" t="str">
            <v>NA</v>
          </cell>
          <cell r="K62" t="str">
            <v>NA</v>
          </cell>
          <cell r="L62" t="str">
            <v>NA</v>
          </cell>
          <cell r="M62" t="str">
            <v>NA</v>
          </cell>
          <cell r="N62" t="str">
            <v>NA</v>
          </cell>
          <cell r="O62" t="str">
            <v>--</v>
          </cell>
          <cell r="P62">
            <v>-0.59786085237570807</v>
          </cell>
          <cell r="Q62" t="str">
            <v>NA</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s://www.epa.gov/energy/greenhouse-gas-equivalencies-calculator" TargetMode="External"/><Relationship Id="rId1" Type="http://schemas.openxmlformats.org/officeDocument/2006/relationships/hyperlink" Target="http://www.epa.gov/cleanenergy/energy-resources/calculator.html" TargetMode="External"/><Relationship Id="rId4"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hyperlink" Target="https://www.epa.gov/warm/documentation-chapters-greenhouse-gas-emission-and-energy-factors-used-waste-reduction-model" TargetMode="External"/></Relationships>
</file>

<file path=xl/worksheets/_rels/sheet4.xml.rels><?xml version="1.0" encoding="UTF-8" standalone="yes"?>
<Relationships xmlns="http://schemas.openxmlformats.org/package/2006/relationships"><Relationship Id="rId2" Type="http://schemas.openxmlformats.org/officeDocument/2006/relationships/hyperlink" Target="https://www.epa.gov/energy/greenhouse-gas-equivalencies-calculator" TargetMode="External"/><Relationship Id="rId1" Type="http://schemas.openxmlformats.org/officeDocument/2006/relationships/hyperlink" Target="https://afdc.energy.gov/conserve/public_transportation.html" TargetMode="External"/></Relationships>
</file>

<file path=xl/worksheets/_rels/sheet5.xml.rels><?xml version="1.0" encoding="UTF-8" standalone="yes"?>
<Relationships xmlns="http://schemas.openxmlformats.org/package/2006/relationships"><Relationship Id="rId1" Type="http://schemas.openxmlformats.org/officeDocument/2006/relationships/hyperlink" Target="https://ww2.arb.ca.gov/sites/default/files/2022-06/ratesanddemand_ADA.pdf" TargetMode="External"/></Relationships>
</file>

<file path=xl/worksheets/_rels/sheet6.xml.rels><?xml version="1.0" encoding="UTF-8" standalone="yes"?>
<Relationships xmlns="http://schemas.openxmlformats.org/package/2006/relationships"><Relationship Id="rId3" Type="http://schemas.openxmlformats.org/officeDocument/2006/relationships/printerSettings" Target="../printerSettings/printerSettings4.bin"/><Relationship Id="rId2" Type="http://schemas.openxmlformats.org/officeDocument/2006/relationships/hyperlink" Target="https://www.epa.gov/energy/greenhouse-gas-equivalencies-calculator" TargetMode="External"/><Relationship Id="rId1" Type="http://schemas.openxmlformats.org/officeDocument/2006/relationships/hyperlink" Target="https://www.eia.gov/tools/faqs/faq.php?id=104&amp;t=3" TargetMode="External"/></Relationships>
</file>

<file path=xl/worksheets/_rels/sheet7.xml.rels><?xml version="1.0" encoding="UTF-8" standalone="yes"?>
<Relationships xmlns="http://schemas.openxmlformats.org/package/2006/relationships"><Relationship Id="rId8" Type="http://schemas.openxmlformats.org/officeDocument/2006/relationships/hyperlink" Target="https://www.eia.gov/consumption/residential/data/2020/index.php?view=consumption" TargetMode="External"/><Relationship Id="rId3" Type="http://schemas.openxmlformats.org/officeDocument/2006/relationships/hyperlink" Target="https://www.epa.gov/sites/default/files/2020-11/documents/appa.pdf" TargetMode="External"/><Relationship Id="rId7" Type="http://schemas.openxmlformats.org/officeDocument/2006/relationships/hyperlink" Target="https://www.govinfo.gov/content/pkg/FR-2013-11-29/pdf/2013-27996.pdf" TargetMode="External"/><Relationship Id="rId2" Type="http://schemas.openxmlformats.org/officeDocument/2006/relationships/hyperlink" Target="https://www.epa.gov/energy/greenhouse-gases-equivalencies-calculator-calculations-and-references" TargetMode="External"/><Relationship Id="rId1" Type="http://schemas.openxmlformats.org/officeDocument/2006/relationships/hyperlink" Target="https://www.epa.gov/energy/greenhouse-gas-equivalencies-calculator" TargetMode="External"/><Relationship Id="rId6" Type="http://schemas.openxmlformats.org/officeDocument/2006/relationships/hyperlink" Target="https://www.epa.gov/energy/greenhouse-gases-equivalencies-calculator-calculations-and-references" TargetMode="External"/><Relationship Id="rId5" Type="http://schemas.openxmlformats.org/officeDocument/2006/relationships/hyperlink" Target="https://www.epa.gov/energy/greenhouse-gases-equivalencies-calculator-calculations-and-references" TargetMode="External"/><Relationship Id="rId10" Type="http://schemas.openxmlformats.org/officeDocument/2006/relationships/printerSettings" Target="../printerSettings/printerSettings5.bin"/><Relationship Id="rId4" Type="http://schemas.openxmlformats.org/officeDocument/2006/relationships/hyperlink" Target="https://www.epa.gov/energy/greenhouse-gases-equivalencies-calculator-calculations-and-references" TargetMode="External"/><Relationship Id="rId9" Type="http://schemas.openxmlformats.org/officeDocument/2006/relationships/hyperlink" Target="https://www.eia.gov/consumption/residential/data/2020/index.php?view=consumption"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E02F81E-B970-4DE4-BBAB-DCE4437C4ECB}">
  <dimension ref="B2:F17"/>
  <sheetViews>
    <sheetView tabSelected="1" workbookViewId="0">
      <selection activeCell="B20" sqref="B20"/>
    </sheetView>
  </sheetViews>
  <sheetFormatPr defaultRowHeight="12.75" x14ac:dyDescent="0.2"/>
  <cols>
    <col min="2" max="2" width="78.140625" customWidth="1"/>
    <col min="3" max="3" width="1" hidden="1" customWidth="1"/>
    <col min="4" max="4" width="31.42578125" customWidth="1"/>
    <col min="5" max="5" width="27.140625" customWidth="1"/>
    <col min="6" max="6" width="15.28515625" customWidth="1"/>
  </cols>
  <sheetData>
    <row r="2" spans="2:6" ht="13.5" thickBot="1" x14ac:dyDescent="0.25"/>
    <row r="3" spans="2:6" ht="18.75" thickBot="1" x14ac:dyDescent="0.3">
      <c r="B3" s="394" t="s">
        <v>306</v>
      </c>
      <c r="C3" s="395"/>
      <c r="D3" s="395"/>
      <c r="E3" s="396"/>
      <c r="F3" s="19"/>
    </row>
    <row r="4" spans="2:6" ht="18.75" thickBot="1" x14ac:dyDescent="0.3">
      <c r="B4" s="397"/>
      <c r="C4" s="397"/>
      <c r="D4" s="398" t="s">
        <v>285</v>
      </c>
      <c r="E4" s="399" t="s">
        <v>284</v>
      </c>
      <c r="F4" s="19"/>
    </row>
    <row r="5" spans="2:6" ht="18" x14ac:dyDescent="0.25">
      <c r="B5" s="400" t="s">
        <v>295</v>
      </c>
      <c r="C5" s="429" t="s">
        <v>307</v>
      </c>
      <c r="D5" s="421">
        <f>39900*5</f>
        <v>199500</v>
      </c>
      <c r="E5" s="422">
        <f>39900*25</f>
        <v>997500</v>
      </c>
      <c r="F5" s="19"/>
    </row>
    <row r="6" spans="2:6" ht="18" x14ac:dyDescent="0.25">
      <c r="B6" s="401" t="s">
        <v>294</v>
      </c>
      <c r="C6" s="430" t="s">
        <v>308</v>
      </c>
      <c r="D6" s="423">
        <f>(110343.04*5)</f>
        <v>551715.19999999995</v>
      </c>
      <c r="E6" s="424">
        <f>(110343.04*25)</f>
        <v>2758576</v>
      </c>
      <c r="F6" s="19"/>
    </row>
    <row r="7" spans="2:6" ht="42" customHeight="1" x14ac:dyDescent="0.25">
      <c r="B7" s="409" t="s">
        <v>305</v>
      </c>
      <c r="C7" s="431" t="s">
        <v>309</v>
      </c>
      <c r="D7" s="423">
        <v>76893</v>
      </c>
      <c r="E7" s="424">
        <v>422909</v>
      </c>
      <c r="F7" s="19"/>
    </row>
    <row r="8" spans="2:6" ht="36.75" customHeight="1" x14ac:dyDescent="0.25">
      <c r="B8" s="410" t="s">
        <v>310</v>
      </c>
      <c r="C8" s="432" t="s">
        <v>311</v>
      </c>
      <c r="D8" s="425">
        <v>7922</v>
      </c>
      <c r="E8" s="426">
        <v>30810</v>
      </c>
      <c r="F8" s="19"/>
    </row>
    <row r="9" spans="2:6" ht="18.75" thickBot="1" x14ac:dyDescent="0.3">
      <c r="B9" s="402" t="s">
        <v>289</v>
      </c>
      <c r="C9" s="433" t="s">
        <v>312</v>
      </c>
      <c r="D9" s="427">
        <v>38248</v>
      </c>
      <c r="E9" s="428">
        <v>191239</v>
      </c>
      <c r="F9" s="19"/>
    </row>
    <row r="10" spans="2:6" ht="18.75" thickBot="1" x14ac:dyDescent="0.3">
      <c r="B10" s="405" t="s">
        <v>290</v>
      </c>
      <c r="C10" s="434"/>
      <c r="D10" s="403">
        <f>SUM(D5:D9)</f>
        <v>874278.2</v>
      </c>
      <c r="E10" s="404">
        <f>SUM(E5:E9)</f>
        <v>4401034</v>
      </c>
      <c r="F10" s="436"/>
    </row>
    <row r="11" spans="2:6" ht="18" x14ac:dyDescent="0.25">
      <c r="B11" s="406" t="s">
        <v>291</v>
      </c>
      <c r="C11" s="406"/>
    </row>
    <row r="12" spans="2:6" x14ac:dyDescent="0.2">
      <c r="B12" s="7" t="s">
        <v>292</v>
      </c>
      <c r="C12" s="7"/>
    </row>
    <row r="13" spans="2:6" x14ac:dyDescent="0.2">
      <c r="B13" s="7" t="s">
        <v>293</v>
      </c>
      <c r="C13" s="7"/>
    </row>
    <row r="14" spans="2:6" x14ac:dyDescent="0.2">
      <c r="B14" s="392" t="s">
        <v>322</v>
      </c>
      <c r="C14" s="392"/>
      <c r="D14" s="392"/>
      <c r="E14" s="392"/>
    </row>
    <row r="15" spans="2:6" x14ac:dyDescent="0.2">
      <c r="B15" s="435" t="s">
        <v>323</v>
      </c>
      <c r="C15" s="435"/>
      <c r="D15" s="435"/>
      <c r="E15" s="435"/>
    </row>
    <row r="16" spans="2:6" x14ac:dyDescent="0.2">
      <c r="B16" s="408"/>
      <c r="C16" s="408"/>
      <c r="D16" s="408"/>
      <c r="E16" s="408"/>
      <c r="F16" s="407"/>
    </row>
    <row r="17" spans="2:5" x14ac:dyDescent="0.2">
      <c r="B17" s="408"/>
      <c r="C17" s="408"/>
      <c r="D17" s="408"/>
      <c r="E17" s="408"/>
    </row>
  </sheetData>
  <mergeCells count="4">
    <mergeCell ref="B3:E3"/>
    <mergeCell ref="B16:E17"/>
    <mergeCell ref="B14:E14"/>
    <mergeCell ref="B15:E15"/>
  </mergeCells>
  <pageMargins left="0.7" right="0.7" top="0.75" bottom="0.75" header="0.3" footer="0.3"/>
  <pageSetup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T32"/>
  <sheetViews>
    <sheetView showGridLines="0" topLeftCell="A14" zoomScaleNormal="100" workbookViewId="0">
      <selection activeCell="A35" sqref="A35"/>
    </sheetView>
  </sheetViews>
  <sheetFormatPr defaultRowHeight="12.75" x14ac:dyDescent="0.2"/>
  <cols>
    <col min="1" max="1" width="15.7109375" customWidth="1"/>
    <col min="2" max="2" width="11.28515625" customWidth="1"/>
    <col min="3" max="3" width="11.85546875" customWidth="1"/>
    <col min="4" max="4" width="14" customWidth="1"/>
    <col min="5" max="5" width="11.85546875" customWidth="1"/>
    <col min="6" max="6" width="10.5703125" customWidth="1"/>
    <col min="7" max="7" width="11.85546875" customWidth="1"/>
    <col min="8" max="9" width="10.5703125" customWidth="1"/>
    <col min="10" max="10" width="10.7109375" customWidth="1"/>
    <col min="11" max="12" width="13.7109375" customWidth="1"/>
    <col min="13" max="13" width="12.140625" customWidth="1"/>
    <col min="14" max="15" width="11.7109375" customWidth="1"/>
    <col min="16" max="16" width="9.7109375" bestFit="1" customWidth="1"/>
    <col min="18" max="18" width="10.140625" bestFit="1" customWidth="1"/>
    <col min="20" max="20" width="8.5703125" bestFit="1" customWidth="1"/>
    <col min="21" max="21" width="10.140625" bestFit="1" customWidth="1"/>
    <col min="22" max="22" width="10.85546875" bestFit="1" customWidth="1"/>
    <col min="23" max="23" width="9.7109375" bestFit="1" customWidth="1"/>
  </cols>
  <sheetData>
    <row r="1" spans="1:20" ht="18" x14ac:dyDescent="0.25">
      <c r="A1" s="19"/>
      <c r="B1" s="19"/>
      <c r="C1" s="19"/>
      <c r="D1" s="19"/>
      <c r="E1" s="19"/>
      <c r="F1" s="19"/>
      <c r="G1" s="19"/>
      <c r="H1" s="19"/>
      <c r="I1" s="19"/>
      <c r="J1" s="19"/>
      <c r="K1" s="19"/>
      <c r="L1" s="19"/>
      <c r="M1" s="19"/>
      <c r="N1" s="19"/>
      <c r="O1" s="10"/>
      <c r="P1" s="10"/>
      <c r="Q1" s="10"/>
      <c r="R1" s="10"/>
      <c r="S1" s="10"/>
      <c r="T1" s="10"/>
    </row>
    <row r="2" spans="1:20" ht="18" x14ac:dyDescent="0.25">
      <c r="A2" s="127" t="s">
        <v>47</v>
      </c>
      <c r="B2" s="127"/>
      <c r="C2" s="127"/>
      <c r="D2" s="127"/>
      <c r="E2" s="127"/>
      <c r="F2" s="127"/>
      <c r="G2" s="127"/>
      <c r="H2" s="127"/>
      <c r="I2" s="127"/>
      <c r="J2" s="127"/>
      <c r="K2" s="127"/>
      <c r="L2" s="127"/>
      <c r="M2" s="11"/>
      <c r="N2" s="11"/>
      <c r="O2" s="10"/>
      <c r="P2" s="10"/>
      <c r="Q2" s="10"/>
      <c r="R2" s="10"/>
      <c r="S2" s="10"/>
      <c r="T2" s="10"/>
    </row>
    <row r="3" spans="1:20" ht="18" x14ac:dyDescent="0.25">
      <c r="A3" s="139" t="str">
        <f>IF(OR(OR(AND($D$8&gt;0,$I$7&gt;0),AND($D$8&gt;0,$I$9&gt;0),AND($I$7&gt;0,$I$9&gt;0))),"Warning:  Only one of the three green entry boxes below should be filled in.","")</f>
        <v/>
      </c>
      <c r="B3" s="139"/>
      <c r="C3" s="139"/>
      <c r="D3" s="139"/>
      <c r="E3" s="139"/>
      <c r="F3" s="139"/>
      <c r="G3" s="139"/>
      <c r="H3" s="139"/>
      <c r="I3" s="139"/>
      <c r="J3" s="139"/>
      <c r="K3" s="139"/>
      <c r="L3" s="139"/>
      <c r="M3" s="19"/>
      <c r="N3" s="19"/>
      <c r="O3" s="10"/>
      <c r="P3" s="10"/>
      <c r="Q3" s="10"/>
      <c r="R3" s="10"/>
      <c r="S3" s="10"/>
      <c r="T3" s="10"/>
    </row>
    <row r="4" spans="1:20" x14ac:dyDescent="0.2">
      <c r="A4" s="5"/>
      <c r="B4" s="5"/>
      <c r="C4" s="5"/>
      <c r="D4" s="5"/>
      <c r="E4" s="5"/>
      <c r="F4" s="103" t="s">
        <v>87</v>
      </c>
      <c r="G4" s="20"/>
      <c r="H4" s="4"/>
      <c r="I4" s="4"/>
      <c r="J4" s="4"/>
      <c r="K4" s="4"/>
      <c r="L4" s="4"/>
      <c r="M4" s="4"/>
      <c r="N4" s="4"/>
      <c r="O4" s="4"/>
      <c r="P4" s="4"/>
      <c r="Q4" s="4"/>
      <c r="R4" s="4"/>
      <c r="S4" s="4"/>
    </row>
    <row r="5" spans="1:20" ht="60" customHeight="1" x14ac:dyDescent="0.2">
      <c r="A5" s="156" t="s">
        <v>78</v>
      </c>
      <c r="B5" s="156"/>
      <c r="C5" s="156"/>
      <c r="D5" s="156"/>
      <c r="E5" s="156"/>
      <c r="F5" s="156"/>
      <c r="G5" s="156"/>
      <c r="H5" s="156"/>
      <c r="I5" s="156"/>
      <c r="J5" s="156"/>
      <c r="K5" s="156"/>
      <c r="L5" s="156"/>
      <c r="M5" s="4"/>
      <c r="N5" s="4"/>
      <c r="O5" s="4"/>
      <c r="P5" s="4"/>
      <c r="Q5" s="4"/>
      <c r="R5" s="4"/>
      <c r="S5" s="4"/>
    </row>
    <row r="6" spans="1:20" x14ac:dyDescent="0.2">
      <c r="A6" s="5"/>
      <c r="B6" s="5"/>
      <c r="C6" s="5"/>
      <c r="D6" s="5"/>
      <c r="E6" s="4"/>
      <c r="F6" s="4"/>
      <c r="G6" s="4"/>
      <c r="H6" s="4"/>
      <c r="I6" s="4"/>
      <c r="J6" s="4"/>
      <c r="K6" s="4"/>
      <c r="L6" s="4"/>
      <c r="M6" s="4"/>
      <c r="N6" s="4"/>
      <c r="O6" s="4"/>
      <c r="P6" s="4"/>
      <c r="Q6" s="4"/>
      <c r="R6" s="4"/>
      <c r="S6" s="4"/>
    </row>
    <row r="7" spans="1:20" ht="13.15" customHeight="1" x14ac:dyDescent="0.2">
      <c r="A7" s="149" t="s">
        <v>55</v>
      </c>
      <c r="B7" s="149"/>
      <c r="C7" s="149"/>
      <c r="D7" s="6"/>
      <c r="F7" s="149" t="s">
        <v>56</v>
      </c>
      <c r="G7" s="149"/>
      <c r="H7" s="149"/>
      <c r="I7" s="37"/>
      <c r="J7" t="s">
        <v>9</v>
      </c>
    </row>
    <row r="8" spans="1:20" x14ac:dyDescent="0.2">
      <c r="A8" s="149"/>
      <c r="B8" s="149"/>
      <c r="C8" s="149"/>
      <c r="D8" s="36"/>
      <c r="E8" s="12" t="s">
        <v>57</v>
      </c>
      <c r="F8" s="149"/>
      <c r="G8" s="149"/>
      <c r="H8" s="149"/>
      <c r="I8" s="13" t="s">
        <v>3</v>
      </c>
    </row>
    <row r="9" spans="1:20" x14ac:dyDescent="0.2">
      <c r="C9" s="7"/>
      <c r="D9" s="7"/>
      <c r="E9" s="12"/>
      <c r="F9" s="12"/>
      <c r="G9" s="8"/>
      <c r="H9" s="7"/>
      <c r="I9" s="38">
        <v>260</v>
      </c>
      <c r="J9" t="s">
        <v>10</v>
      </c>
    </row>
    <row r="10" spans="1:20" ht="45" customHeight="1" x14ac:dyDescent="0.2">
      <c r="A10" s="159" t="s">
        <v>75</v>
      </c>
      <c r="B10" s="159"/>
      <c r="C10" s="159"/>
      <c r="D10" s="7"/>
      <c r="E10" s="12"/>
      <c r="F10" s="12"/>
      <c r="G10" s="8"/>
      <c r="H10" s="7"/>
      <c r="I10" s="7"/>
    </row>
    <row r="11" spans="1:20" ht="25.15" customHeight="1" x14ac:dyDescent="0.2">
      <c r="A11" s="159"/>
      <c r="B11" s="159"/>
      <c r="C11" s="159"/>
      <c r="D11" s="157" t="s">
        <v>71</v>
      </c>
      <c r="E11" s="158"/>
      <c r="F11" s="12"/>
      <c r="G11" s="8"/>
      <c r="H11" s="7"/>
      <c r="I11" s="7"/>
    </row>
    <row r="12" spans="1:20" ht="16.5" customHeight="1" x14ac:dyDescent="0.2">
      <c r="A12" s="149"/>
      <c r="B12" s="149"/>
      <c r="C12" s="149"/>
      <c r="D12" s="7"/>
      <c r="E12" s="12"/>
      <c r="F12" s="12"/>
      <c r="G12" s="8"/>
      <c r="H12" s="7"/>
      <c r="I12" s="7"/>
    </row>
    <row r="13" spans="1:20" ht="8.1" customHeight="1" thickBot="1" x14ac:dyDescent="0.25">
      <c r="A13" s="20"/>
    </row>
    <row r="14" spans="1:20" ht="15" x14ac:dyDescent="0.2">
      <c r="A14" s="132" t="s">
        <v>0</v>
      </c>
      <c r="B14" s="133"/>
      <c r="C14" s="133"/>
      <c r="D14" s="134"/>
      <c r="E14" s="135" t="s">
        <v>1</v>
      </c>
      <c r="F14" s="133"/>
      <c r="G14" s="133"/>
      <c r="H14" s="134"/>
      <c r="I14" s="135" t="s">
        <v>2</v>
      </c>
      <c r="J14" s="133"/>
      <c r="K14" s="133"/>
      <c r="L14" s="136"/>
      <c r="N14" s="2"/>
      <c r="O14" s="3"/>
      <c r="P14" s="1"/>
      <c r="Q14" s="1"/>
      <c r="R14" s="1"/>
      <c r="S14" s="1"/>
      <c r="T14" s="1"/>
    </row>
    <row r="15" spans="1:20" x14ac:dyDescent="0.2">
      <c r="A15" s="140" t="s">
        <v>28</v>
      </c>
      <c r="B15" s="141"/>
      <c r="C15" s="141"/>
      <c r="D15" s="142"/>
      <c r="E15" s="147" t="s">
        <v>29</v>
      </c>
      <c r="F15" s="141"/>
      <c r="G15" s="141"/>
      <c r="H15" s="142"/>
      <c r="I15" s="147" t="s">
        <v>27</v>
      </c>
      <c r="J15" s="141"/>
      <c r="K15" s="141"/>
      <c r="L15" s="148"/>
      <c r="N15" s="2"/>
      <c r="O15" s="2"/>
      <c r="P15" s="1"/>
      <c r="Q15" s="1"/>
      <c r="R15" s="1"/>
      <c r="S15" s="1"/>
      <c r="T15" s="1"/>
    </row>
    <row r="16" spans="1:20" ht="14.25" x14ac:dyDescent="0.25">
      <c r="A16" s="143" t="s">
        <v>58</v>
      </c>
      <c r="B16" s="144"/>
      <c r="C16" s="145" t="s">
        <v>59</v>
      </c>
      <c r="D16" s="146"/>
      <c r="E16" s="145" t="s">
        <v>58</v>
      </c>
      <c r="F16" s="144"/>
      <c r="G16" s="145" t="s">
        <v>60</v>
      </c>
      <c r="H16" s="146"/>
      <c r="I16" s="145" t="s">
        <v>58</v>
      </c>
      <c r="J16" s="144"/>
      <c r="K16" s="29" t="s">
        <v>59</v>
      </c>
      <c r="L16" s="30" t="s">
        <v>60</v>
      </c>
      <c r="N16" s="1"/>
      <c r="O16" s="1"/>
      <c r="P16" s="1"/>
      <c r="Q16" s="1"/>
      <c r="R16" s="1"/>
      <c r="S16" s="1"/>
      <c r="T16" s="1"/>
    </row>
    <row r="17" spans="1:20" ht="12.75" customHeight="1" x14ac:dyDescent="0.2">
      <c r="A17" s="128" t="s">
        <v>12</v>
      </c>
      <c r="B17" s="129"/>
      <c r="C17" s="137" t="s">
        <v>13</v>
      </c>
      <c r="D17" s="129"/>
      <c r="E17" s="137" t="s">
        <v>12</v>
      </c>
      <c r="F17" s="129"/>
      <c r="G17" s="137" t="s">
        <v>14</v>
      </c>
      <c r="H17" s="129"/>
      <c r="I17" s="137" t="s">
        <v>12</v>
      </c>
      <c r="J17" s="129"/>
      <c r="K17" s="150" t="s">
        <v>13</v>
      </c>
      <c r="L17" s="152" t="s">
        <v>15</v>
      </c>
      <c r="N17" s="1"/>
      <c r="O17" s="1"/>
      <c r="P17" s="1"/>
      <c r="Q17" s="1"/>
      <c r="R17" s="1"/>
      <c r="S17" s="1"/>
      <c r="T17" s="1"/>
    </row>
    <row r="18" spans="1:20" x14ac:dyDescent="0.2">
      <c r="A18" s="130"/>
      <c r="B18" s="131"/>
      <c r="C18" s="138"/>
      <c r="D18" s="131"/>
      <c r="E18" s="138"/>
      <c r="F18" s="131"/>
      <c r="G18" s="138"/>
      <c r="H18" s="131"/>
      <c r="I18" s="138"/>
      <c r="J18" s="131"/>
      <c r="K18" s="151"/>
      <c r="L18" s="153" t="s">
        <v>11</v>
      </c>
      <c r="N18" s="1"/>
      <c r="O18" s="1"/>
      <c r="P18" s="1"/>
      <c r="Q18" s="1"/>
      <c r="R18" s="1"/>
      <c r="S18" s="1"/>
      <c r="T18" s="1"/>
    </row>
    <row r="19" spans="1:20" x14ac:dyDescent="0.2">
      <c r="A19" s="122">
        <f>IF($D$8&gt;0,$D$8*'LF. Calculations and References'!$B$5*'LF. Calculations and References'!$B$9*'LF. Calculations and References'!$B$21/'LF. Calculations and References'!$B$18*'LF. Calculations and References'!$B$15/'LF. Calculations and References'!$B$10*'LF. Calculations and References'!$B$11/'LF. Calculations and References'!$B$12*'LF. Calculations and References'!$B$34*'LF. Calculations and References'!$B$29,IF($I$7&gt;0,$I$7,IF($I$9&gt;0,$I$9*'LF. Calculations and References'!$B$7*'LF. Calculations and References'!$B$8/'LF. Calculations and References'!$B$13))*'LF. Calculations and References'!$B$6*'LF. Calculations and References'!$B$13*'LF. Calculations and References'!$B$16*'LF. Calculations and References'!$B$15/'LF. Calculations and References'!$B$10*'LF. Calculations and References'!$B$11/'LF. Calculations and References'!$B$12*'LF. Calculations and References'!$B$34)</f>
        <v>3.6708797099519998E-2</v>
      </c>
      <c r="B19" s="107"/>
      <c r="C19" s="108">
        <f>$A$19*'LF. Calculations and References'!$B$12/'LF. Calculations and References'!$B$11/'LF. Calculations and References'!$B$34</f>
        <v>1445.1371999999999</v>
      </c>
      <c r="D19" s="109"/>
      <c r="E19" s="106">
        <f>IF($D$8&gt;0,$D$8*'LF. Calculations and References'!$B$5*(VLOOKUP(D11,#REF!,2,FALSE))/'LF. Calculations and References'!$B$10*'LF. Calculations and References'!$B$11/'LF. Calculations and References'!$B$12*'LF. Calculations and References'!$B$30,IF($I$7&gt;0,$I$7,IF($I$9&gt;0,$I$9*'LF. Calculations and References'!$B$7*'LF. Calculations and References'!$B$8/'LF. Calculations and References'!$B$13))*'LF. Calculations and References'!$B$6*'LF. Calculations and References'!$B$13*'LF. Calculations and References'!$B$16*'LF. Calculations and References'!$B$18/'LF. Calculations and References'!$B$19*'LF. Calculations and References'!B25/'LF. Calculations and References'!$B$10*'LF. Calculations and References'!$B$11/'LF. Calculations and References'!$B$12*'LF. Calculations and References'!$B$32)</f>
        <v>3.2361134474972165E-3</v>
      </c>
      <c r="F19" s="107"/>
      <c r="G19" s="108">
        <f>$E$19*'LF. Calculations and References'!$B$12/'LF. Calculations and References'!$B$11</f>
        <v>3567.1444527085719</v>
      </c>
      <c r="H19" s="109"/>
      <c r="I19" s="106">
        <f>$A19+$E19</f>
        <v>3.9944910547017216E-2</v>
      </c>
      <c r="J19" s="107"/>
      <c r="K19" s="31">
        <f>$C$19</f>
        <v>1445.1371999999999</v>
      </c>
      <c r="L19" s="32">
        <f>$G$19</f>
        <v>3567.1444527085719</v>
      </c>
    </row>
    <row r="20" spans="1:20" ht="13.5" customHeight="1" x14ac:dyDescent="0.2">
      <c r="A20" s="114" t="s">
        <v>8</v>
      </c>
      <c r="B20" s="111"/>
      <c r="C20" s="111"/>
      <c r="D20" s="112"/>
      <c r="E20" s="110" t="s">
        <v>8</v>
      </c>
      <c r="F20" s="111"/>
      <c r="G20" s="111"/>
      <c r="H20" s="112"/>
      <c r="I20" s="15" t="s">
        <v>8</v>
      </c>
      <c r="J20" s="16"/>
      <c r="K20" s="16"/>
      <c r="L20" s="17"/>
      <c r="M20" s="9"/>
    </row>
    <row r="21" spans="1:20" ht="13.5" customHeight="1" x14ac:dyDescent="0.2">
      <c r="A21" s="27" t="s">
        <v>48</v>
      </c>
      <c r="B21" s="23"/>
      <c r="C21" s="23"/>
      <c r="D21" s="24"/>
      <c r="E21" s="28" t="s">
        <v>48</v>
      </c>
      <c r="F21" s="23"/>
      <c r="G21" s="23"/>
      <c r="H21" s="24"/>
      <c r="I21" s="28" t="s">
        <v>48</v>
      </c>
      <c r="J21" s="25"/>
      <c r="K21" s="25"/>
      <c r="L21" s="26"/>
      <c r="M21" s="9"/>
    </row>
    <row r="22" spans="1:20" ht="12.75" customHeight="1" x14ac:dyDescent="0.2">
      <c r="A22" s="115" t="s">
        <v>65</v>
      </c>
      <c r="B22" s="116"/>
      <c r="C22" s="116"/>
      <c r="D22" s="126">
        <f>($C$19*'LF. Calculations and References'!$B$34)/('LF. Calculations and References'!$B$61/'LF. Calculations and References'!B11)</f>
        <v>43700.948927999998</v>
      </c>
      <c r="E22" s="123" t="s">
        <v>65</v>
      </c>
      <c r="F22" s="116"/>
      <c r="G22" s="116"/>
      <c r="H22" s="126">
        <f>$G$19/('LF. Calculations and References'!$B$61/'LF. Calculations and References'!B11)</f>
        <v>3852.5160089252577</v>
      </c>
      <c r="I22" s="123" t="s">
        <v>65</v>
      </c>
      <c r="J22" s="116"/>
      <c r="K22" s="116"/>
      <c r="L22" s="154">
        <f>(($K$19*'LF. Calculations and References'!$B$34)+$L$19)/('LF. Calculations and References'!$B$61/'LF. Calculations and References'!B11)</f>
        <v>47553.464936925251</v>
      </c>
      <c r="M22" s="9"/>
    </row>
    <row r="23" spans="1:20" x14ac:dyDescent="0.2">
      <c r="A23" s="117"/>
      <c r="B23" s="116"/>
      <c r="C23" s="116"/>
      <c r="D23" s="126"/>
      <c r="E23" s="124"/>
      <c r="F23" s="116"/>
      <c r="G23" s="116"/>
      <c r="H23" s="126"/>
      <c r="I23" s="124"/>
      <c r="J23" s="116"/>
      <c r="K23" s="116"/>
      <c r="L23" s="154"/>
      <c r="M23" s="9"/>
    </row>
    <row r="24" spans="1:20" ht="12.75" customHeight="1" x14ac:dyDescent="0.2">
      <c r="A24" s="115" t="str">
        <f>IF($D$8&gt;0,"• CO2 emissions from __ railcars' worth of coal burned:","• CO2 emissions from __ barrels of oil consumed:")</f>
        <v>• CO2 emissions from __ barrels of oil consumed:</v>
      </c>
      <c r="B24" s="116"/>
      <c r="C24" s="116"/>
      <c r="D24" s="126">
        <f>IF($D$8&gt;0,$C$19*('LF. Calculations and References'!$B$34)/('LF. Calculations and References'!$B$62/'LF. Calculations and References'!B11),$C$19*('LF. Calculations and References'!$B$34)/('LF. Calculations and References'!$B$63/'LF. Calculations and References'!B11))</f>
        <v>85369.295580279068</v>
      </c>
      <c r="E24" s="123" t="str">
        <f>IF($D$8&gt;0,"• CO2 emissions from __ railcars' worth of coal burned:","• CO2 emissions from __ barrels of oil consumed:")</f>
        <v>• CO2 emissions from __ barrels of oil consumed:</v>
      </c>
      <c r="F24" s="116"/>
      <c r="G24" s="116"/>
      <c r="H24" s="126">
        <f>IF($D$8&gt;0,$G$19/('LF. Calculations and References'!$B$62/'LF. Calculations and References'!B11),$G$19/('LF. Calculations and References'!$B$63/'LF. Calculations and References'!B11))</f>
        <v>7525.8452267377124</v>
      </c>
      <c r="I24" s="123" t="str">
        <f>IF($D$8&gt;0,"• CO2 emissions from __ railcars' worth of coal burned:","• CO2 emissions from __ barrels of oil consumed:")</f>
        <v>• CO2 emissions from __ barrels of oil consumed:</v>
      </c>
      <c r="J24" s="116"/>
      <c r="K24" s="116"/>
      <c r="L24" s="154">
        <f>IF($D$8&gt;0,(($K$19*'LF. Calculations and References'!$B$34)+$L$19)/('LF. Calculations and References'!$B$62/'LF. Calculations and References'!B11),(($K$19*'LF. Calculations and References'!$B$34)+$L$19)/('LF. Calculations and References'!$B$63/'LF. Calculations and References'!B11))</f>
        <v>92895.140807016782</v>
      </c>
      <c r="M24" s="9"/>
    </row>
    <row r="25" spans="1:20" x14ac:dyDescent="0.2">
      <c r="A25" s="117"/>
      <c r="B25" s="116"/>
      <c r="C25" s="116"/>
      <c r="D25" s="126"/>
      <c r="E25" s="124"/>
      <c r="F25" s="116"/>
      <c r="G25" s="116"/>
      <c r="H25" s="126"/>
      <c r="I25" s="124"/>
      <c r="J25" s="116"/>
      <c r="K25" s="116"/>
      <c r="L25" s="154"/>
      <c r="M25" s="9"/>
    </row>
    <row r="26" spans="1:20" x14ac:dyDescent="0.2">
      <c r="A26" s="115" t="s">
        <v>63</v>
      </c>
      <c r="B26" s="116"/>
      <c r="C26" s="116"/>
      <c r="D26" s="120">
        <f>$C$19*('LF. Calculations and References'!$B$34)/('LF. Calculations and References'!$B$64/'LF. Calculations and References'!B11)</f>
        <v>4130617.4298998532</v>
      </c>
      <c r="E26" s="123" t="s">
        <v>63</v>
      </c>
      <c r="F26" s="116"/>
      <c r="G26" s="116"/>
      <c r="H26" s="120">
        <f>$G$19/('LF. Calculations and References'!$B$64/'LF. Calculations and References'!B11)</f>
        <v>364140.14262374438</v>
      </c>
      <c r="I26" s="123" t="s">
        <v>63</v>
      </c>
      <c r="J26" s="116"/>
      <c r="K26" s="116"/>
      <c r="L26" s="154">
        <f>(($K$19*'LF. Calculations and References'!$B$34)+$L$19)/('LF. Calculations and References'!$B$64/'LF. Calculations and References'!B11)</f>
        <v>4494757.5725235976</v>
      </c>
      <c r="M26" s="9"/>
    </row>
    <row r="27" spans="1:20" ht="13.5" thickBot="1" x14ac:dyDescent="0.25">
      <c r="A27" s="118"/>
      <c r="B27" s="119"/>
      <c r="C27" s="119"/>
      <c r="D27" s="121"/>
      <c r="E27" s="125"/>
      <c r="F27" s="119"/>
      <c r="G27" s="119"/>
      <c r="H27" s="121"/>
      <c r="I27" s="125"/>
      <c r="J27" s="119"/>
      <c r="K27" s="119"/>
      <c r="L27" s="155"/>
      <c r="M27" s="9"/>
    </row>
    <row r="28" spans="1:20" ht="9" customHeight="1" x14ac:dyDescent="0.2">
      <c r="A28" s="33"/>
      <c r="B28" s="33"/>
      <c r="C28" s="34"/>
      <c r="D28" s="35"/>
      <c r="E28" s="33"/>
      <c r="F28" s="33"/>
      <c r="G28" s="34"/>
      <c r="H28" s="35"/>
      <c r="I28" s="33"/>
      <c r="J28" s="33"/>
      <c r="K28" s="35"/>
      <c r="L28" s="35"/>
      <c r="M28" s="9"/>
    </row>
    <row r="29" spans="1:20" x14ac:dyDescent="0.2">
      <c r="E29" s="42" t="s">
        <v>61</v>
      </c>
      <c r="F29" s="41"/>
      <c r="G29" s="41"/>
      <c r="H29" s="41"/>
      <c r="I29" s="33"/>
      <c r="J29" s="33"/>
      <c r="K29" s="35"/>
      <c r="L29" s="35"/>
      <c r="M29" s="9"/>
    </row>
    <row r="30" spans="1:20" x14ac:dyDescent="0.2">
      <c r="A30" s="113" t="s">
        <v>53</v>
      </c>
      <c r="B30" s="113"/>
      <c r="C30" s="113"/>
      <c r="D30" s="113"/>
      <c r="E30" s="43" t="str">
        <f>IF($D$8&gt;0,"• Powering __ homes:","• Heating __ homes:")</f>
        <v>• Heating __ homes:</v>
      </c>
      <c r="F30" s="33"/>
      <c r="H30" s="35">
        <f>IF($D$8&gt;0,$D$8*'LF. Calculations and References'!$B$9*'LF. Calculations and References'!$B$5/'LF. Calculations and References'!$B$65*'LF. Calculations and References'!$B$30*'LF. Calculations and References'!$B$31,IF($I$7&gt;0,$I$7*'LF. Calculations and References'!$B$13*'LF. Calculations and References'!$B$6*'LF. Calculations and References'!$B$16*'LF. Calculations and References'!$B$18*'LF. Calculations and References'!$B$32/('LF. Calculations and References'!$B$19*'LF. Calculations and References'!$B$66),IF($I$9&gt;0,$I$9*'LF. Calculations and References'!$B$8*'LF. Calculations and References'!$B$7*'LF. Calculations and References'!$B$6*'LF. Calculations and References'!$B$16*'LF. Calculations and References'!$B$18*'LF. Calculations and References'!$B$32/('LF. Calculations and References'!$B$19*'LF. Calculations and References'!$B$66),0)))</f>
        <v>1058.3867755102042</v>
      </c>
      <c r="I30" s="33"/>
      <c r="J30" s="33"/>
      <c r="K30" s="35"/>
      <c r="L30" s="35"/>
      <c r="M30" s="9"/>
    </row>
    <row r="31" spans="1:20" ht="9.9499999999999993" customHeight="1" x14ac:dyDescent="0.2">
      <c r="E31" s="33"/>
      <c r="F31" s="33"/>
      <c r="G31" s="34"/>
      <c r="H31" s="35"/>
      <c r="I31" s="33"/>
      <c r="M31" s="9"/>
    </row>
    <row r="32" spans="1:20" x14ac:dyDescent="0.2">
      <c r="A32" s="104" t="s">
        <v>76</v>
      </c>
      <c r="B32" s="104"/>
      <c r="C32" s="104"/>
      <c r="D32" s="104"/>
      <c r="E32" s="104"/>
      <c r="F32" s="104"/>
      <c r="G32" s="104"/>
      <c r="H32" s="104"/>
      <c r="I32" s="104"/>
      <c r="J32" s="104"/>
      <c r="K32" s="105"/>
    </row>
  </sheetData>
  <sheetProtection algorithmName="SHA-512" hashValue="15GnsGqme9byLMP6VkQyLUe2j9WDtbmahYdH5JiI5j58Z2+I48bo7O56bzNNvWPXrvhwTMwHz91DjNmbeIUAqQ==" saltValue="2qdZwCJrNxfB12iFRR+BDQ==" spinCount="100000" sheet="1" objects="1" scenarios="1"/>
  <mergeCells count="53">
    <mergeCell ref="A5:L5"/>
    <mergeCell ref="I16:J16"/>
    <mergeCell ref="E16:F16"/>
    <mergeCell ref="D11:E11"/>
    <mergeCell ref="L22:L23"/>
    <mergeCell ref="F7:H8"/>
    <mergeCell ref="C17:D18"/>
    <mergeCell ref="G17:H18"/>
    <mergeCell ref="A10:C11"/>
    <mergeCell ref="A12:C12"/>
    <mergeCell ref="G16:H16"/>
    <mergeCell ref="L24:L25"/>
    <mergeCell ref="D24:D25"/>
    <mergeCell ref="E22:G23"/>
    <mergeCell ref="L26:L27"/>
    <mergeCell ref="H22:H23"/>
    <mergeCell ref="H24:H25"/>
    <mergeCell ref="H26:H27"/>
    <mergeCell ref="I22:K23"/>
    <mergeCell ref="I24:K25"/>
    <mergeCell ref="I26:K27"/>
    <mergeCell ref="A2:L2"/>
    <mergeCell ref="A17:B18"/>
    <mergeCell ref="A14:D14"/>
    <mergeCell ref="E14:H14"/>
    <mergeCell ref="I14:L14"/>
    <mergeCell ref="E17:F18"/>
    <mergeCell ref="I17:J18"/>
    <mergeCell ref="A3:L3"/>
    <mergeCell ref="A15:D15"/>
    <mergeCell ref="A16:B16"/>
    <mergeCell ref="C16:D16"/>
    <mergeCell ref="I15:L15"/>
    <mergeCell ref="A7:C8"/>
    <mergeCell ref="E15:H15"/>
    <mergeCell ref="K17:K18"/>
    <mergeCell ref="L17:L18"/>
    <mergeCell ref="A32:K32"/>
    <mergeCell ref="I19:J19"/>
    <mergeCell ref="G19:H19"/>
    <mergeCell ref="E20:H20"/>
    <mergeCell ref="A30:D30"/>
    <mergeCell ref="A20:D20"/>
    <mergeCell ref="E19:F19"/>
    <mergeCell ref="A22:C23"/>
    <mergeCell ref="A24:C25"/>
    <mergeCell ref="A26:C27"/>
    <mergeCell ref="D26:D27"/>
    <mergeCell ref="A19:B19"/>
    <mergeCell ref="C19:D19"/>
    <mergeCell ref="E24:G25"/>
    <mergeCell ref="E26:G27"/>
    <mergeCell ref="D22:D23"/>
  </mergeCells>
  <phoneticPr fontId="5" type="noConversion"/>
  <hyperlinks>
    <hyperlink ref="A30:D30" location="'Calculations and References'!A1" display="View Calculations and References" xr:uid="{00000000-0004-0000-0000-000000000000}"/>
    <hyperlink ref="A32" r:id="rId1" display="For additional equivalencies, view the Greenhouse Gas Equivalencies Calculator on the EPA Clean Energy Web site." xr:uid="{00000000-0004-0000-0000-000001000000}"/>
    <hyperlink ref="A32:J32" r:id="rId2" display="For additional environmental benefit options, view the Greenhouse Gas Equivalencies Calculator on the EPA Clean Energy website." xr:uid="{00000000-0004-0000-0000-000002000000}"/>
  </hyperlinks>
  <printOptions horizontalCentered="1"/>
  <pageMargins left="0.2" right="0.2" top="0.5" bottom="1" header="0.25" footer="0.5"/>
  <pageSetup scale="94" orientation="landscape" r:id="rId3"/>
  <headerFooter alignWithMargins="0">
    <oddFooter>&amp;LLFGE Benefits Calculator
https://www.epa.gov/lmop/
landfill-gas-energy-benefits-calculator&amp;CPage 1 of 5&amp;RLast updated May 2023</oddFooter>
  </headerFooter>
  <drawing r:id="rId4"/>
  <extLst>
    <ext xmlns:x14="http://schemas.microsoft.com/office/spreadsheetml/2009/9/main" uri="{CCE6A557-97BC-4b89-ADB6-D9C93CAAB3DF}">
      <x14:dataValidations xmlns:xm="http://schemas.microsoft.com/office/excel/2006/main" disablePrompts="1" count="1">
        <x14:dataValidation type="list" allowBlank="1" showInputMessage="1" showErrorMessage="1" xr:uid="{00000000-0002-0000-0000-000000000000}">
          <x14:formula1>
            <xm:f>#REF!</xm:f>
          </x14:formula1>
          <xm:sqref>D11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0FF8E6-7F85-4A1D-B908-9233C81A522F}">
  <dimension ref="B1:W279"/>
  <sheetViews>
    <sheetView topLeftCell="A11" workbookViewId="0">
      <selection activeCell="N12" sqref="N12"/>
    </sheetView>
  </sheetViews>
  <sheetFormatPr defaultRowHeight="12.75" x14ac:dyDescent="0.2"/>
  <cols>
    <col min="1" max="1" width="3.5703125" customWidth="1"/>
    <col min="2" max="4" width="9.42578125" hidden="1" customWidth="1"/>
    <col min="5" max="5" width="22.5703125" customWidth="1"/>
    <col min="6" max="6" width="12.140625" hidden="1" customWidth="1"/>
    <col min="7" max="7" width="12.140625" customWidth="1"/>
    <col min="8" max="11" width="12.140625" hidden="1" customWidth="1"/>
    <col min="12" max="12" width="12.140625" customWidth="1"/>
    <col min="13" max="13" width="21.7109375" customWidth="1"/>
    <col min="14" max="20" width="12.140625" customWidth="1"/>
    <col min="21" max="21" width="12.42578125" customWidth="1"/>
    <col min="23" max="23" width="13.42578125" customWidth="1"/>
    <col min="257" max="257" width="3.5703125" customWidth="1"/>
    <col min="258" max="260" width="0" hidden="1" customWidth="1"/>
    <col min="261" max="261" width="22.5703125" customWidth="1"/>
    <col min="262" max="276" width="12.140625" customWidth="1"/>
    <col min="277" max="277" width="12.42578125" customWidth="1"/>
    <col min="279" max="279" width="13.42578125" customWidth="1"/>
    <col min="513" max="513" width="3.5703125" customWidth="1"/>
    <col min="514" max="516" width="0" hidden="1" customWidth="1"/>
    <col min="517" max="517" width="22.5703125" customWidth="1"/>
    <col min="518" max="532" width="12.140625" customWidth="1"/>
    <col min="533" max="533" width="12.42578125" customWidth="1"/>
    <col min="535" max="535" width="13.42578125" customWidth="1"/>
    <col min="769" max="769" width="3.5703125" customWidth="1"/>
    <col min="770" max="772" width="0" hidden="1" customWidth="1"/>
    <col min="773" max="773" width="22.5703125" customWidth="1"/>
    <col min="774" max="788" width="12.140625" customWidth="1"/>
    <col min="789" max="789" width="12.42578125" customWidth="1"/>
    <col min="791" max="791" width="13.42578125" customWidth="1"/>
    <col min="1025" max="1025" width="3.5703125" customWidth="1"/>
    <col min="1026" max="1028" width="0" hidden="1" customWidth="1"/>
    <col min="1029" max="1029" width="22.5703125" customWidth="1"/>
    <col min="1030" max="1044" width="12.140625" customWidth="1"/>
    <col min="1045" max="1045" width="12.42578125" customWidth="1"/>
    <col min="1047" max="1047" width="13.42578125" customWidth="1"/>
    <col min="1281" max="1281" width="3.5703125" customWidth="1"/>
    <col min="1282" max="1284" width="0" hidden="1" customWidth="1"/>
    <col min="1285" max="1285" width="22.5703125" customWidth="1"/>
    <col min="1286" max="1300" width="12.140625" customWidth="1"/>
    <col min="1301" max="1301" width="12.42578125" customWidth="1"/>
    <col min="1303" max="1303" width="13.42578125" customWidth="1"/>
    <col min="1537" max="1537" width="3.5703125" customWidth="1"/>
    <col min="1538" max="1540" width="0" hidden="1" customWidth="1"/>
    <col min="1541" max="1541" width="22.5703125" customWidth="1"/>
    <col min="1542" max="1556" width="12.140625" customWidth="1"/>
    <col min="1557" max="1557" width="12.42578125" customWidth="1"/>
    <col min="1559" max="1559" width="13.42578125" customWidth="1"/>
    <col min="1793" max="1793" width="3.5703125" customWidth="1"/>
    <col min="1794" max="1796" width="0" hidden="1" customWidth="1"/>
    <col min="1797" max="1797" width="22.5703125" customWidth="1"/>
    <col min="1798" max="1812" width="12.140625" customWidth="1"/>
    <col min="1813" max="1813" width="12.42578125" customWidth="1"/>
    <col min="1815" max="1815" width="13.42578125" customWidth="1"/>
    <col min="2049" max="2049" width="3.5703125" customWidth="1"/>
    <col min="2050" max="2052" width="0" hidden="1" customWidth="1"/>
    <col min="2053" max="2053" width="22.5703125" customWidth="1"/>
    <col min="2054" max="2068" width="12.140625" customWidth="1"/>
    <col min="2069" max="2069" width="12.42578125" customWidth="1"/>
    <col min="2071" max="2071" width="13.42578125" customWidth="1"/>
    <col min="2305" max="2305" width="3.5703125" customWidth="1"/>
    <col min="2306" max="2308" width="0" hidden="1" customWidth="1"/>
    <col min="2309" max="2309" width="22.5703125" customWidth="1"/>
    <col min="2310" max="2324" width="12.140625" customWidth="1"/>
    <col min="2325" max="2325" width="12.42578125" customWidth="1"/>
    <col min="2327" max="2327" width="13.42578125" customWidth="1"/>
    <col min="2561" max="2561" width="3.5703125" customWidth="1"/>
    <col min="2562" max="2564" width="0" hidden="1" customWidth="1"/>
    <col min="2565" max="2565" width="22.5703125" customWidth="1"/>
    <col min="2566" max="2580" width="12.140625" customWidth="1"/>
    <col min="2581" max="2581" width="12.42578125" customWidth="1"/>
    <col min="2583" max="2583" width="13.42578125" customWidth="1"/>
    <col min="2817" max="2817" width="3.5703125" customWidth="1"/>
    <col min="2818" max="2820" width="0" hidden="1" customWidth="1"/>
    <col min="2821" max="2821" width="22.5703125" customWidth="1"/>
    <col min="2822" max="2836" width="12.140625" customWidth="1"/>
    <col min="2837" max="2837" width="12.42578125" customWidth="1"/>
    <col min="2839" max="2839" width="13.42578125" customWidth="1"/>
    <col min="3073" max="3073" width="3.5703125" customWidth="1"/>
    <col min="3074" max="3076" width="0" hidden="1" customWidth="1"/>
    <col min="3077" max="3077" width="22.5703125" customWidth="1"/>
    <col min="3078" max="3092" width="12.140625" customWidth="1"/>
    <col min="3093" max="3093" width="12.42578125" customWidth="1"/>
    <col min="3095" max="3095" width="13.42578125" customWidth="1"/>
    <col min="3329" max="3329" width="3.5703125" customWidth="1"/>
    <col min="3330" max="3332" width="0" hidden="1" customWidth="1"/>
    <col min="3333" max="3333" width="22.5703125" customWidth="1"/>
    <col min="3334" max="3348" width="12.140625" customWidth="1"/>
    <col min="3349" max="3349" width="12.42578125" customWidth="1"/>
    <col min="3351" max="3351" width="13.42578125" customWidth="1"/>
    <col min="3585" max="3585" width="3.5703125" customWidth="1"/>
    <col min="3586" max="3588" width="0" hidden="1" customWidth="1"/>
    <col min="3589" max="3589" width="22.5703125" customWidth="1"/>
    <col min="3590" max="3604" width="12.140625" customWidth="1"/>
    <col min="3605" max="3605" width="12.42578125" customWidth="1"/>
    <col min="3607" max="3607" width="13.42578125" customWidth="1"/>
    <col min="3841" max="3841" width="3.5703125" customWidth="1"/>
    <col min="3842" max="3844" width="0" hidden="1" customWidth="1"/>
    <col min="3845" max="3845" width="22.5703125" customWidth="1"/>
    <col min="3846" max="3860" width="12.140625" customWidth="1"/>
    <col min="3861" max="3861" width="12.42578125" customWidth="1"/>
    <col min="3863" max="3863" width="13.42578125" customWidth="1"/>
    <col min="4097" max="4097" width="3.5703125" customWidth="1"/>
    <col min="4098" max="4100" width="0" hidden="1" customWidth="1"/>
    <col min="4101" max="4101" width="22.5703125" customWidth="1"/>
    <col min="4102" max="4116" width="12.140625" customWidth="1"/>
    <col min="4117" max="4117" width="12.42578125" customWidth="1"/>
    <col min="4119" max="4119" width="13.42578125" customWidth="1"/>
    <col min="4353" max="4353" width="3.5703125" customWidth="1"/>
    <col min="4354" max="4356" width="0" hidden="1" customWidth="1"/>
    <col min="4357" max="4357" width="22.5703125" customWidth="1"/>
    <col min="4358" max="4372" width="12.140625" customWidth="1"/>
    <col min="4373" max="4373" width="12.42578125" customWidth="1"/>
    <col min="4375" max="4375" width="13.42578125" customWidth="1"/>
    <col min="4609" max="4609" width="3.5703125" customWidth="1"/>
    <col min="4610" max="4612" width="0" hidden="1" customWidth="1"/>
    <col min="4613" max="4613" width="22.5703125" customWidth="1"/>
    <col min="4614" max="4628" width="12.140625" customWidth="1"/>
    <col min="4629" max="4629" width="12.42578125" customWidth="1"/>
    <col min="4631" max="4631" width="13.42578125" customWidth="1"/>
    <col min="4865" max="4865" width="3.5703125" customWidth="1"/>
    <col min="4866" max="4868" width="0" hidden="1" customWidth="1"/>
    <col min="4869" max="4869" width="22.5703125" customWidth="1"/>
    <col min="4870" max="4884" width="12.140625" customWidth="1"/>
    <col min="4885" max="4885" width="12.42578125" customWidth="1"/>
    <col min="4887" max="4887" width="13.42578125" customWidth="1"/>
    <col min="5121" max="5121" width="3.5703125" customWidth="1"/>
    <col min="5122" max="5124" width="0" hidden="1" customWidth="1"/>
    <col min="5125" max="5125" width="22.5703125" customWidth="1"/>
    <col min="5126" max="5140" width="12.140625" customWidth="1"/>
    <col min="5141" max="5141" width="12.42578125" customWidth="1"/>
    <col min="5143" max="5143" width="13.42578125" customWidth="1"/>
    <col min="5377" max="5377" width="3.5703125" customWidth="1"/>
    <col min="5378" max="5380" width="0" hidden="1" customWidth="1"/>
    <col min="5381" max="5381" width="22.5703125" customWidth="1"/>
    <col min="5382" max="5396" width="12.140625" customWidth="1"/>
    <col min="5397" max="5397" width="12.42578125" customWidth="1"/>
    <col min="5399" max="5399" width="13.42578125" customWidth="1"/>
    <col min="5633" max="5633" width="3.5703125" customWidth="1"/>
    <col min="5634" max="5636" width="0" hidden="1" customWidth="1"/>
    <col min="5637" max="5637" width="22.5703125" customWidth="1"/>
    <col min="5638" max="5652" width="12.140625" customWidth="1"/>
    <col min="5653" max="5653" width="12.42578125" customWidth="1"/>
    <col min="5655" max="5655" width="13.42578125" customWidth="1"/>
    <col min="5889" max="5889" width="3.5703125" customWidth="1"/>
    <col min="5890" max="5892" width="0" hidden="1" customWidth="1"/>
    <col min="5893" max="5893" width="22.5703125" customWidth="1"/>
    <col min="5894" max="5908" width="12.140625" customWidth="1"/>
    <col min="5909" max="5909" width="12.42578125" customWidth="1"/>
    <col min="5911" max="5911" width="13.42578125" customWidth="1"/>
    <col min="6145" max="6145" width="3.5703125" customWidth="1"/>
    <col min="6146" max="6148" width="0" hidden="1" customWidth="1"/>
    <col min="6149" max="6149" width="22.5703125" customWidth="1"/>
    <col min="6150" max="6164" width="12.140625" customWidth="1"/>
    <col min="6165" max="6165" width="12.42578125" customWidth="1"/>
    <col min="6167" max="6167" width="13.42578125" customWidth="1"/>
    <col min="6401" max="6401" width="3.5703125" customWidth="1"/>
    <col min="6402" max="6404" width="0" hidden="1" customWidth="1"/>
    <col min="6405" max="6405" width="22.5703125" customWidth="1"/>
    <col min="6406" max="6420" width="12.140625" customWidth="1"/>
    <col min="6421" max="6421" width="12.42578125" customWidth="1"/>
    <col min="6423" max="6423" width="13.42578125" customWidth="1"/>
    <col min="6657" max="6657" width="3.5703125" customWidth="1"/>
    <col min="6658" max="6660" width="0" hidden="1" customWidth="1"/>
    <col min="6661" max="6661" width="22.5703125" customWidth="1"/>
    <col min="6662" max="6676" width="12.140625" customWidth="1"/>
    <col min="6677" max="6677" width="12.42578125" customWidth="1"/>
    <col min="6679" max="6679" width="13.42578125" customWidth="1"/>
    <col min="6913" max="6913" width="3.5703125" customWidth="1"/>
    <col min="6914" max="6916" width="0" hidden="1" customWidth="1"/>
    <col min="6917" max="6917" width="22.5703125" customWidth="1"/>
    <col min="6918" max="6932" width="12.140625" customWidth="1"/>
    <col min="6933" max="6933" width="12.42578125" customWidth="1"/>
    <col min="6935" max="6935" width="13.42578125" customWidth="1"/>
    <col min="7169" max="7169" width="3.5703125" customWidth="1"/>
    <col min="7170" max="7172" width="0" hidden="1" customWidth="1"/>
    <col min="7173" max="7173" width="22.5703125" customWidth="1"/>
    <col min="7174" max="7188" width="12.140625" customWidth="1"/>
    <col min="7189" max="7189" width="12.42578125" customWidth="1"/>
    <col min="7191" max="7191" width="13.42578125" customWidth="1"/>
    <col min="7425" max="7425" width="3.5703125" customWidth="1"/>
    <col min="7426" max="7428" width="0" hidden="1" customWidth="1"/>
    <col min="7429" max="7429" width="22.5703125" customWidth="1"/>
    <col min="7430" max="7444" width="12.140625" customWidth="1"/>
    <col min="7445" max="7445" width="12.42578125" customWidth="1"/>
    <col min="7447" max="7447" width="13.42578125" customWidth="1"/>
    <col min="7681" max="7681" width="3.5703125" customWidth="1"/>
    <col min="7682" max="7684" width="0" hidden="1" customWidth="1"/>
    <col min="7685" max="7685" width="22.5703125" customWidth="1"/>
    <col min="7686" max="7700" width="12.140625" customWidth="1"/>
    <col min="7701" max="7701" width="12.42578125" customWidth="1"/>
    <col min="7703" max="7703" width="13.42578125" customWidth="1"/>
    <col min="7937" max="7937" width="3.5703125" customWidth="1"/>
    <col min="7938" max="7940" width="0" hidden="1" customWidth="1"/>
    <col min="7941" max="7941" width="22.5703125" customWidth="1"/>
    <col min="7942" max="7956" width="12.140625" customWidth="1"/>
    <col min="7957" max="7957" width="12.42578125" customWidth="1"/>
    <col min="7959" max="7959" width="13.42578125" customWidth="1"/>
    <col min="8193" max="8193" width="3.5703125" customWidth="1"/>
    <col min="8194" max="8196" width="0" hidden="1" customWidth="1"/>
    <col min="8197" max="8197" width="22.5703125" customWidth="1"/>
    <col min="8198" max="8212" width="12.140625" customWidth="1"/>
    <col min="8213" max="8213" width="12.42578125" customWidth="1"/>
    <col min="8215" max="8215" width="13.42578125" customWidth="1"/>
    <col min="8449" max="8449" width="3.5703125" customWidth="1"/>
    <col min="8450" max="8452" width="0" hidden="1" customWidth="1"/>
    <col min="8453" max="8453" width="22.5703125" customWidth="1"/>
    <col min="8454" max="8468" width="12.140625" customWidth="1"/>
    <col min="8469" max="8469" width="12.42578125" customWidth="1"/>
    <col min="8471" max="8471" width="13.42578125" customWidth="1"/>
    <col min="8705" max="8705" width="3.5703125" customWidth="1"/>
    <col min="8706" max="8708" width="0" hidden="1" customWidth="1"/>
    <col min="8709" max="8709" width="22.5703125" customWidth="1"/>
    <col min="8710" max="8724" width="12.140625" customWidth="1"/>
    <col min="8725" max="8725" width="12.42578125" customWidth="1"/>
    <col min="8727" max="8727" width="13.42578125" customWidth="1"/>
    <col min="8961" max="8961" width="3.5703125" customWidth="1"/>
    <col min="8962" max="8964" width="0" hidden="1" customWidth="1"/>
    <col min="8965" max="8965" width="22.5703125" customWidth="1"/>
    <col min="8966" max="8980" width="12.140625" customWidth="1"/>
    <col min="8981" max="8981" width="12.42578125" customWidth="1"/>
    <col min="8983" max="8983" width="13.42578125" customWidth="1"/>
    <col min="9217" max="9217" width="3.5703125" customWidth="1"/>
    <col min="9218" max="9220" width="0" hidden="1" customWidth="1"/>
    <col min="9221" max="9221" width="22.5703125" customWidth="1"/>
    <col min="9222" max="9236" width="12.140625" customWidth="1"/>
    <col min="9237" max="9237" width="12.42578125" customWidth="1"/>
    <col min="9239" max="9239" width="13.42578125" customWidth="1"/>
    <col min="9473" max="9473" width="3.5703125" customWidth="1"/>
    <col min="9474" max="9476" width="0" hidden="1" customWidth="1"/>
    <col min="9477" max="9477" width="22.5703125" customWidth="1"/>
    <col min="9478" max="9492" width="12.140625" customWidth="1"/>
    <col min="9493" max="9493" width="12.42578125" customWidth="1"/>
    <col min="9495" max="9495" width="13.42578125" customWidth="1"/>
    <col min="9729" max="9729" width="3.5703125" customWidth="1"/>
    <col min="9730" max="9732" width="0" hidden="1" customWidth="1"/>
    <col min="9733" max="9733" width="22.5703125" customWidth="1"/>
    <col min="9734" max="9748" width="12.140625" customWidth="1"/>
    <col min="9749" max="9749" width="12.42578125" customWidth="1"/>
    <col min="9751" max="9751" width="13.42578125" customWidth="1"/>
    <col min="9985" max="9985" width="3.5703125" customWidth="1"/>
    <col min="9986" max="9988" width="0" hidden="1" customWidth="1"/>
    <col min="9989" max="9989" width="22.5703125" customWidth="1"/>
    <col min="9990" max="10004" width="12.140625" customWidth="1"/>
    <col min="10005" max="10005" width="12.42578125" customWidth="1"/>
    <col min="10007" max="10007" width="13.42578125" customWidth="1"/>
    <col min="10241" max="10241" width="3.5703125" customWidth="1"/>
    <col min="10242" max="10244" width="0" hidden="1" customWidth="1"/>
    <col min="10245" max="10245" width="22.5703125" customWidth="1"/>
    <col min="10246" max="10260" width="12.140625" customWidth="1"/>
    <col min="10261" max="10261" width="12.42578125" customWidth="1"/>
    <col min="10263" max="10263" width="13.42578125" customWidth="1"/>
    <col min="10497" max="10497" width="3.5703125" customWidth="1"/>
    <col min="10498" max="10500" width="0" hidden="1" customWidth="1"/>
    <col min="10501" max="10501" width="22.5703125" customWidth="1"/>
    <col min="10502" max="10516" width="12.140625" customWidth="1"/>
    <col min="10517" max="10517" width="12.42578125" customWidth="1"/>
    <col min="10519" max="10519" width="13.42578125" customWidth="1"/>
    <col min="10753" max="10753" width="3.5703125" customWidth="1"/>
    <col min="10754" max="10756" width="0" hidden="1" customWidth="1"/>
    <col min="10757" max="10757" width="22.5703125" customWidth="1"/>
    <col min="10758" max="10772" width="12.140625" customWidth="1"/>
    <col min="10773" max="10773" width="12.42578125" customWidth="1"/>
    <col min="10775" max="10775" width="13.42578125" customWidth="1"/>
    <col min="11009" max="11009" width="3.5703125" customWidth="1"/>
    <col min="11010" max="11012" width="0" hidden="1" customWidth="1"/>
    <col min="11013" max="11013" width="22.5703125" customWidth="1"/>
    <col min="11014" max="11028" width="12.140625" customWidth="1"/>
    <col min="11029" max="11029" width="12.42578125" customWidth="1"/>
    <col min="11031" max="11031" width="13.42578125" customWidth="1"/>
    <col min="11265" max="11265" width="3.5703125" customWidth="1"/>
    <col min="11266" max="11268" width="0" hidden="1" customWidth="1"/>
    <col min="11269" max="11269" width="22.5703125" customWidth="1"/>
    <col min="11270" max="11284" width="12.140625" customWidth="1"/>
    <col min="11285" max="11285" width="12.42578125" customWidth="1"/>
    <col min="11287" max="11287" width="13.42578125" customWidth="1"/>
    <col min="11521" max="11521" width="3.5703125" customWidth="1"/>
    <col min="11522" max="11524" width="0" hidden="1" customWidth="1"/>
    <col min="11525" max="11525" width="22.5703125" customWidth="1"/>
    <col min="11526" max="11540" width="12.140625" customWidth="1"/>
    <col min="11541" max="11541" width="12.42578125" customWidth="1"/>
    <col min="11543" max="11543" width="13.42578125" customWidth="1"/>
    <col min="11777" max="11777" width="3.5703125" customWidth="1"/>
    <col min="11778" max="11780" width="0" hidden="1" customWidth="1"/>
    <col min="11781" max="11781" width="22.5703125" customWidth="1"/>
    <col min="11782" max="11796" width="12.140625" customWidth="1"/>
    <col min="11797" max="11797" width="12.42578125" customWidth="1"/>
    <col min="11799" max="11799" width="13.42578125" customWidth="1"/>
    <col min="12033" max="12033" width="3.5703125" customWidth="1"/>
    <col min="12034" max="12036" width="0" hidden="1" customWidth="1"/>
    <col min="12037" max="12037" width="22.5703125" customWidth="1"/>
    <col min="12038" max="12052" width="12.140625" customWidth="1"/>
    <col min="12053" max="12053" width="12.42578125" customWidth="1"/>
    <col min="12055" max="12055" width="13.42578125" customWidth="1"/>
    <col min="12289" max="12289" width="3.5703125" customWidth="1"/>
    <col min="12290" max="12292" width="0" hidden="1" customWidth="1"/>
    <col min="12293" max="12293" width="22.5703125" customWidth="1"/>
    <col min="12294" max="12308" width="12.140625" customWidth="1"/>
    <col min="12309" max="12309" width="12.42578125" customWidth="1"/>
    <col min="12311" max="12311" width="13.42578125" customWidth="1"/>
    <col min="12545" max="12545" width="3.5703125" customWidth="1"/>
    <col min="12546" max="12548" width="0" hidden="1" customWidth="1"/>
    <col min="12549" max="12549" width="22.5703125" customWidth="1"/>
    <col min="12550" max="12564" width="12.140625" customWidth="1"/>
    <col min="12565" max="12565" width="12.42578125" customWidth="1"/>
    <col min="12567" max="12567" width="13.42578125" customWidth="1"/>
    <col min="12801" max="12801" width="3.5703125" customWidth="1"/>
    <col min="12802" max="12804" width="0" hidden="1" customWidth="1"/>
    <col min="12805" max="12805" width="22.5703125" customWidth="1"/>
    <col min="12806" max="12820" width="12.140625" customWidth="1"/>
    <col min="12821" max="12821" width="12.42578125" customWidth="1"/>
    <col min="12823" max="12823" width="13.42578125" customWidth="1"/>
    <col min="13057" max="13057" width="3.5703125" customWidth="1"/>
    <col min="13058" max="13060" width="0" hidden="1" customWidth="1"/>
    <col min="13061" max="13061" width="22.5703125" customWidth="1"/>
    <col min="13062" max="13076" width="12.140625" customWidth="1"/>
    <col min="13077" max="13077" width="12.42578125" customWidth="1"/>
    <col min="13079" max="13079" width="13.42578125" customWidth="1"/>
    <col min="13313" max="13313" width="3.5703125" customWidth="1"/>
    <col min="13314" max="13316" width="0" hidden="1" customWidth="1"/>
    <col min="13317" max="13317" width="22.5703125" customWidth="1"/>
    <col min="13318" max="13332" width="12.140625" customWidth="1"/>
    <col min="13333" max="13333" width="12.42578125" customWidth="1"/>
    <col min="13335" max="13335" width="13.42578125" customWidth="1"/>
    <col min="13569" max="13569" width="3.5703125" customWidth="1"/>
    <col min="13570" max="13572" width="0" hidden="1" customWidth="1"/>
    <col min="13573" max="13573" width="22.5703125" customWidth="1"/>
    <col min="13574" max="13588" width="12.140625" customWidth="1"/>
    <col min="13589" max="13589" width="12.42578125" customWidth="1"/>
    <col min="13591" max="13591" width="13.42578125" customWidth="1"/>
    <col min="13825" max="13825" width="3.5703125" customWidth="1"/>
    <col min="13826" max="13828" width="0" hidden="1" customWidth="1"/>
    <col min="13829" max="13829" width="22.5703125" customWidth="1"/>
    <col min="13830" max="13844" width="12.140625" customWidth="1"/>
    <col min="13845" max="13845" width="12.42578125" customWidth="1"/>
    <col min="13847" max="13847" width="13.42578125" customWidth="1"/>
    <col min="14081" max="14081" width="3.5703125" customWidth="1"/>
    <col min="14082" max="14084" width="0" hidden="1" customWidth="1"/>
    <col min="14085" max="14085" width="22.5703125" customWidth="1"/>
    <col min="14086" max="14100" width="12.140625" customWidth="1"/>
    <col min="14101" max="14101" width="12.42578125" customWidth="1"/>
    <col min="14103" max="14103" width="13.42578125" customWidth="1"/>
    <col min="14337" max="14337" width="3.5703125" customWidth="1"/>
    <col min="14338" max="14340" width="0" hidden="1" customWidth="1"/>
    <col min="14341" max="14341" width="22.5703125" customWidth="1"/>
    <col min="14342" max="14356" width="12.140625" customWidth="1"/>
    <col min="14357" max="14357" width="12.42578125" customWidth="1"/>
    <col min="14359" max="14359" width="13.42578125" customWidth="1"/>
    <col min="14593" max="14593" width="3.5703125" customWidth="1"/>
    <col min="14594" max="14596" width="0" hidden="1" customWidth="1"/>
    <col min="14597" max="14597" width="22.5703125" customWidth="1"/>
    <col min="14598" max="14612" width="12.140625" customWidth="1"/>
    <col min="14613" max="14613" width="12.42578125" customWidth="1"/>
    <col min="14615" max="14615" width="13.42578125" customWidth="1"/>
    <col min="14849" max="14849" width="3.5703125" customWidth="1"/>
    <col min="14850" max="14852" width="0" hidden="1" customWidth="1"/>
    <col min="14853" max="14853" width="22.5703125" customWidth="1"/>
    <col min="14854" max="14868" width="12.140625" customWidth="1"/>
    <col min="14869" max="14869" width="12.42578125" customWidth="1"/>
    <col min="14871" max="14871" width="13.42578125" customWidth="1"/>
    <col min="15105" max="15105" width="3.5703125" customWidth="1"/>
    <col min="15106" max="15108" width="0" hidden="1" customWidth="1"/>
    <col min="15109" max="15109" width="22.5703125" customWidth="1"/>
    <col min="15110" max="15124" width="12.140625" customWidth="1"/>
    <col min="15125" max="15125" width="12.42578125" customWidth="1"/>
    <col min="15127" max="15127" width="13.42578125" customWidth="1"/>
    <col min="15361" max="15361" width="3.5703125" customWidth="1"/>
    <col min="15362" max="15364" width="0" hidden="1" customWidth="1"/>
    <col min="15365" max="15365" width="22.5703125" customWidth="1"/>
    <col min="15366" max="15380" width="12.140625" customWidth="1"/>
    <col min="15381" max="15381" width="12.42578125" customWidth="1"/>
    <col min="15383" max="15383" width="13.42578125" customWidth="1"/>
    <col min="15617" max="15617" width="3.5703125" customWidth="1"/>
    <col min="15618" max="15620" width="0" hidden="1" customWidth="1"/>
    <col min="15621" max="15621" width="22.5703125" customWidth="1"/>
    <col min="15622" max="15636" width="12.140625" customWidth="1"/>
    <col min="15637" max="15637" width="12.42578125" customWidth="1"/>
    <col min="15639" max="15639" width="13.42578125" customWidth="1"/>
    <col min="15873" max="15873" width="3.5703125" customWidth="1"/>
    <col min="15874" max="15876" width="0" hidden="1" customWidth="1"/>
    <col min="15877" max="15877" width="22.5703125" customWidth="1"/>
    <col min="15878" max="15892" width="12.140625" customWidth="1"/>
    <col min="15893" max="15893" width="12.42578125" customWidth="1"/>
    <col min="15895" max="15895" width="13.42578125" customWidth="1"/>
    <col min="16129" max="16129" width="3.5703125" customWidth="1"/>
    <col min="16130" max="16132" width="0" hidden="1" customWidth="1"/>
    <col min="16133" max="16133" width="22.5703125" customWidth="1"/>
    <col min="16134" max="16148" width="12.140625" customWidth="1"/>
    <col min="16149" max="16149" width="12.42578125" customWidth="1"/>
    <col min="16151" max="16151" width="13.42578125" customWidth="1"/>
  </cols>
  <sheetData>
    <row r="1" spans="5:14" ht="18" x14ac:dyDescent="0.25">
      <c r="E1" s="231" t="s">
        <v>117</v>
      </c>
      <c r="F1" s="232"/>
      <c r="G1" s="232"/>
      <c r="H1" s="232"/>
      <c r="I1" s="232"/>
      <c r="J1" s="232"/>
      <c r="K1" s="232"/>
      <c r="L1" s="232"/>
      <c r="M1" s="232"/>
      <c r="N1" s="232"/>
    </row>
    <row r="2" spans="5:14" s="20" customFormat="1" ht="15" customHeight="1" x14ac:dyDescent="0.25">
      <c r="E2" s="11"/>
      <c r="F2" s="11"/>
      <c r="G2" s="11"/>
      <c r="H2" s="11"/>
      <c r="I2" s="5"/>
      <c r="J2" s="11"/>
      <c r="K2" s="11"/>
      <c r="L2" s="11"/>
      <c r="M2" s="11"/>
      <c r="N2" s="11"/>
    </row>
    <row r="3" spans="5:14" ht="14.25" customHeight="1" x14ac:dyDescent="0.25">
      <c r="E3" s="232"/>
      <c r="F3" s="232"/>
      <c r="G3" s="232"/>
      <c r="H3" s="232"/>
      <c r="I3" s="232"/>
      <c r="J3" s="232"/>
      <c r="K3" s="232"/>
      <c r="L3" s="232"/>
      <c r="M3" s="232"/>
      <c r="N3" s="232"/>
    </row>
    <row r="4" spans="5:14" ht="14.25" x14ac:dyDescent="0.25">
      <c r="E4" s="85" t="s">
        <v>118</v>
      </c>
      <c r="F4" s="80"/>
      <c r="G4" s="80"/>
      <c r="H4" s="80"/>
      <c r="I4" s="80"/>
      <c r="J4" s="80"/>
      <c r="K4" s="81"/>
      <c r="L4" s="233">
        <f>+Q137</f>
        <v>-2688.4741742137112</v>
      </c>
    </row>
    <row r="5" spans="5:14" ht="14.25" x14ac:dyDescent="0.25">
      <c r="E5" s="234" t="s">
        <v>119</v>
      </c>
      <c r="F5" s="76"/>
      <c r="G5" s="76"/>
      <c r="H5" s="76"/>
      <c r="I5" s="76"/>
      <c r="J5" s="76"/>
      <c r="K5" s="77"/>
      <c r="L5" s="235">
        <f>+S202</f>
        <v>0</v>
      </c>
    </row>
    <row r="6" spans="5:14" ht="14.25" x14ac:dyDescent="0.25">
      <c r="E6" s="234" t="s">
        <v>120</v>
      </c>
      <c r="F6" s="76"/>
      <c r="G6" s="76"/>
      <c r="H6" s="76"/>
      <c r="I6" s="76"/>
      <c r="J6" s="76"/>
      <c r="K6" s="77"/>
      <c r="L6" s="235" t="str">
        <f>+R267</f>
        <v>INPUT ERROR: Make sure tons managed equals tons generated</v>
      </c>
    </row>
    <row r="7" spans="5:14" ht="14.25" x14ac:dyDescent="0.25">
      <c r="E7" s="236" t="s">
        <v>121</v>
      </c>
      <c r="F7" s="20"/>
      <c r="G7" s="20"/>
      <c r="H7" s="20"/>
      <c r="I7" s="20"/>
      <c r="J7" s="20"/>
      <c r="K7" s="20"/>
    </row>
    <row r="8" spans="5:14" x14ac:dyDescent="0.2">
      <c r="M8" s="237"/>
    </row>
    <row r="10" spans="5:14" ht="13.5" thickBot="1" x14ac:dyDescent="0.25">
      <c r="E10" s="238" t="s">
        <v>122</v>
      </c>
      <c r="F10" s="239"/>
      <c r="G10" s="239"/>
      <c r="H10" s="239"/>
      <c r="I10" s="239"/>
      <c r="J10" s="239"/>
      <c r="L10" s="240"/>
    </row>
    <row r="11" spans="5:14" ht="63.75" x14ac:dyDescent="0.2">
      <c r="E11" s="241" t="s">
        <v>123</v>
      </c>
      <c r="F11" s="242" t="s">
        <v>124</v>
      </c>
      <c r="G11" s="243" t="s">
        <v>125</v>
      </c>
      <c r="H11" s="244" t="s">
        <v>126</v>
      </c>
      <c r="I11" s="244" t="s">
        <v>127</v>
      </c>
      <c r="J11" s="244" t="s">
        <v>128</v>
      </c>
      <c r="K11" s="244" t="s">
        <v>129</v>
      </c>
      <c r="L11" s="245" t="s">
        <v>130</v>
      </c>
    </row>
    <row r="12" spans="5:14" ht="12.75" customHeight="1" x14ac:dyDescent="0.2">
      <c r="E12" s="246" t="s">
        <v>131</v>
      </c>
      <c r="F12" s="247">
        <f>IFERROR(-G12,"NA")</f>
        <v>5.5752083160829438</v>
      </c>
      <c r="G12" s="248">
        <f>+VLOOKUP($E12,'[3]Summary Data'!$A$2:$Q$62,2,FALSE)</f>
        <v>-5.5752083160829438</v>
      </c>
      <c r="H12" s="248">
        <f>+VLOOKUP($E12,'[3]Summary Data'!$A$2:$Q$62,3,FALSE)</f>
        <v>-3.1353369086789917</v>
      </c>
      <c r="I12" s="248">
        <f>+VLOOKUP($E12,'[3]Summary Data'!$A$2:$Q$62,4,FALSE)</f>
        <v>0.18162984857485934</v>
      </c>
      <c r="J12" s="248">
        <f>+VLOOKUP($E12,'[3]Summary Data'!$A$2:$Q$62,9,FALSE)</f>
        <v>-0.48903030248074875</v>
      </c>
      <c r="K12" s="248" t="str">
        <f>+VLOOKUP($E12,'[3]Summary Data'!$A$2:$Q$62,10,FALSE)</f>
        <v>NA</v>
      </c>
      <c r="L12" s="249" t="s">
        <v>102</v>
      </c>
    </row>
    <row r="13" spans="5:14" ht="12.75" customHeight="1" x14ac:dyDescent="0.2">
      <c r="E13" s="250" t="s">
        <v>132</v>
      </c>
      <c r="F13" s="251">
        <f>IFERROR(-G13,"NA")</f>
        <v>8.5662288958060273</v>
      </c>
      <c r="G13" s="248">
        <f>+VLOOKUP($E13,'[3]Summary Data'!$A$2:$Q$62,2,FALSE)</f>
        <v>-8.5662288958060273</v>
      </c>
      <c r="H13" s="248">
        <f>+VLOOKUP($E13,'[3]Summary Data'!$A$2:$Q$62,3,FALSE)</f>
        <v>-3.0696999395965698</v>
      </c>
      <c r="I13" s="248">
        <f>+VLOOKUP($E13,'[3]Summary Data'!$A$2:$Q$62,4,FALSE)</f>
        <v>-0.42684420939886758</v>
      </c>
      <c r="J13" s="248">
        <f>+VLOOKUP($E13,'[3]Summary Data'!$A$2:$Q$62,9,FALSE)</f>
        <v>-0.3535151759422549</v>
      </c>
      <c r="K13" s="248" t="str">
        <f>+VLOOKUP($E13,'[3]Summary Data'!$A$2:$Q$62,10,FALSE)</f>
        <v>NA</v>
      </c>
      <c r="L13" s="249" t="s">
        <v>102</v>
      </c>
    </row>
    <row r="14" spans="5:14" ht="12.75" customHeight="1" x14ac:dyDescent="0.2">
      <c r="E14" s="246" t="s">
        <v>133</v>
      </c>
      <c r="F14" s="251">
        <f t="shared" ref="F14:F72" si="0">IFERROR(-G14,"NA")</f>
        <v>4.6772365260279951</v>
      </c>
      <c r="G14" s="248">
        <f>+VLOOKUP($E14,'[3]Summary Data'!$A$2:$Q$62,2,FALSE)</f>
        <v>-4.6772365260279951</v>
      </c>
      <c r="H14" s="248">
        <f>+VLOOKUP($E14,'[3]Summary Data'!$A$2:$Q$62,3,FALSE)</f>
        <v>-2.70827152821093</v>
      </c>
      <c r="I14" s="248">
        <f>+VLOOKUP($E14,'[3]Summary Data'!$A$2:$Q$62,4,FALSE)</f>
        <v>-0.84613881483919107</v>
      </c>
      <c r="J14" s="248">
        <f>+VLOOKUP($E14,'[3]Summary Data'!$A$2:$Q$62,9,FALSE)</f>
        <v>-0.55788868890675092</v>
      </c>
      <c r="K14" s="248" t="str">
        <f>+VLOOKUP($E14,'[3]Summary Data'!$A$2:$Q$62,10,FALSE)</f>
        <v>NA</v>
      </c>
      <c r="L14" s="249" t="s">
        <v>102</v>
      </c>
    </row>
    <row r="15" spans="5:14" ht="12.75" customHeight="1" x14ac:dyDescent="0.2">
      <c r="E15" s="246" t="s">
        <v>134</v>
      </c>
      <c r="F15" s="251">
        <f t="shared" si="0"/>
        <v>7.9489589921669603</v>
      </c>
      <c r="G15" s="248">
        <f>+VLOOKUP($E15,'[3]Summary Data'!$A$2:$Q$62,2,FALSE)</f>
        <v>-7.9489589921669603</v>
      </c>
      <c r="H15" s="248">
        <f>+VLOOKUP($E15,'[3]Summary Data'!$A$2:$Q$62,3,FALSE)</f>
        <v>-2.8637458899895774</v>
      </c>
      <c r="I15" s="248">
        <f>+VLOOKUP($E15,'[3]Summary Data'!$A$2:$Q$62,4,FALSE)</f>
        <v>1.1338746968208027</v>
      </c>
      <c r="J15" s="248">
        <f>+VLOOKUP($E15,'[3]Summary Data'!$A$2:$Q$62,9,FALSE)</f>
        <v>-0.47058202475029831</v>
      </c>
      <c r="K15" s="248" t="str">
        <f>+VLOOKUP($E15,'[3]Summary Data'!$A$2:$Q$62,10,FALSE)</f>
        <v>NA</v>
      </c>
      <c r="L15" s="249" t="s">
        <v>102</v>
      </c>
    </row>
    <row r="16" spans="5:14" ht="12.75" customHeight="1" x14ac:dyDescent="0.2">
      <c r="E16" s="246" t="s">
        <v>135</v>
      </c>
      <c r="F16" s="251">
        <f t="shared" si="0"/>
        <v>6.1650826358897923</v>
      </c>
      <c r="G16" s="248">
        <f>+VLOOKUP($E16,'[3]Summary Data'!$A$2:$Q$62,2,FALSE)</f>
        <v>-6.1650826358897923</v>
      </c>
      <c r="H16" s="248">
        <f>+VLOOKUP($E16,'[3]Summary Data'!$A$2:$Q$62,3,FALSE)</f>
        <v>-2.6222802143476724</v>
      </c>
      <c r="I16" s="248">
        <f>+VLOOKUP($E16,'[3]Summary Data'!$A$2:$Q$62,4,FALSE)</f>
        <v>-0.84613881483919107</v>
      </c>
      <c r="J16" s="248">
        <f>+VLOOKUP($E16,'[3]Summary Data'!$A$2:$Q$62,9,FALSE)</f>
        <v>-0.55788868890675092</v>
      </c>
      <c r="K16" s="248" t="str">
        <f>+VLOOKUP($E16,'[3]Summary Data'!$A$2:$Q$62,10,FALSE)</f>
        <v>NA</v>
      </c>
      <c r="L16" s="249" t="s">
        <v>102</v>
      </c>
    </row>
    <row r="17" spans="5:16" ht="12.75" customHeight="1" thickBot="1" x14ac:dyDescent="0.25">
      <c r="E17" s="246" t="s">
        <v>136</v>
      </c>
      <c r="F17" s="251">
        <f t="shared" si="0"/>
        <v>9.0237639267157572</v>
      </c>
      <c r="G17" s="248">
        <f>+VLOOKUP($E17,'[3]Summary Data'!$A$2:$Q$62,2,FALSE)</f>
        <v>-9.0237639267157572</v>
      </c>
      <c r="H17" s="248">
        <f>+VLOOKUP($E17,'[3]Summary Data'!$A$2:$Q$62,3,FALSE)</f>
        <v>-3.1044786327343226</v>
      </c>
      <c r="I17" s="248">
        <f>+VLOOKUP($E17,'[3]Summary Data'!$A$2:$Q$62,4,FALSE)</f>
        <v>1.1338746968208027</v>
      </c>
      <c r="J17" s="248">
        <f>+VLOOKUP($E17,'[3]Summary Data'!$A$2:$Q$62,9,FALSE)</f>
        <v>-0.47058202475029831</v>
      </c>
      <c r="K17" s="248" t="str">
        <f>+VLOOKUP($E17,'[3]Summary Data'!$A$2:$Q$62,10,FALSE)</f>
        <v>NA</v>
      </c>
      <c r="L17" s="249" t="s">
        <v>102</v>
      </c>
      <c r="M17" s="310"/>
    </row>
    <row r="18" spans="5:16" ht="12.75" customHeight="1" x14ac:dyDescent="0.2">
      <c r="E18" s="246" t="s">
        <v>137</v>
      </c>
      <c r="F18" s="251">
        <f t="shared" si="0"/>
        <v>6.0737268680644059</v>
      </c>
      <c r="G18" s="248">
        <f>+VLOOKUP($E18,'[3]Summary Data'!$A$2:$Q$62,2,FALSE)</f>
        <v>-6.0737268680644059</v>
      </c>
      <c r="H18" s="248">
        <f>+VLOOKUP($E18,'[3]Summary Data'!$A$2:$Q$62,3,FALSE)</f>
        <v>-3.5455235990647034</v>
      </c>
      <c r="I18" s="248">
        <f>+VLOOKUP($E18,'[3]Summary Data'!$A$2:$Q$62,4,FALSE)</f>
        <v>7.470296200674445E-2</v>
      </c>
      <c r="J18" s="248">
        <f>+VLOOKUP($E18,'[3]Summary Data'!$A$2:$Q$62,9,FALSE)</f>
        <v>-0.49102544955381977</v>
      </c>
      <c r="K18" s="248" t="str">
        <f>+VLOOKUP($E18,'[3]Summary Data'!$A$2:$Q$62,10,FALSE)</f>
        <v>NA</v>
      </c>
      <c r="L18" s="249" t="s">
        <v>102</v>
      </c>
      <c r="M18" s="361" t="s">
        <v>237</v>
      </c>
      <c r="N18" s="361" t="s">
        <v>238</v>
      </c>
      <c r="O18" s="361" t="s">
        <v>239</v>
      </c>
    </row>
    <row r="19" spans="5:16" ht="12.75" customHeight="1" x14ac:dyDescent="0.2">
      <c r="E19" s="246" t="s">
        <v>138</v>
      </c>
      <c r="F19" s="251">
        <f t="shared" si="0"/>
        <v>6.000101956994377</v>
      </c>
      <c r="G19" s="248">
        <f>+VLOOKUP($E19,'[3]Summary Data'!$A$2:$Q$62,2,FALSE)</f>
        <v>-6.000101956994377</v>
      </c>
      <c r="H19" s="248">
        <f>+VLOOKUP($E19,'[3]Summary Data'!$A$2:$Q$62,3,FALSE)</f>
        <v>-3.5455235990647034</v>
      </c>
      <c r="I19" s="248">
        <f>+VLOOKUP($E19,'[3]Summary Data'!$A$2:$Q$62,4,FALSE)</f>
        <v>1.5061573769341717E-2</v>
      </c>
      <c r="J19" s="248">
        <f>+VLOOKUP($E19,'[3]Summary Data'!$A$2:$Q$62,9,FALSE)</f>
        <v>-0.48873345982261684</v>
      </c>
      <c r="K19" s="248" t="str">
        <f>+VLOOKUP($E19,'[3]Summary Data'!$A$2:$Q$62,10,FALSE)</f>
        <v>NA</v>
      </c>
      <c r="L19" s="249" t="s">
        <v>102</v>
      </c>
      <c r="M19" s="362"/>
      <c r="N19" s="362"/>
      <c r="O19" s="362"/>
    </row>
    <row r="20" spans="5:16" ht="12.75" customHeight="1" thickBot="1" x14ac:dyDescent="0.25">
      <c r="E20" s="246" t="s">
        <v>139</v>
      </c>
      <c r="F20" s="251">
        <f t="shared" si="0"/>
        <v>7.3654269057836412</v>
      </c>
      <c r="G20" s="248">
        <f>+VLOOKUP($E20,'[3]Summary Data'!$A$2:$Q$62,2,FALSE)</f>
        <v>-7.3654269057836412</v>
      </c>
      <c r="H20" s="248">
        <f>+VLOOKUP($E20,'[3]Summary Data'!$A$2:$Q$62,3,FALSE)</f>
        <v>-3.5796025767975275</v>
      </c>
      <c r="I20" s="248">
        <f>+VLOOKUP($E20,'[3]Summary Data'!$A$2:$Q$62,4,FALSE)</f>
        <v>0.11358720066488817</v>
      </c>
      <c r="J20" s="248">
        <f>+VLOOKUP($E20,'[3]Summary Data'!$A$2:$Q$62,9,FALSE)</f>
        <v>-0.44769477253878021</v>
      </c>
      <c r="K20" s="248" t="str">
        <f>+VLOOKUP($E20,'[3]Summary Data'!$A$2:$Q$62,10,FALSE)</f>
        <v>NA</v>
      </c>
      <c r="L20" s="249" t="s">
        <v>102</v>
      </c>
      <c r="M20" s="363"/>
      <c r="N20" s="363"/>
      <c r="O20" s="363"/>
    </row>
    <row r="21" spans="5:16" ht="12.75" customHeight="1" x14ac:dyDescent="0.2">
      <c r="E21" s="311" t="s">
        <v>140</v>
      </c>
      <c r="F21" s="312">
        <f t="shared" si="0"/>
        <v>3.6597480795437827</v>
      </c>
      <c r="G21" s="313">
        <f>+VLOOKUP($E21,'[3]Summary Data'!$A$2:$Q$62,2,FALSE)</f>
        <v>-3.6597480795437827</v>
      </c>
      <c r="H21" s="314" t="str">
        <f>+VLOOKUP($E21,'[3]Summary Data'!$A$2:$Q$62,3,FALSE)</f>
        <v>NA</v>
      </c>
      <c r="I21" s="313">
        <f>+VLOOKUP($E21,'[3]Summary Data'!$A$2:$Q$62,4,FALSE)</f>
        <v>0.50146223402798329</v>
      </c>
      <c r="J21" s="313">
        <f>+VLOOKUP($E21,'[3]Summary Data'!$A$2:$Q$62,9,FALSE)</f>
        <v>-0.13426157065196354</v>
      </c>
      <c r="K21" s="313">
        <f>+VLOOKUP($E21,'[3]Summary Data'!$A$2:$Q$62,10,FALSE)</f>
        <v>-0.15213492335194001</v>
      </c>
      <c r="L21" s="316">
        <f>(IF(AND('[3]Analysis Inputs'!$N$154=1,'[3]Analysis Inputs'!$N$164=1),VLOOKUP($E21,'[3]Summary Data'!$A$1:$Q$62,11,FALSE), IF(AND('[3]Analysis Inputs'!$N$154=1,'[3]Analysis Inputs'!$N$164=2),VLOOKUP($E21,'[3]Summary Data'!$A$1:$Q$62,12, FALSE), IF(AND('[3]Analysis Inputs'!$N$154=2,'[3]Analysis Inputs'!$N$164=1),VLOOKUP($E21,'[3]Summary Data'!$A$1:$Q$62,13,FALSE), IF(AND('[3]Analysis Inputs'!$N$154=2,'[3]Analysis Inputs'!$N$164=2),VLOOKUP($E21,'[3]Summary Data'!$A$1:$Q$62,14,FALSE), 0)))))</f>
        <v>-4.166706810201283E-2</v>
      </c>
      <c r="M21" s="324">
        <f>F21+L21</f>
        <v>3.6180810114417699</v>
      </c>
      <c r="N21" s="325">
        <v>10000</v>
      </c>
      <c r="O21" s="326">
        <f>M21*N21</f>
        <v>36180.810114417698</v>
      </c>
    </row>
    <row r="22" spans="5:16" ht="12.75" customHeight="1" x14ac:dyDescent="0.2">
      <c r="E22" s="246" t="s">
        <v>141</v>
      </c>
      <c r="F22" s="251">
        <f t="shared" si="0"/>
        <v>0.76105208909505295</v>
      </c>
      <c r="G22" s="248">
        <f>+VLOOKUP($E22,'[3]Summary Data'!$A$2:$Q$62,2,FALSE)</f>
        <v>-0.76105208909505295</v>
      </c>
      <c r="H22" s="248" t="str">
        <f>+VLOOKUP($E22,'[3]Summary Data'!$A$2:$Q$62,3,FALSE)</f>
        <v>NA</v>
      </c>
      <c r="I22" s="248">
        <f>+VLOOKUP($E22,'[3]Summary Data'!$A$2:$Q$62,4,FALSE)</f>
        <v>0.50208695685235794</v>
      </c>
      <c r="J22" s="248">
        <f>+VLOOKUP($E22,'[3]Summary Data'!$A$2:$Q$62,9,FALSE)</f>
        <v>-0.13426157065196354</v>
      </c>
      <c r="K22" s="248">
        <f>+VLOOKUP($E22,'[3]Summary Data'!$A$2:$Q$62,10,FALSE)</f>
        <v>-0.15213492335194001</v>
      </c>
      <c r="L22" s="317">
        <f>(IF(AND('[3]Analysis Inputs'!$N$154=1,'[3]Analysis Inputs'!$N$164=1),VLOOKUP($E22,'[3]Summary Data'!$A$1:$Q$62,11,FALSE), IF(AND('[3]Analysis Inputs'!$N$154=1,'[3]Analysis Inputs'!$N$164=2),VLOOKUP($E22,'[3]Summary Data'!$A$1:$Q$62,12, FALSE), IF(AND('[3]Analysis Inputs'!$N$154=2,'[3]Analysis Inputs'!$N$164=1),VLOOKUP($E22,'[3]Summary Data'!$A$1:$Q$62,13,FALSE), IF(AND('[3]Analysis Inputs'!$N$154=2,'[3]Analysis Inputs'!$N$164=2),VLOOKUP($E22,'[3]Summary Data'!$A$1:$Q$62,14,FALSE), 0)))))</f>
        <v>-4.166706810201283E-2</v>
      </c>
      <c r="M22" s="319"/>
      <c r="N22" s="318"/>
      <c r="O22" s="320"/>
    </row>
    <row r="23" spans="5:16" ht="12.75" customHeight="1" x14ac:dyDescent="0.2">
      <c r="E23" s="311" t="s">
        <v>142</v>
      </c>
      <c r="F23" s="312">
        <f t="shared" si="0"/>
        <v>15.102290225561314</v>
      </c>
      <c r="G23" s="313">
        <f>+VLOOKUP($E23,'[3]Summary Data'!$A$2:$Q$62,2,FALSE)</f>
        <v>-15.102290225561314</v>
      </c>
      <c r="H23" s="313" t="str">
        <f>+VLOOKUP($E23,'[3]Summary Data'!$A$2:$Q$62,3,FALSE)</f>
        <v>NA</v>
      </c>
      <c r="I23" s="313">
        <f>+VLOOKUP($E23,'[3]Summary Data'!$A$2:$Q$62,4,FALSE)</f>
        <v>0.46339271526250747</v>
      </c>
      <c r="J23" s="313">
        <f>+VLOOKUP($E23,'[3]Summary Data'!$A$2:$Q$62,9,FALSE)</f>
        <v>-0.13426157065196354</v>
      </c>
      <c r="K23" s="313">
        <f>+VLOOKUP($E23,'[3]Summary Data'!$A$2:$Q$62,10,FALSE)</f>
        <v>-0.15213492335194001</v>
      </c>
      <c r="L23" s="316">
        <f>(IF(AND('[3]Analysis Inputs'!$N$154=1,'[3]Analysis Inputs'!$N$164=1),VLOOKUP($E23,'[3]Summary Data'!$A$1:$Q$62,11,FALSE), IF(AND('[3]Analysis Inputs'!$N$154=1,'[3]Analysis Inputs'!$N$164=2),VLOOKUP($E23,'[3]Summary Data'!$A$1:$Q$62,12, FALSE), IF(AND('[3]Analysis Inputs'!$N$154=2,'[3]Analysis Inputs'!$N$164=1),VLOOKUP($E23,'[3]Summary Data'!$A$1:$Q$62,13,FALSE), IF(AND('[3]Analysis Inputs'!$N$154=2,'[3]Analysis Inputs'!$N$164=2),VLOOKUP($E23,'[3]Summary Data'!$A$1:$Q$62,14,FALSE), 0)))))</f>
        <v>-4.166706810201283E-2</v>
      </c>
      <c r="M23" s="327">
        <f t="shared" ref="M22:M29" si="1">F23+L23</f>
        <v>15.0606231574593</v>
      </c>
      <c r="N23" s="328">
        <v>4145</v>
      </c>
      <c r="O23" s="329">
        <f t="shared" ref="O22:O29" si="2">M23*N23</f>
        <v>62426.282987668797</v>
      </c>
    </row>
    <row r="24" spans="5:16" ht="12.75" customHeight="1" x14ac:dyDescent="0.2">
      <c r="E24" s="246" t="s">
        <v>143</v>
      </c>
      <c r="F24" s="251">
        <f t="shared" si="0"/>
        <v>30.086331335537999</v>
      </c>
      <c r="G24" s="248">
        <f>+VLOOKUP($E24,'[3]Summary Data'!$A$2:$Q$62,2,FALSE)</f>
        <v>-30.086331335537999</v>
      </c>
      <c r="H24" s="248" t="str">
        <f>+VLOOKUP($E24,'[3]Summary Data'!$A$2:$Q$62,3,FALSE)</f>
        <v>NA</v>
      </c>
      <c r="I24" s="248">
        <f>+VLOOKUP($E24,'[3]Summary Data'!$A$2:$Q$62,4,FALSE)</f>
        <v>0.43044266593233688</v>
      </c>
      <c r="J24" s="248">
        <f>+VLOOKUP($E24,'[3]Summary Data'!$A$2:$Q$62,9,FALSE)</f>
        <v>-0.13426157065196354</v>
      </c>
      <c r="K24" s="248">
        <f>+VLOOKUP($E24,'[3]Summary Data'!$A$2:$Q$62,10,FALSE)</f>
        <v>-0.15213492335194001</v>
      </c>
      <c r="L24" s="317">
        <f>(IF(AND('[3]Analysis Inputs'!$N$154=1,'[3]Analysis Inputs'!$N$164=1),VLOOKUP($E24,'[3]Summary Data'!$A$1:$Q$62,11,FALSE), IF(AND('[3]Analysis Inputs'!$N$154=1,'[3]Analysis Inputs'!$N$164=2),VLOOKUP($E24,'[3]Summary Data'!$A$1:$Q$62,12, FALSE), IF(AND('[3]Analysis Inputs'!$N$154=2,'[3]Analysis Inputs'!$N$164=1),VLOOKUP($E24,'[3]Summary Data'!$A$1:$Q$62,13,FALSE), IF(AND('[3]Analysis Inputs'!$N$154=2,'[3]Analysis Inputs'!$N$164=2),VLOOKUP($E24,'[3]Summary Data'!$A$1:$Q$62,14,FALSE), 0)))))</f>
        <v>-4.166706810201283E-2</v>
      </c>
      <c r="M24" s="319"/>
      <c r="N24" s="318"/>
      <c r="O24" s="320"/>
    </row>
    <row r="25" spans="5:16" ht="12.75" customHeight="1" x14ac:dyDescent="0.2">
      <c r="E25" s="246" t="s">
        <v>144</v>
      </c>
      <c r="F25" s="251">
        <f t="shared" si="0"/>
        <v>2.4517925725092473</v>
      </c>
      <c r="G25" s="248">
        <f>+VLOOKUP($E25,'[3]Summary Data'!$A$2:$Q$62,2,FALSE)</f>
        <v>-2.4517925725092473</v>
      </c>
      <c r="H25" s="248" t="str">
        <f>+VLOOKUP($E25,'[3]Summary Data'!$A$2:$Q$62,3,FALSE)</f>
        <v>NA</v>
      </c>
      <c r="I25" s="248">
        <f>+VLOOKUP($E25,'[3]Summary Data'!$A$2:$Q$62,4,FALSE)</f>
        <v>0.49121128027176508</v>
      </c>
      <c r="J25" s="248">
        <f>+VLOOKUP($E25,'[3]Summary Data'!$A$2:$Q$62,9,FALSE)</f>
        <v>-0.13426157065196354</v>
      </c>
      <c r="K25" s="248">
        <f>+VLOOKUP($E25,'[3]Summary Data'!$A$2:$Q$62,10,FALSE)</f>
        <v>-0.15213492335194001</v>
      </c>
      <c r="L25" s="317">
        <f>(IF(AND('[3]Analysis Inputs'!$N$154=1,'[3]Analysis Inputs'!$N$164=1),VLOOKUP($E25,'[3]Summary Data'!$A$1:$Q$62,11,FALSE), IF(AND('[3]Analysis Inputs'!$N$154=1,'[3]Analysis Inputs'!$N$164=2),VLOOKUP($E25,'[3]Summary Data'!$A$1:$Q$62,12, FALSE), IF(AND('[3]Analysis Inputs'!$N$154=2,'[3]Analysis Inputs'!$N$164=1),VLOOKUP($E25,'[3]Summary Data'!$A$1:$Q$62,13,FALSE), IF(AND('[3]Analysis Inputs'!$N$154=2,'[3]Analysis Inputs'!$N$164=2),VLOOKUP($E25,'[3]Summary Data'!$A$1:$Q$62,14,FALSE), 0)))))</f>
        <v>-4.166706810201283E-2</v>
      </c>
      <c r="M25" s="319"/>
      <c r="N25" s="318"/>
      <c r="O25" s="320"/>
    </row>
    <row r="26" spans="5:16" ht="12.75" customHeight="1" x14ac:dyDescent="0.2">
      <c r="E26" s="311" t="s">
        <v>145</v>
      </c>
      <c r="F26" s="312">
        <f t="shared" si="0"/>
        <v>0.62121804200504194</v>
      </c>
      <c r="G26" s="313">
        <f>+VLOOKUP($E26,'[3]Summary Data'!$A$2:$Q$62,2,FALSE)</f>
        <v>-0.62121804200504194</v>
      </c>
      <c r="H26" s="313" t="str">
        <f>+VLOOKUP($E26,'[3]Summary Data'!$A$2:$Q$62,3,FALSE)</f>
        <v>NA</v>
      </c>
      <c r="I26" s="313">
        <f>+VLOOKUP($E26,'[3]Summary Data'!$A$2:$Q$62,4,FALSE)</f>
        <v>1.373269084702389</v>
      </c>
      <c r="J26" s="313">
        <f>+VLOOKUP($E26,'[3]Summary Data'!$A$2:$Q$62,9,FALSE)</f>
        <v>-0.13426157065196354</v>
      </c>
      <c r="K26" s="313">
        <f>+VLOOKUP($E26,'[3]Summary Data'!$A$2:$Q$62,10,FALSE)</f>
        <v>-0.15213492335194001</v>
      </c>
      <c r="L26" s="316">
        <f>(IF(AND('[3]Analysis Inputs'!$N$154=1,'[3]Analysis Inputs'!$N$164=1),VLOOKUP($E26,'[3]Summary Data'!$A$1:$Q$62,11,FALSE), IF(AND('[3]Analysis Inputs'!$N$154=1,'[3]Analysis Inputs'!$N$164=2),VLOOKUP($E26,'[3]Summary Data'!$A$1:$Q$62,12, FALSE), IF(AND('[3]Analysis Inputs'!$N$154=2,'[3]Analysis Inputs'!$N$164=1),VLOOKUP($E26,'[3]Summary Data'!$A$1:$Q$62,13,FALSE), IF(AND('[3]Analysis Inputs'!$N$154=2,'[3]Analysis Inputs'!$N$164=2),VLOOKUP($E26,'[3]Summary Data'!$A$1:$Q$62,14,FALSE), 0)))))</f>
        <v>-4.166706810201283E-2</v>
      </c>
      <c r="M26" s="327">
        <f t="shared" si="1"/>
        <v>0.57955097390302912</v>
      </c>
      <c r="N26" s="328">
        <v>7500</v>
      </c>
      <c r="O26" s="329">
        <f t="shared" si="2"/>
        <v>4346.6323042727181</v>
      </c>
    </row>
    <row r="27" spans="5:16" ht="12.75" customHeight="1" x14ac:dyDescent="0.2">
      <c r="E27" s="246" t="s">
        <v>146</v>
      </c>
      <c r="F27" s="251">
        <f t="shared" si="0"/>
        <v>0.6575061385044213</v>
      </c>
      <c r="G27" s="248">
        <f>+VLOOKUP($E27,'[3]Summary Data'!$A$2:$Q$62,2,FALSE)</f>
        <v>-0.6575061385044213</v>
      </c>
      <c r="H27" s="248" t="str">
        <f>+VLOOKUP($E27,'[3]Summary Data'!$A$2:$Q$62,3,FALSE)</f>
        <v>NA</v>
      </c>
      <c r="I27" s="248">
        <f>+VLOOKUP($E27,'[3]Summary Data'!$A$2:$Q$62,4,FALSE)</f>
        <v>0.99255234857204844</v>
      </c>
      <c r="J27" s="248">
        <f>+VLOOKUP($E27,'[3]Summary Data'!$A$2:$Q$62,9,FALSE)</f>
        <v>-0.13426157065196354</v>
      </c>
      <c r="K27" s="248">
        <f>+VLOOKUP($E27,'[3]Summary Data'!$A$2:$Q$62,10,FALSE)</f>
        <v>-0.15213492335194001</v>
      </c>
      <c r="L27" s="317">
        <f>(IF(AND('[3]Analysis Inputs'!$N$154=1,'[3]Analysis Inputs'!$N$164=1),VLOOKUP($E27,'[3]Summary Data'!$A$1:$Q$62,11,FALSE), IF(AND('[3]Analysis Inputs'!$N$154=1,'[3]Analysis Inputs'!$N$164=2),VLOOKUP($E27,'[3]Summary Data'!$A$1:$Q$62,12, FALSE), IF(AND('[3]Analysis Inputs'!$N$154=2,'[3]Analysis Inputs'!$N$164=1),VLOOKUP($E27,'[3]Summary Data'!$A$1:$Q$62,13,FALSE), IF(AND('[3]Analysis Inputs'!$N$154=2,'[3]Analysis Inputs'!$N$164=2),VLOOKUP($E27,'[3]Summary Data'!$A$1:$Q$62,14,FALSE), 0)))))</f>
        <v>-4.166706810201283E-2</v>
      </c>
      <c r="M27" s="319"/>
      <c r="N27" s="318"/>
      <c r="O27" s="320"/>
    </row>
    <row r="28" spans="5:16" ht="12.75" customHeight="1" x14ac:dyDescent="0.2">
      <c r="E28" s="311" t="s">
        <v>147</v>
      </c>
      <c r="F28" s="312">
        <f t="shared" si="0"/>
        <v>0.44108924773101815</v>
      </c>
      <c r="G28" s="313">
        <f>+VLOOKUP($E28,'[3]Summary Data'!$A$2:$Q$62,2,FALSE)</f>
        <v>-0.44108924773101815</v>
      </c>
      <c r="H28" s="313" t="str">
        <f>+VLOOKUP($E28,'[3]Summary Data'!$A$2:$Q$62,3,FALSE)</f>
        <v>NA</v>
      </c>
      <c r="I28" s="313">
        <f>+VLOOKUP($E28,'[3]Summary Data'!$A$2:$Q$62,4,FALSE)</f>
        <v>0.228626887119319</v>
      </c>
      <c r="J28" s="313">
        <f>+VLOOKUP($E28,'[3]Summary Data'!$A$2:$Q$62,9,FALSE)</f>
        <v>-0.13426157065196354</v>
      </c>
      <c r="K28" s="313">
        <f>+VLOOKUP($E28,'[3]Summary Data'!$A$2:$Q$62,10,FALSE)</f>
        <v>-0.15213492335194001</v>
      </c>
      <c r="L28" s="316">
        <f>(IF(AND('[3]Analysis Inputs'!$N$154=1,'[3]Analysis Inputs'!$N$164=1),VLOOKUP($E28,'[3]Summary Data'!$A$1:$Q$62,11,FALSE), IF(AND('[3]Analysis Inputs'!$N$154=1,'[3]Analysis Inputs'!$N$164=2),VLOOKUP($E28,'[3]Summary Data'!$A$1:$Q$62,12, FALSE), IF(AND('[3]Analysis Inputs'!$N$154=2,'[3]Analysis Inputs'!$N$164=1),VLOOKUP($E28,'[3]Summary Data'!$A$1:$Q$62,13,FALSE), IF(AND('[3]Analysis Inputs'!$N$154=2,'[3]Analysis Inputs'!$N$164=2),VLOOKUP($E28,'[3]Summary Data'!$A$1:$Q$62,14,FALSE), 0)))))</f>
        <v>-4.166706810201283E-2</v>
      </c>
      <c r="M28" s="327">
        <f t="shared" si="1"/>
        <v>0.39942217962900534</v>
      </c>
      <c r="N28" s="328">
        <v>18500</v>
      </c>
      <c r="O28" s="329">
        <f t="shared" si="2"/>
        <v>7389.3103231365985</v>
      </c>
    </row>
    <row r="29" spans="5:16" ht="12.75" customHeight="1" thickBot="1" x14ac:dyDescent="0.25">
      <c r="E29" s="246" t="s">
        <v>148</v>
      </c>
      <c r="F29" s="251">
        <f t="shared" si="0"/>
        <v>1.7517932330248354</v>
      </c>
      <c r="G29" s="248">
        <f>+VLOOKUP($E29,'[3]Summary Data'!$A$2:$Q$62,2,FALSE)</f>
        <v>-1.7517932330248354</v>
      </c>
      <c r="H29" s="248" t="str">
        <f>+VLOOKUP($E29,'[3]Summary Data'!$A$2:$Q$62,3,FALSE)</f>
        <v>NA</v>
      </c>
      <c r="I29" s="248">
        <f>+VLOOKUP($E29,'[3]Summary Data'!$A$2:$Q$62,4,FALSE)</f>
        <v>0.48080200501919867</v>
      </c>
      <c r="J29" s="248">
        <f>+VLOOKUP($E29,'[3]Summary Data'!$A$2:$Q$62,9,FALSE)</f>
        <v>-0.13426157065196354</v>
      </c>
      <c r="K29" s="248">
        <f>+VLOOKUP($E29,'[3]Summary Data'!$A$2:$Q$62,10,FALSE)</f>
        <v>-0.15213492335194001</v>
      </c>
      <c r="L29" s="317">
        <f>(IF(AND('[3]Analysis Inputs'!$N$154=1,'[3]Analysis Inputs'!$N$164=1),VLOOKUP($E29,'[3]Summary Data'!$A$1:$Q$62,11,FALSE), IF(AND('[3]Analysis Inputs'!$N$154=1,'[3]Analysis Inputs'!$N$164=2),VLOOKUP($E29,'[3]Summary Data'!$A$1:$Q$62,12, FALSE), IF(AND('[3]Analysis Inputs'!$N$154=2,'[3]Analysis Inputs'!$N$164=1),VLOOKUP($E29,'[3]Summary Data'!$A$1:$Q$62,13,FALSE), IF(AND('[3]Analysis Inputs'!$N$154=2,'[3]Analysis Inputs'!$N$164=2),VLOOKUP($E29,'[3]Summary Data'!$A$1:$Q$62,14,FALSE), 0)))))</f>
        <v>-4.166706810201283E-2</v>
      </c>
      <c r="M29" s="321"/>
      <c r="N29" s="322"/>
      <c r="O29" s="323"/>
    </row>
    <row r="30" spans="5:16" ht="12.75" customHeight="1" x14ac:dyDescent="0.2">
      <c r="E30" s="246" t="s">
        <v>149</v>
      </c>
      <c r="F30" s="251" t="str">
        <f t="shared" si="0"/>
        <v>NA</v>
      </c>
      <c r="G30" s="248" t="str">
        <f>+VLOOKUP($E30,'[3]Summary Data'!$A$2:$Q$62,2,FALSE)</f>
        <v>NA</v>
      </c>
      <c r="H30" s="248" t="str">
        <f>+VLOOKUP($E30,'[3]Summary Data'!$A$2:$Q$62,3,FALSE)</f>
        <v>NA</v>
      </c>
      <c r="I30" s="248">
        <f>+VLOOKUP($E30,'[3]Summary Data'!$A$2:$Q$62,4,FALSE)</f>
        <v>-0.20051974151841304</v>
      </c>
      <c r="J30" s="248">
        <f>+VLOOKUP($E30,'[3]Summary Data'!$A$2:$Q$62,9,FALSE)</f>
        <v>-0.16690667116263708</v>
      </c>
      <c r="K30" s="248">
        <f>+VLOOKUP($E30,'[3]Summary Data'!$A$2:$Q$62,10,FALSE)</f>
        <v>-0.10590613724308875</v>
      </c>
      <c r="L30" s="249">
        <f>(IF(AND('[3]Analysis Inputs'!$N$154=2,'[3]Analysis Inputs'!$N$164=1),VLOOKUP($E30,'[3]Summary Data'!$A$1:$Q$62,13,FALSE), IF(AND('[3]Analysis Inputs'!$N$154=2,'[3]Analysis Inputs'!$N$164=2),VLOOKUP($E30,'[3]Summary Data'!$A$1:$Q$62,14, FALSE),"NA")))</f>
        <v>-8.9160932574846835E-2</v>
      </c>
      <c r="M30" s="355" t="s">
        <v>240</v>
      </c>
      <c r="N30" s="356"/>
      <c r="O30" s="357">
        <f>O21+O23+O26+O28</f>
        <v>110343.03572949581</v>
      </c>
    </row>
    <row r="31" spans="5:16" ht="12.75" customHeight="1" thickBot="1" x14ac:dyDescent="0.25">
      <c r="E31" s="246" t="s">
        <v>150</v>
      </c>
      <c r="F31" s="251" t="str">
        <f t="shared" si="0"/>
        <v>NA</v>
      </c>
      <c r="G31" s="248" t="str">
        <f>+VLOOKUP($E31,'[3]Summary Data'!$A$2:$Q$62,2,FALSE)</f>
        <v>NA</v>
      </c>
      <c r="H31" s="248" t="str">
        <f>+VLOOKUP($E31,'[3]Summary Data'!$A$2:$Q$62,3,FALSE)</f>
        <v>NA</v>
      </c>
      <c r="I31" s="248">
        <f>+VLOOKUP($E31,'[3]Summary Data'!$A$2:$Q$62,4,FALSE)</f>
        <v>0.1157487405734986</v>
      </c>
      <c r="J31" s="248">
        <f>+VLOOKUP($E31,'[3]Summary Data'!$A$2:$Q$62,9,FALSE)</f>
        <v>-0.16690667116263708</v>
      </c>
      <c r="K31" s="248">
        <f>+VLOOKUP($E31,'[3]Summary Data'!$A$2:$Q$62,10,FALSE)</f>
        <v>-0.10590613724308875</v>
      </c>
      <c r="L31" s="249">
        <f>(IF(AND('[3]Analysis Inputs'!$N$154=2,'[3]Analysis Inputs'!$N$164=1),VLOOKUP($E31,'[3]Summary Data'!$A$1:$Q$62,13,FALSE), IF(AND('[3]Analysis Inputs'!$N$154=2,'[3]Analysis Inputs'!$N$164=2),VLOOKUP($E31,'[3]Summary Data'!$A$1:$Q$62,14, FALSE),"NA")))</f>
        <v>4.597750251882235E-3</v>
      </c>
      <c r="M31" s="358"/>
      <c r="N31" s="359"/>
      <c r="O31" s="360"/>
      <c r="P31" t="s">
        <v>324</v>
      </c>
    </row>
    <row r="32" spans="5:16" ht="12.75" customHeight="1" x14ac:dyDescent="0.2">
      <c r="E32" s="246" t="s">
        <v>151</v>
      </c>
      <c r="F32" s="251" t="str">
        <f t="shared" si="0"/>
        <v>NA</v>
      </c>
      <c r="G32" s="248" t="str">
        <f>+VLOOKUP($E32,'[3]Summary Data'!$A$2:$Q$62,2,FALSE)</f>
        <v>NA</v>
      </c>
      <c r="H32" s="248" t="str">
        <f>+VLOOKUP($E32,'[3]Summary Data'!$A$2:$Q$62,3,FALSE)</f>
        <v>NA</v>
      </c>
      <c r="I32" s="248">
        <f>+VLOOKUP($E32,'[3]Summary Data'!$A$2:$Q$62,4,FALSE)</f>
        <v>-0.53386292841973759</v>
      </c>
      <c r="J32" s="248">
        <f>+VLOOKUP($E32,'[3]Summary Data'!$A$2:$Q$62,9,FALSE)</f>
        <v>-0.16690667116263708</v>
      </c>
      <c r="K32" s="248">
        <f>+VLOOKUP($E32,'[3]Summary Data'!$A$2:$Q$62,10,FALSE)</f>
        <v>-0.10590613724308875</v>
      </c>
      <c r="L32" s="249">
        <f>(IF(AND('[3]Analysis Inputs'!$N$154=2,'[3]Analysis Inputs'!$N$164=1),VLOOKUP($E32,'[3]Summary Data'!$A$1:$Q$62,13,FALSE), IF(AND('[3]Analysis Inputs'!$N$154=2,'[3]Analysis Inputs'!$N$164=2),VLOOKUP($E32,'[3]Summary Data'!$A$1:$Q$62,14, FALSE),"NA")))</f>
        <v>-0.14208180467687503</v>
      </c>
    </row>
    <row r="33" spans="5:12" ht="12.75" customHeight="1" x14ac:dyDescent="0.2">
      <c r="E33" s="246" t="s">
        <v>152</v>
      </c>
      <c r="F33" s="251" t="str">
        <f t="shared" si="0"/>
        <v>NA</v>
      </c>
      <c r="G33" s="248" t="str">
        <f>+VLOOKUP($E33,'[3]Summary Data'!$A$2:$Q$62,2,FALSE)</f>
        <v>NA</v>
      </c>
      <c r="H33" s="248" t="str">
        <f>+VLOOKUP($E33,'[3]Summary Data'!$A$2:$Q$62,3,FALSE)</f>
        <v>NA</v>
      </c>
      <c r="I33" s="248">
        <f>+VLOOKUP($E33,'[3]Summary Data'!$A$2:$Q$62,4,FALSE)</f>
        <v>-0.53606258783504601</v>
      </c>
      <c r="J33" s="248">
        <f>+VLOOKUP($E33,'[3]Summary Data'!$A$2:$Q$62,9,FALSE)</f>
        <v>-0.16690667116263708</v>
      </c>
      <c r="K33" s="248">
        <f>+VLOOKUP($E33,'[3]Summary Data'!$A$2:$Q$62,10,FALSE)</f>
        <v>-0.10590613724308875</v>
      </c>
      <c r="L33" s="249">
        <f>(IF(AND('[3]Analysis Inputs'!$N$154=2,'[3]Analysis Inputs'!$N$164=1),VLOOKUP($E33,'[3]Summary Data'!$A$1:$Q$62,13,FALSE), IF(AND('[3]Analysis Inputs'!$N$154=2,'[3]Analysis Inputs'!$N$164=2),VLOOKUP($E33,'[3]Summary Data'!$A$1:$Q$62,14, FALSE),"NA")))</f>
        <v>-0.2237574261262768</v>
      </c>
    </row>
    <row r="34" spans="5:12" ht="12.75" customHeight="1" x14ac:dyDescent="0.2">
      <c r="E34" s="246" t="s">
        <v>153</v>
      </c>
      <c r="F34" s="251">
        <f t="shared" si="0"/>
        <v>1.4192980914359248</v>
      </c>
      <c r="G34" s="248">
        <f>+VLOOKUP($E34,'[3]Summary Data'!$A$2:$Q$62,2,FALSE)</f>
        <v>-1.4192980914359248</v>
      </c>
      <c r="H34" s="248">
        <f>+VLOOKUP($E34,'[3]Summary Data'!$A$2:$Q$62,3,FALSE)</f>
        <v>-0.75845019481932519</v>
      </c>
      <c r="I34" s="248">
        <f>+VLOOKUP($E34,'[3]Summary Data'!$A$2:$Q$62,4,FALSE)</f>
        <v>2.0254519141196047E-2</v>
      </c>
      <c r="J34" s="248">
        <f>+VLOOKUP($E34,'[3]Summary Data'!$A$2:$Q$62,9,FALSE)</f>
        <v>1.2859190946453891</v>
      </c>
      <c r="K34" s="248" t="str">
        <f>+VLOOKUP($E34,'[3]Summary Data'!$A$2:$Q$62,10,FALSE)</f>
        <v>NA</v>
      </c>
      <c r="L34" s="249" t="s">
        <v>102</v>
      </c>
    </row>
    <row r="35" spans="5:12" ht="12.75" customHeight="1" x14ac:dyDescent="0.2">
      <c r="E35" s="246" t="s">
        <v>154</v>
      </c>
      <c r="F35" s="251">
        <f t="shared" si="0"/>
        <v>1.7955085787455409</v>
      </c>
      <c r="G35" s="248">
        <f>+VLOOKUP($E35,'[3]Summary Data'!$A$2:$Q$62,2,FALSE)</f>
        <v>-1.7955085787455409</v>
      </c>
      <c r="H35" s="248" t="str">
        <f>+VLOOKUP($E35,'[3]Summary Data'!$A$2:$Q$62,3,FALSE)</f>
        <v>NA</v>
      </c>
      <c r="I35" s="248">
        <f>+VLOOKUP($E35,'[3]Summary Data'!$A$2:$Q$62,4,FALSE)</f>
        <v>2.0254519141196047E-2</v>
      </c>
      <c r="J35" s="248">
        <f>+VLOOKUP($E35,'[3]Summary Data'!$A$2:$Q$62,9,FALSE)</f>
        <v>1.294118329192256</v>
      </c>
      <c r="K35" s="248" t="str">
        <f>+VLOOKUP($E35,'[3]Summary Data'!$A$2:$Q$62,10,FALSE)</f>
        <v>NA</v>
      </c>
      <c r="L35" s="249" t="s">
        <v>102</v>
      </c>
    </row>
    <row r="36" spans="5:12" ht="12.75" customHeight="1" x14ac:dyDescent="0.2">
      <c r="E36" s="246" t="s">
        <v>155</v>
      </c>
      <c r="F36" s="251">
        <f t="shared" si="0"/>
        <v>2.1729152901086737</v>
      </c>
      <c r="G36" s="248">
        <f>+VLOOKUP($E36,'[3]Summary Data'!$A$2:$Q$62,2,FALSE)</f>
        <v>-2.1729152901086737</v>
      </c>
      <c r="H36" s="248">
        <f>+VLOOKUP($E36,'[3]Summary Data'!$A$2:$Q$62,3,FALSE)</f>
        <v>-1.0357206316437553</v>
      </c>
      <c r="I36" s="248">
        <f>+VLOOKUP($E36,'[3]Summary Data'!$A$2:$Q$62,4,FALSE)</f>
        <v>2.0254519141196047E-2</v>
      </c>
      <c r="J36" s="248">
        <f>+VLOOKUP($E36,'[3]Summary Data'!$A$2:$Q$62,9,FALSE)</f>
        <v>1.2416663572872335</v>
      </c>
      <c r="K36" s="248" t="str">
        <f>+VLOOKUP($E36,'[3]Summary Data'!$A$2:$Q$62,10,FALSE)</f>
        <v>NA</v>
      </c>
      <c r="L36" s="249" t="s">
        <v>102</v>
      </c>
    </row>
    <row r="37" spans="5:12" ht="12.75" customHeight="1" x14ac:dyDescent="0.2">
      <c r="E37" s="246" t="s">
        <v>156</v>
      </c>
      <c r="F37" s="251">
        <f t="shared" si="0"/>
        <v>1.575798913594386</v>
      </c>
      <c r="G37" s="248">
        <f>+VLOOKUP($E37,'[3]Summary Data'!$A$2:$Q$62,2,FALSE)</f>
        <v>-1.575798913594386</v>
      </c>
      <c r="H37" s="248" t="str">
        <f>+VLOOKUP($E37,'[3]Summary Data'!$A$2:$Q$62,3,FALSE)</f>
        <v>NA</v>
      </c>
      <c r="I37" s="248">
        <f>+VLOOKUP($E37,'[3]Summary Data'!$A$2:$Q$62,4,FALSE)</f>
        <v>2.0254519141196047E-2</v>
      </c>
      <c r="J37" s="248">
        <f>+VLOOKUP($E37,'[3]Summary Data'!$A$2:$Q$62,9,FALSE)</f>
        <v>1.2888799293428685</v>
      </c>
      <c r="K37" s="248" t="str">
        <f>+VLOOKUP($E37,'[3]Summary Data'!$A$2:$Q$62,10,FALSE)</f>
        <v>NA</v>
      </c>
      <c r="L37" s="249" t="s">
        <v>102</v>
      </c>
    </row>
    <row r="38" spans="5:12" ht="12.75" customHeight="1" x14ac:dyDescent="0.2">
      <c r="E38" s="246" t="s">
        <v>157</v>
      </c>
      <c r="F38" s="251">
        <f t="shared" si="0"/>
        <v>1.5248004300239186</v>
      </c>
      <c r="G38" s="248">
        <f>+VLOOKUP($E38,'[3]Summary Data'!$A$2:$Q$62,2,FALSE)</f>
        <v>-1.5248004300239186</v>
      </c>
      <c r="H38" s="248">
        <f>+VLOOKUP($E38,'[3]Summary Data'!$A$2:$Q$62,3,FALSE)</f>
        <v>-0.79374839120334784</v>
      </c>
      <c r="I38" s="248">
        <f>+VLOOKUP($E38,'[3]Summary Data'!$A$2:$Q$62,4,FALSE)</f>
        <v>2.0254519141196047E-2</v>
      </c>
      <c r="J38" s="248">
        <f>+VLOOKUP($E38,'[3]Summary Data'!$A$2:$Q$62,9,FALSE)</f>
        <v>1.2887280916660748</v>
      </c>
      <c r="K38" s="248" t="str">
        <f>+VLOOKUP($E38,'[3]Summary Data'!$A$2:$Q$62,10,FALSE)</f>
        <v>NA</v>
      </c>
      <c r="L38" s="249" t="s">
        <v>102</v>
      </c>
    </row>
    <row r="39" spans="5:12" ht="12.75" customHeight="1" x14ac:dyDescent="0.2">
      <c r="E39" s="246" t="s">
        <v>158</v>
      </c>
      <c r="F39" s="251">
        <f t="shared" si="0"/>
        <v>2.4996318935816175</v>
      </c>
      <c r="G39" s="248">
        <f>+VLOOKUP($E39,'[3]Summary Data'!$A$2:$Q$62,2,FALSE)</f>
        <v>-2.4996318935816175</v>
      </c>
      <c r="H39" s="248" t="str">
        <f>+VLOOKUP($E39,'[3]Summary Data'!$A$2:$Q$62,3,FALSE)</f>
        <v>NA</v>
      </c>
      <c r="I39" s="248">
        <f>+VLOOKUP($E39,'[3]Summary Data'!$A$2:$Q$62,4,FALSE)</f>
        <v>2.0254519141196047E-2</v>
      </c>
      <c r="J39" s="248">
        <f>+VLOOKUP($E39,'[3]Summary Data'!$A$2:$Q$62,9,FALSE)</f>
        <v>1.651553194272934</v>
      </c>
      <c r="K39" s="248" t="str">
        <f>+VLOOKUP($E39,'[3]Summary Data'!$A$2:$Q$62,10,FALSE)</f>
        <v>NA</v>
      </c>
      <c r="L39" s="249" t="s">
        <v>102</v>
      </c>
    </row>
    <row r="40" spans="5:12" ht="12.75" customHeight="1" x14ac:dyDescent="0.2">
      <c r="E40" s="246" t="s">
        <v>159</v>
      </c>
      <c r="F40" s="251">
        <f t="shared" si="0"/>
        <v>1.9251482239214053</v>
      </c>
      <c r="G40" s="248">
        <f>+VLOOKUP($E40,'[3]Summary Data'!$A$2:$Q$62,2,FALSE)</f>
        <v>-1.9251482239214053</v>
      </c>
      <c r="H40" s="248" t="str">
        <f>+VLOOKUP($E40,'[3]Summary Data'!$A$2:$Q$62,3,FALSE)</f>
        <v>NA</v>
      </c>
      <c r="I40" s="248">
        <f>+VLOOKUP($E40,'[3]Summary Data'!$A$2:$Q$62,4,FALSE)</f>
        <v>2.0254519141196047E-2</v>
      </c>
      <c r="J40" s="248">
        <f>+VLOOKUP($E40,'[3]Summary Data'!$A$2:$Q$62,9,FALSE)</f>
        <v>0.66386324257557927</v>
      </c>
      <c r="K40" s="248" t="str">
        <f>+VLOOKUP($E40,'[3]Summary Data'!$A$2:$Q$62,10,FALSE)</f>
        <v>NA</v>
      </c>
      <c r="L40" s="249" t="s">
        <v>102</v>
      </c>
    </row>
    <row r="41" spans="5:12" ht="12.75" customHeight="1" x14ac:dyDescent="0.2">
      <c r="E41" s="246" t="s">
        <v>160</v>
      </c>
      <c r="F41" s="251">
        <f t="shared" si="0"/>
        <v>1.8734007624310425</v>
      </c>
      <c r="G41" s="248">
        <f>+VLOOKUP($E41,'[3]Summary Data'!$A$2:$Q$62,2,FALSE)</f>
        <v>-1.8734007624310425</v>
      </c>
      <c r="H41" s="248">
        <f>+VLOOKUP($E41,'[3]Summary Data'!$A$2:$Q$62,3,FALSE)</f>
        <v>-0.92552340675199463</v>
      </c>
      <c r="I41" s="248">
        <f>+VLOOKUP($E41,'[3]Summary Data'!$A$2:$Q$62,4,FALSE)</f>
        <v>2.0254519141196047E-2</v>
      </c>
      <c r="J41" s="248">
        <f>+VLOOKUP($E41,'[3]Summary Data'!$A$2:$Q$62,9,FALSE)</f>
        <v>1.2592539836731671</v>
      </c>
      <c r="K41" s="248" t="str">
        <f>+VLOOKUP($E41,'[3]Summary Data'!$A$2:$Q$62,10,FALSE)</f>
        <v>NA</v>
      </c>
      <c r="L41" s="249" t="s">
        <v>102</v>
      </c>
    </row>
    <row r="42" spans="5:12" ht="12.75" customHeight="1" x14ac:dyDescent="0.2">
      <c r="E42" s="246" t="s">
        <v>161</v>
      </c>
      <c r="F42" s="251">
        <f t="shared" si="0"/>
        <v>2.4528916331677815</v>
      </c>
      <c r="G42" s="248">
        <f>+VLOOKUP($E42,'[3]Summary Data'!$A$2:$Q$62,2,FALSE)</f>
        <v>-2.4528916331677815</v>
      </c>
      <c r="H42" s="248" t="str">
        <f>+VLOOKUP($E42,'[3]Summary Data'!$A$2:$Q$62,3,FALSE)</f>
        <v>NA</v>
      </c>
      <c r="I42" s="248">
        <f>+VLOOKUP($E42,'[3]Summary Data'!$A$2:$Q$62,4,FALSE)</f>
        <v>-1.6426151092788039</v>
      </c>
      <c r="J42" s="248">
        <f>+VLOOKUP($E42,'[3]Summary Data'!$A$2:$Q$62,9,FALSE)</f>
        <v>-0.62628943002332815</v>
      </c>
      <c r="K42" s="248">
        <f>+VLOOKUP($E42,'[3]Summary Data'!$A$2:$Q$62,10,FALSE)</f>
        <v>-0.13040739388077993</v>
      </c>
      <c r="L42" s="249" t="s">
        <v>102</v>
      </c>
    </row>
    <row r="43" spans="5:12" ht="12.75" customHeight="1" x14ac:dyDescent="0.2">
      <c r="E43" s="246" t="s">
        <v>162</v>
      </c>
      <c r="F43" s="251">
        <f t="shared" si="0"/>
        <v>20.864196009734808</v>
      </c>
      <c r="G43" s="248">
        <f>+VLOOKUP($E43,'[3]Summary Data'!$A$2:$Q$62,2,FALSE)</f>
        <v>-20.864196009734808</v>
      </c>
      <c r="H43" s="248">
        <f>+VLOOKUP($E43,'[3]Summary Data'!$A$2:$Q$62,3,FALSE)</f>
        <v>-1.4868382376024454</v>
      </c>
      <c r="I43" s="248">
        <f>+VLOOKUP($E43,'[3]Summary Data'!$A$2:$Q$62,4,FALSE)</f>
        <v>2.0254519141196047E-2</v>
      </c>
      <c r="J43" s="248">
        <f>+VLOOKUP($E43,'[3]Summary Data'!$A$2:$Q$62,9,FALSE)</f>
        <v>-0.65895940211468551</v>
      </c>
      <c r="K43" s="248" t="str">
        <f>+VLOOKUP($E43,'[3]Summary Data'!$A$2:$Q$62,10,FALSE)</f>
        <v>NA</v>
      </c>
      <c r="L43" s="249" t="s">
        <v>102</v>
      </c>
    </row>
    <row r="44" spans="5:12" ht="12.75" customHeight="1" x14ac:dyDescent="0.2">
      <c r="E44" s="246" t="s">
        <v>163</v>
      </c>
      <c r="F44" s="251">
        <f t="shared" si="0"/>
        <v>29.834297794910995</v>
      </c>
      <c r="G44" s="248">
        <f>+VLOOKUP($E44,'[3]Summary Data'!$A$2:$Q$62,2,FALSE)</f>
        <v>-29.834297794910995</v>
      </c>
      <c r="H44" s="248">
        <f>+VLOOKUP($E44,'[3]Summary Data'!$A$2:$Q$62,3,FALSE)</f>
        <v>-1.0617686307750867</v>
      </c>
      <c r="I44" s="248">
        <f>+VLOOKUP($E44,'[3]Summary Data'!$A$2:$Q$62,4,FALSE)</f>
        <v>2.0254519141196047E-2</v>
      </c>
      <c r="J44" s="248">
        <f>+VLOOKUP($E44,'[3]Summary Data'!$A$2:$Q$62,9,FALSE)</f>
        <v>0.65415399357374215</v>
      </c>
      <c r="K44" s="248" t="str">
        <f>+VLOOKUP($E44,'[3]Summary Data'!$A$2:$Q$62,10,FALSE)</f>
        <v>NA</v>
      </c>
      <c r="L44" s="249" t="s">
        <v>102</v>
      </c>
    </row>
    <row r="45" spans="5:12" ht="12.75" customHeight="1" x14ac:dyDescent="0.2">
      <c r="E45" s="246" t="s">
        <v>164</v>
      </c>
      <c r="F45" s="251">
        <f t="shared" si="0"/>
        <v>24.194600105982435</v>
      </c>
      <c r="G45" s="248">
        <f>+VLOOKUP($E45,'[3]Summary Data'!$A$2:$Q$62,2,FALSE)</f>
        <v>-24.194600105982435</v>
      </c>
      <c r="H45" s="248">
        <f>+VLOOKUP($E45,'[3]Summary Data'!$A$2:$Q$62,3,FALSE)</f>
        <v>-0.99227028605862688</v>
      </c>
      <c r="I45" s="248">
        <f>+VLOOKUP($E45,'[3]Summary Data'!$A$2:$Q$62,4,FALSE)</f>
        <v>2.0254519141196047E-2</v>
      </c>
      <c r="J45" s="248">
        <f>+VLOOKUP($E45,'[3]Summary Data'!$A$2:$Q$62,9,FALSE)</f>
        <v>2.5310415295543259E-2</v>
      </c>
      <c r="K45" s="248" t="str">
        <f>+VLOOKUP($E45,'[3]Summary Data'!$A$2:$Q$62,10,FALSE)</f>
        <v>NA</v>
      </c>
      <c r="L45" s="249" t="s">
        <v>102</v>
      </c>
    </row>
    <row r="46" spans="5:12" ht="12.75" customHeight="1" x14ac:dyDescent="0.2">
      <c r="E46" s="246" t="s">
        <v>165</v>
      </c>
      <c r="F46" s="251" t="str">
        <f t="shared" si="0"/>
        <v>NA</v>
      </c>
      <c r="G46" s="248" t="str">
        <f>+VLOOKUP($E46,'[3]Summary Data'!$A$2:$Q$62,2,FALSE)</f>
        <v>NA</v>
      </c>
      <c r="H46" s="248">
        <f>+VLOOKUP($E46,'[3]Summary Data'!$A$2:$Q$62,3,FALSE)</f>
        <v>-0.56954424891234812</v>
      </c>
      <c r="I46" s="248">
        <f>+VLOOKUP($E46,'[3]Summary Data'!$A$2:$Q$62,4,FALSE)</f>
        <v>2.0254519141196047E-2</v>
      </c>
      <c r="J46" s="248">
        <f>+VLOOKUP($E46,'[3]Summary Data'!$A$2:$Q$62,9,FALSE)</f>
        <v>0.44868287053641109</v>
      </c>
      <c r="K46" s="248" t="str">
        <f>+VLOOKUP($E46,'[3]Summary Data'!$A$2:$Q$62,10,FALSE)</f>
        <v>NA</v>
      </c>
      <c r="L46" s="249" t="s">
        <v>102</v>
      </c>
    </row>
    <row r="47" spans="5:12" ht="12.75" customHeight="1" x14ac:dyDescent="0.2">
      <c r="E47" s="246" t="s">
        <v>166</v>
      </c>
      <c r="F47" s="251">
        <f t="shared" si="0"/>
        <v>10.316002191792363</v>
      </c>
      <c r="G47" s="248">
        <f>+VLOOKUP($E47,'[3]Summary Data'!$A$2:$Q$62,2,FALSE)</f>
        <v>-10.316002191792363</v>
      </c>
      <c r="H47" s="248">
        <f>+VLOOKUP($E47,'[3]Summary Data'!$A$2:$Q$62,3,FALSE)</f>
        <v>-0.36434580220643786</v>
      </c>
      <c r="I47" s="248">
        <f>+VLOOKUP($E47,'[3]Summary Data'!$A$2:$Q$62,4,FALSE)</f>
        <v>2.0254519141196047E-2</v>
      </c>
      <c r="J47" s="248">
        <f>+VLOOKUP($E47,'[3]Summary Data'!$A$2:$Q$62,9,FALSE)</f>
        <v>2.0819232398532308</v>
      </c>
      <c r="K47" s="248" t="str">
        <f>+VLOOKUP($E47,'[3]Summary Data'!$A$2:$Q$62,10,FALSE)</f>
        <v>NA</v>
      </c>
      <c r="L47" s="249" t="s">
        <v>102</v>
      </c>
    </row>
    <row r="48" spans="5:12" ht="12.75" customHeight="1" x14ac:dyDescent="0.2">
      <c r="E48" s="246" t="s">
        <v>167</v>
      </c>
      <c r="F48" s="251">
        <f t="shared" si="0"/>
        <v>7.6461346412299527</v>
      </c>
      <c r="G48" s="248">
        <f>+VLOOKUP($E48,'[3]Summary Data'!$A$2:$Q$62,2,FALSE)</f>
        <v>-7.6461346412299527</v>
      </c>
      <c r="H48" s="248">
        <f>+VLOOKUP($E48,'[3]Summary Data'!$A$2:$Q$62,3,FALSE)</f>
        <v>-0.55742377483757122</v>
      </c>
      <c r="I48" s="248">
        <f>+VLOOKUP($E48,'[3]Summary Data'!$A$2:$Q$62,4,FALSE)</f>
        <v>2.0254519141196047E-2</v>
      </c>
      <c r="J48" s="248">
        <f>+VLOOKUP($E48,'[3]Summary Data'!$A$2:$Q$62,9,FALSE)</f>
        <v>1.1984833170760558</v>
      </c>
      <c r="K48" s="248" t="str">
        <f>+VLOOKUP($E48,'[3]Summary Data'!$A$2:$Q$62,10,FALSE)</f>
        <v>NA</v>
      </c>
      <c r="L48" s="249" t="s">
        <v>102</v>
      </c>
    </row>
    <row r="49" spans="5:18" ht="12.75" customHeight="1" x14ac:dyDescent="0.2">
      <c r="E49" s="246" t="s">
        <v>168</v>
      </c>
      <c r="F49" s="251">
        <f t="shared" si="0"/>
        <v>20.791713261664754</v>
      </c>
      <c r="G49" s="248">
        <f>+VLOOKUP($E49,'[3]Summary Data'!$A$2:$Q$62,2,FALSE)</f>
        <v>-20.791713261664754</v>
      </c>
      <c r="H49" s="248">
        <f>+VLOOKUP($E49,'[3]Summary Data'!$A$2:$Q$62,3,FALSE)</f>
        <v>-0.9038615759580324</v>
      </c>
      <c r="I49" s="248">
        <f>+VLOOKUP($E49,'[3]Summary Data'!$A$2:$Q$62,4,FALSE)</f>
        <v>2.0254519141196047E-2</v>
      </c>
      <c r="J49" s="248">
        <f>+VLOOKUP($E49,'[3]Summary Data'!$A$2:$Q$62,9,FALSE)</f>
        <v>0.34071356444031542</v>
      </c>
      <c r="K49" s="248" t="str">
        <f>+VLOOKUP($E49,'[3]Summary Data'!$A$2:$Q$62,10,FALSE)</f>
        <v>NA</v>
      </c>
      <c r="L49" s="249" t="s">
        <v>102</v>
      </c>
    </row>
    <row r="50" spans="5:18" ht="12.75" customHeight="1" x14ac:dyDescent="0.2">
      <c r="E50" s="246" t="s">
        <v>169</v>
      </c>
      <c r="F50" s="251">
        <f t="shared" si="0"/>
        <v>4.799452726904927</v>
      </c>
      <c r="G50" s="248">
        <f>+VLOOKUP($E50,'[3]Summary Data'!$A$2:$Q$62,2,FALSE)</f>
        <v>-4.799452726904927</v>
      </c>
      <c r="H50" s="248">
        <f>+VLOOKUP($E50,'[3]Summary Data'!$A$2:$Q$62,3,FALSE)</f>
        <v>-9.1273781621056216</v>
      </c>
      <c r="I50" s="248">
        <f>+VLOOKUP($E50,'[3]Summary Data'!$A$2:$Q$62,4,FALSE)</f>
        <v>2.0254519141196047E-2</v>
      </c>
      <c r="J50" s="248">
        <f>+VLOOKUP($E50,'[3]Summary Data'!$A$2:$Q$62,9,FALSE)</f>
        <v>3.4432220545025718E-2</v>
      </c>
      <c r="K50" s="248" t="str">
        <f>+VLOOKUP($E50,'[3]Summary Data'!$A$2:$Q$62,10,FALSE)</f>
        <v>NA</v>
      </c>
      <c r="L50" s="249" t="s">
        <v>102</v>
      </c>
    </row>
    <row r="51" spans="5:18" ht="12.75" customHeight="1" x14ac:dyDescent="0.2">
      <c r="E51" s="246" t="s">
        <v>170</v>
      </c>
      <c r="F51" s="251">
        <f t="shared" si="0"/>
        <v>7.4772845674468833</v>
      </c>
      <c r="G51" s="248">
        <f>+VLOOKUP($E51,'[3]Summary Data'!$A$2:$Q$62,2,FALSE)</f>
        <v>-7.4772845674468833</v>
      </c>
      <c r="H51" s="248">
        <f>+VLOOKUP($E51,'[3]Summary Data'!$A$2:$Q$62,3,FALSE)</f>
        <v>-7.2036649178223389</v>
      </c>
      <c r="I51" s="248">
        <f>+VLOOKUP($E51,'[3]Summary Data'!$A$2:$Q$62,4,FALSE)</f>
        <v>2.0254519141196047E-2</v>
      </c>
      <c r="J51" s="248">
        <f>+VLOOKUP($E51,'[3]Summary Data'!$A$2:$Q$62,9,FALSE)</f>
        <v>3.4432220545025718E-2</v>
      </c>
      <c r="K51" s="248" t="str">
        <f>+VLOOKUP($E51,'[3]Summary Data'!$A$2:$Q$62,10,FALSE)</f>
        <v>NA</v>
      </c>
      <c r="L51" s="249" t="s">
        <v>102</v>
      </c>
    </row>
    <row r="52" spans="5:18" ht="12.75" customHeight="1" x14ac:dyDescent="0.2">
      <c r="E52" s="246" t="s">
        <v>171</v>
      </c>
      <c r="F52" s="251">
        <f t="shared" si="0"/>
        <v>3.0274716623608411</v>
      </c>
      <c r="G52" s="248">
        <f>+VLOOKUP($E52,'[3]Summary Data'!$A$2:$Q$62,2,FALSE)</f>
        <v>-3.0274716623608411</v>
      </c>
      <c r="H52" s="248">
        <f>+VLOOKUP($E52,'[3]Summary Data'!$A$2:$Q$62,3,FALSE)</f>
        <v>-1.8320754180112897</v>
      </c>
      <c r="I52" s="248">
        <f>+VLOOKUP($E52,'[3]Summary Data'!$A$2:$Q$62,4,FALSE)</f>
        <v>2.0254519141196047E-2</v>
      </c>
      <c r="J52" s="248">
        <f>+VLOOKUP($E52,'[3]Summary Data'!$A$2:$Q$62,9,FALSE)</f>
        <v>-1.5909481529405463</v>
      </c>
      <c r="K52" s="248" t="str">
        <f>+VLOOKUP($E52,'[3]Summary Data'!$A$2:$Q$62,10,FALSE)</f>
        <v>NA</v>
      </c>
      <c r="L52" s="249" t="s">
        <v>102</v>
      </c>
    </row>
    <row r="53" spans="5:18" ht="12.75" customHeight="1" x14ac:dyDescent="0.2">
      <c r="E53" s="246" t="s">
        <v>172</v>
      </c>
      <c r="F53" s="251">
        <f t="shared" si="0"/>
        <v>6.7219289919592509</v>
      </c>
      <c r="G53" s="248">
        <f>+VLOOKUP($E53,'[3]Summary Data'!$A$2:$Q$62,2,FALSE)</f>
        <v>-6.7219289919592509</v>
      </c>
      <c r="H53" s="248">
        <f>+VLOOKUP($E53,'[3]Summary Data'!$A$2:$Q$62,3,FALSE)</f>
        <v>-4.4888284917503007</v>
      </c>
      <c r="I53" s="248">
        <f>+VLOOKUP($E53,'[3]Summary Data'!$A$2:$Q$62,4,FALSE)</f>
        <v>2.0254519141196047E-2</v>
      </c>
      <c r="J53" s="248">
        <f>+VLOOKUP($E53,'[3]Summary Data'!$A$2:$Q$62,9,FALSE)</f>
        <v>2.9687293145218514E-2</v>
      </c>
      <c r="K53" s="248" t="str">
        <f>+VLOOKUP($E53,'[3]Summary Data'!$A$2:$Q$62,10,FALSE)</f>
        <v>NA</v>
      </c>
      <c r="L53" s="249" t="s">
        <v>102</v>
      </c>
    </row>
    <row r="54" spans="5:18" ht="12.75" customHeight="1" x14ac:dyDescent="0.2">
      <c r="E54" s="246" t="s">
        <v>173</v>
      </c>
      <c r="F54" s="251">
        <f t="shared" si="0"/>
        <v>3.6490566431171434</v>
      </c>
      <c r="G54" s="248">
        <f>+VLOOKUP($E54,'[3]Summary Data'!$A$2:$Q$62,2,FALSE)</f>
        <v>-3.6490566431171434</v>
      </c>
      <c r="H54" s="248">
        <f>+VLOOKUP($E54,'[3]Summary Data'!$A$2:$Q$62,3,FALSE)</f>
        <v>-4.3911606737930704</v>
      </c>
      <c r="I54" s="248">
        <f>+VLOOKUP($E54,'[3]Summary Data'!$A$2:$Q$62,4,FALSE)</f>
        <v>2.0254519141196047E-2</v>
      </c>
      <c r="J54" s="248">
        <f>+VLOOKUP($E54,'[3]Summary Data'!$A$2:$Q$62,9,FALSE)</f>
        <v>-1.0207885454874921</v>
      </c>
      <c r="K54" s="248" t="str">
        <f>+VLOOKUP($E54,'[3]Summary Data'!$A$2:$Q$62,10,FALSE)</f>
        <v>NA</v>
      </c>
      <c r="L54" s="249" t="s">
        <v>102</v>
      </c>
    </row>
    <row r="55" spans="5:18" ht="12.75" customHeight="1" x14ac:dyDescent="0.2">
      <c r="E55" s="246" t="s">
        <v>174</v>
      </c>
      <c r="F55" s="251">
        <f t="shared" si="0"/>
        <v>0.53082087431688396</v>
      </c>
      <c r="G55" s="248">
        <f>+VLOOKUP($E55,'[3]Summary Data'!$A$2:$Q$62,2,FALSE)</f>
        <v>-0.53082087431688396</v>
      </c>
      <c r="H55" s="248">
        <f>+VLOOKUP($E55,'[3]Summary Data'!$A$2:$Q$62,3,FALSE)</f>
        <v>-0.2760901764592596</v>
      </c>
      <c r="I55" s="248">
        <f>+VLOOKUP($E55,'[3]Summary Data'!$A$2:$Q$62,4,FALSE)</f>
        <v>2.0254519141196047E-2</v>
      </c>
      <c r="J55" s="248">
        <f>+VLOOKUP($E55,'[3]Summary Data'!$A$2:$Q$62,9,FALSE)</f>
        <v>2.684033670533419E-2</v>
      </c>
      <c r="K55" s="248" t="str">
        <f>+VLOOKUP($E55,'[3]Summary Data'!$A$2:$Q$62,10,FALSE)</f>
        <v>NA</v>
      </c>
      <c r="L55" s="249" t="s">
        <v>102</v>
      </c>
    </row>
    <row r="56" spans="5:18" ht="12.75" customHeight="1" x14ac:dyDescent="0.2">
      <c r="E56" s="246" t="s">
        <v>175</v>
      </c>
      <c r="F56" s="251">
        <f t="shared" si="0"/>
        <v>0.11093650882302269</v>
      </c>
      <c r="G56" s="248">
        <f>+VLOOKUP($E56,'[3]Summary Data'!$A$2:$Q$62,2,FALSE)</f>
        <v>-0.11093650882302269</v>
      </c>
      <c r="H56" s="248">
        <f>+VLOOKUP($E56,'[3]Summary Data'!$A$2:$Q$62,3,FALSE)</f>
        <v>-8.0929830930775618E-2</v>
      </c>
      <c r="I56" s="248">
        <f>+VLOOKUP($E56,'[3]Summary Data'!$A$2:$Q$62,4,FALSE)</f>
        <v>2.0254519141196047E-2</v>
      </c>
      <c r="J56" s="248" t="str">
        <f>+VLOOKUP($E56,'[3]Summary Data'!$A$2:$Q$62,9,FALSE)</f>
        <v>NA</v>
      </c>
      <c r="K56" s="248" t="str">
        <f>+VLOOKUP($E56,'[3]Summary Data'!$A$2:$Q$62,10,FALSE)</f>
        <v>NA</v>
      </c>
      <c r="L56" s="249" t="s">
        <v>102</v>
      </c>
      <c r="M56" s="240"/>
      <c r="N56" s="240"/>
      <c r="O56" s="240"/>
      <c r="P56" s="252"/>
      <c r="Q56" s="252"/>
      <c r="R56" s="253"/>
    </row>
    <row r="57" spans="5:18" ht="12.75" customHeight="1" x14ac:dyDescent="0.2">
      <c r="E57" s="246" t="s">
        <v>176</v>
      </c>
      <c r="F57" s="251">
        <f t="shared" si="0"/>
        <v>0.18994168948972495</v>
      </c>
      <c r="G57" s="248">
        <f>+VLOOKUP($E57,'[3]Summary Data'!$A$2:$Q$62,2,FALSE)</f>
        <v>-0.18994168948972495</v>
      </c>
      <c r="H57" s="248">
        <f>+VLOOKUP($E57,'[3]Summary Data'!$A$2:$Q$62,3,FALSE)</f>
        <v>-8.9875346416933649E-2</v>
      </c>
      <c r="I57" s="248">
        <f>+VLOOKUP($E57,'[3]Summary Data'!$A$2:$Q$62,4,FALSE)</f>
        <v>2.0254519141196047E-2</v>
      </c>
      <c r="J57" s="248">
        <f>+VLOOKUP($E57,'[3]Summary Data'!$A$2:$Q$62,9,FALSE)</f>
        <v>-0.35461659031794068</v>
      </c>
      <c r="K57" s="248" t="str">
        <f>+VLOOKUP($E57,'[3]Summary Data'!$A$2:$Q$62,10,FALSE)</f>
        <v>NA</v>
      </c>
      <c r="L57" s="249" t="s">
        <v>102</v>
      </c>
      <c r="M57" s="240"/>
      <c r="N57" s="240"/>
      <c r="O57" s="240"/>
      <c r="P57" s="252"/>
      <c r="Q57" s="252"/>
      <c r="R57" s="253"/>
    </row>
    <row r="58" spans="5:18" ht="12.75" customHeight="1" x14ac:dyDescent="0.2">
      <c r="E58" s="246" t="s">
        <v>177</v>
      </c>
      <c r="F58" s="251">
        <f t="shared" si="0"/>
        <v>3.6831269309259898</v>
      </c>
      <c r="G58" s="254">
        <f>+VLOOKUP($E58,'[3]Summary Data'!$A$2:$Q$62,2,FALSE)</f>
        <v>-3.6831269309259898</v>
      </c>
      <c r="H58" s="255">
        <f>+VLOOKUP($E58,'[3]Summary Data'!$A$2:$Q$62,3,FALSE)</f>
        <v>-2.3816001800168372</v>
      </c>
      <c r="I58" s="255">
        <f>+VLOOKUP($E58,'[3]Summary Data'!$A$2:$Q$62,4,FALSE)</f>
        <v>2.0254519141196047E-2</v>
      </c>
      <c r="J58" s="248">
        <f>+VLOOKUP($E58,'[3]Summary Data'!$A$2:$Q$62,9,FALSE)</f>
        <v>1.0980672100751245</v>
      </c>
      <c r="K58" s="248" t="str">
        <f>+VLOOKUP($E58,'[3]Summary Data'!$A$2:$Q$62,10,FALSE)</f>
        <v>NA</v>
      </c>
      <c r="L58" s="249" t="s">
        <v>102</v>
      </c>
    </row>
    <row r="59" spans="5:18" ht="12.75" customHeight="1" x14ac:dyDescent="0.2">
      <c r="E59" s="246" t="s">
        <v>178</v>
      </c>
      <c r="F59" s="251">
        <f t="shared" si="0"/>
        <v>0.26681148164878588</v>
      </c>
      <c r="G59" s="248">
        <f>+VLOOKUP($E59,'[3]Summary Data'!$A$2:$Q$62,2,FALSE)</f>
        <v>-0.26681148164878588</v>
      </c>
      <c r="H59" s="248" t="str">
        <f>+VLOOKUP($E59,'[3]Summary Data'!$A$2:$Q$62,3,FALSE)</f>
        <v>NA</v>
      </c>
      <c r="I59" s="248">
        <f>+VLOOKUP($E59,'[3]Summary Data'!$A$2:$Q$62,4,FALSE)</f>
        <v>2.0254519141196047E-2</v>
      </c>
      <c r="J59" s="248" t="str">
        <f>+VLOOKUP($E59,'[3]Summary Data'!$A$2:$Q$62,9,FALSE)</f>
        <v>NA</v>
      </c>
      <c r="K59" s="248" t="str">
        <f>+VLOOKUP($E59,'[3]Summary Data'!$A$2:$Q$62,10,FALSE)</f>
        <v>NA</v>
      </c>
      <c r="L59" s="249" t="s">
        <v>102</v>
      </c>
    </row>
    <row r="60" spans="5:18" ht="12.75" customHeight="1" x14ac:dyDescent="0.2">
      <c r="E60" s="246" t="s">
        <v>179</v>
      </c>
      <c r="F60" s="251" t="str">
        <f t="shared" si="0"/>
        <v>NA</v>
      </c>
      <c r="G60" s="248" t="str">
        <f>+VLOOKUP($E60,'[3]Summary Data'!$A$2:$Q$62,2,FALSE)</f>
        <v>NA</v>
      </c>
      <c r="H60" s="248">
        <f>+VLOOKUP($E60,'[3]Summary Data'!$A$2:$Q$62,3,FALSE)</f>
        <v>-7.9915606690990279E-3</v>
      </c>
      <c r="I60" s="248">
        <f>+VLOOKUP($E60,'[3]Summary Data'!$A$2:$Q$62,4,FALSE)</f>
        <v>2.0254519141196047E-2</v>
      </c>
      <c r="J60" s="248" t="str">
        <f>+VLOOKUP($E60,'[3]Summary Data'!$A$2:$Q$62,9,FALSE)</f>
        <v>NA</v>
      </c>
      <c r="K60" s="248" t="str">
        <f>+VLOOKUP($E60,'[3]Summary Data'!$A$2:$Q$62,10,FALSE)</f>
        <v>NA</v>
      </c>
      <c r="L60" s="249" t="s">
        <v>102</v>
      </c>
    </row>
    <row r="61" spans="5:18" ht="12.75" customHeight="1" x14ac:dyDescent="0.2">
      <c r="E61" s="246" t="s">
        <v>180</v>
      </c>
      <c r="F61" s="251">
        <f t="shared" si="0"/>
        <v>2.1129433194407268</v>
      </c>
      <c r="G61" s="248">
        <f>+VLOOKUP($E61,'[3]Summary Data'!$A$2:$Q$62,2,FALSE)</f>
        <v>-2.1129433194407268</v>
      </c>
      <c r="H61" s="248">
        <f>+VLOOKUP($E61,'[3]Summary Data'!$A$2:$Q$62,3,FALSE)</f>
        <v>-1.6595759283861717</v>
      </c>
      <c r="I61" s="248">
        <f>+VLOOKUP($E61,'[3]Summary Data'!$A$2:$Q$62,4,FALSE)</f>
        <v>-0.92340796891716337</v>
      </c>
      <c r="J61" s="248">
        <f>+VLOOKUP($E61,'[3]Summary Data'!$A$2:$Q$62,9,FALSE)</f>
        <v>-0.58446028234567138</v>
      </c>
      <c r="K61" s="248" t="str">
        <f>+VLOOKUP($E61,'[3]Summary Data'!$A$2:$Q$62,10,FALSE)</f>
        <v>NA</v>
      </c>
      <c r="L61" s="249" t="s">
        <v>102</v>
      </c>
    </row>
    <row r="62" spans="5:18" ht="12.75" customHeight="1" x14ac:dyDescent="0.2">
      <c r="E62" s="246" t="s">
        <v>181</v>
      </c>
      <c r="F62" s="251">
        <f t="shared" si="0"/>
        <v>0.21543021258138986</v>
      </c>
      <c r="G62" s="248">
        <f>+VLOOKUP($E62,'[3]Summary Data'!$A$2:$Q$62,2,FALSE)</f>
        <v>-0.21543021258138986</v>
      </c>
      <c r="H62" s="248">
        <f>+VLOOKUP($E62,'[3]Summary Data'!$A$2:$Q$62,3,FALSE)</f>
        <v>2.608665626869755E-2</v>
      </c>
      <c r="I62" s="248">
        <f>+VLOOKUP($E62,'[3]Summary Data'!$A$2:$Q$62,4,FALSE)</f>
        <v>-6.1041329359337294E-2</v>
      </c>
      <c r="J62" s="248" t="str">
        <f>+VLOOKUP($E62,'[3]Summary Data'!$A$2:$Q$62,9,FALSE)</f>
        <v>NA</v>
      </c>
      <c r="K62" s="248" t="str">
        <f>+VLOOKUP($E62,'[3]Summary Data'!$A$2:$Q$62,10,FALSE)</f>
        <v>NA</v>
      </c>
      <c r="L62" s="249" t="s">
        <v>102</v>
      </c>
      <c r="M62" s="240"/>
      <c r="N62" s="240"/>
      <c r="O62" s="240"/>
      <c r="P62" s="240"/>
      <c r="Q62" s="252"/>
      <c r="R62" s="253"/>
    </row>
    <row r="63" spans="5:18" ht="12.75" customHeight="1" x14ac:dyDescent="0.2">
      <c r="E63" s="246" t="s">
        <v>182</v>
      </c>
      <c r="F63" s="251">
        <f t="shared" si="0"/>
        <v>0.37729663011161302</v>
      </c>
      <c r="G63" s="248">
        <f>+VLOOKUP($E63,'[3]Summary Data'!$A$2:$Q$62,2,FALSE)</f>
        <v>-0.37729663011161302</v>
      </c>
      <c r="H63" s="248" t="str">
        <f>+VLOOKUP($E63,'[3]Summary Data'!$A$2:$Q$62,3,FALSE)</f>
        <v>NA</v>
      </c>
      <c r="I63" s="248">
        <f>+VLOOKUP($E63,'[3]Summary Data'!$A$2:$Q$62,4,FALSE)</f>
        <v>2.0254519141196047E-2</v>
      </c>
      <c r="J63" s="248" t="str">
        <f>+VLOOKUP($E63,'[3]Summary Data'!$A$2:$Q$62,9,FALSE)</f>
        <v>NA</v>
      </c>
      <c r="K63" s="248" t="str">
        <f>+VLOOKUP($E63,'[3]Summary Data'!$A$2:$Q$62,10,FALSE)</f>
        <v>NA</v>
      </c>
      <c r="L63" s="249" t="s">
        <v>102</v>
      </c>
      <c r="M63" s="240"/>
      <c r="N63" s="240"/>
      <c r="O63" s="240"/>
      <c r="P63" s="252"/>
      <c r="Q63" s="252"/>
      <c r="R63" s="253"/>
    </row>
    <row r="64" spans="5:18" ht="12.75" customHeight="1" x14ac:dyDescent="0.2">
      <c r="E64" s="246" t="s">
        <v>183</v>
      </c>
      <c r="F64" s="251" t="str">
        <f t="shared" si="0"/>
        <v>NA</v>
      </c>
      <c r="G64" s="248" t="str">
        <f>+VLOOKUP($E64,'[3]Summary Data'!$A$2:$Q$62,2,FALSE)</f>
        <v>NA</v>
      </c>
      <c r="H64" s="248">
        <f>+VLOOKUP($E64,'[3]Summary Data'!$A$2:$Q$62,3,FALSE)</f>
        <v>-0.86528618366060273</v>
      </c>
      <c r="I64" s="248">
        <f>+VLOOKUP($E64,'[3]Summary Data'!$A$2:$Q$62,4,FALSE)</f>
        <v>2.0254519141196047E-2</v>
      </c>
      <c r="J64" s="248" t="str">
        <f>+VLOOKUP($E64,'[3]Summary Data'!$A$2:$Q$62,9,FALSE)</f>
        <v>NA</v>
      </c>
      <c r="K64" s="248" t="str">
        <f>+VLOOKUP($E64,'[3]Summary Data'!$A$2:$Q$62,10,FALSE)</f>
        <v>NA</v>
      </c>
      <c r="L64" s="249" t="s">
        <v>102</v>
      </c>
      <c r="M64" s="240"/>
      <c r="N64" s="240"/>
      <c r="O64" s="240"/>
      <c r="P64" s="240"/>
      <c r="Q64" s="240"/>
    </row>
    <row r="65" spans="2:23" ht="12.75" customHeight="1" x14ac:dyDescent="0.2">
      <c r="E65" s="246" t="s">
        <v>184</v>
      </c>
      <c r="F65" s="251">
        <f t="shared" si="0"/>
        <v>3.0454111003886863</v>
      </c>
      <c r="G65" s="248">
        <f>+VLOOKUP($E65,'[3]Summary Data'!$A$2:$Q$62,2,FALSE)</f>
        <v>-3.0454111003886863</v>
      </c>
      <c r="H65" s="248" t="str">
        <f>+VLOOKUP($E65,'[3]Summary Data'!$A$2:$Q$62,3,FALSE)</f>
        <v>NA</v>
      </c>
      <c r="I65" s="248">
        <f>+VLOOKUP($E65,'[3]Summary Data'!$A$2:$Q$62,4,FALSE)</f>
        <v>-0.8538867821502174</v>
      </c>
      <c r="J65" s="248">
        <f>+VLOOKUP($E65,'[3]Summary Data'!$A$2:$Q$62,9,FALSE)</f>
        <v>-0.58446028234567138</v>
      </c>
      <c r="K65" s="248" t="str">
        <f>+VLOOKUP($E65,'[3]Summary Data'!$A$2:$Q$62,10,FALSE)</f>
        <v>NA</v>
      </c>
      <c r="L65" s="249" t="s">
        <v>102</v>
      </c>
    </row>
    <row r="66" spans="2:23" ht="12.75" customHeight="1" x14ac:dyDescent="0.2">
      <c r="E66" s="246" t="s">
        <v>185</v>
      </c>
      <c r="F66" s="251">
        <f>IFERROR(-G66,"NA")</f>
        <v>1.6682402580960147</v>
      </c>
      <c r="G66" s="248">
        <f>+VLOOKUP($E66,'[3]Summary Data'!$A$2:$Q$62,2,FALSE)</f>
        <v>-1.6682402580960147</v>
      </c>
      <c r="H66" s="248">
        <f>+VLOOKUP($E66,'[3]Summary Data'!$A$2:$Q$62,3,FALSE)</f>
        <v>-1.9288102239875635</v>
      </c>
      <c r="I66" s="248">
        <f>+VLOOKUP($E66,'[3]Summary Data'!$A$2:$Q$62,4,FALSE)</f>
        <v>2.0254519141196047E-2</v>
      </c>
      <c r="J66" s="248" t="str">
        <f>+VLOOKUP($E66,'[3]Summary Data'!$A$2:$Q$62,9,FALSE)</f>
        <v>NA</v>
      </c>
      <c r="K66" s="248" t="str">
        <f>+VLOOKUP($E66,'[3]Summary Data'!$A$2:$Q$62,10,FALSE)</f>
        <v>NA</v>
      </c>
      <c r="L66" s="249" t="s">
        <v>102</v>
      </c>
    </row>
    <row r="67" spans="2:23" ht="12.75" customHeight="1" x14ac:dyDescent="0.2">
      <c r="E67" s="246" t="s">
        <v>186</v>
      </c>
      <c r="F67" s="251">
        <f t="shared" si="0"/>
        <v>0.58343753572038659</v>
      </c>
      <c r="G67" s="248">
        <f>+VLOOKUP($E67,'[3]Summary Data'!$A$2:$Q$62,2,FALSE)</f>
        <v>-0.58343753572038659</v>
      </c>
      <c r="H67" s="248" t="str">
        <f>+VLOOKUP($E67,'[3]Summary Data'!$A$2:$Q$62,3,FALSE)</f>
        <v>NA</v>
      </c>
      <c r="I67" s="248">
        <f>+VLOOKUP($E67,'[3]Summary Data'!$A$2:$Q$62,4,FALSE)</f>
        <v>2.0254519141196047E-2</v>
      </c>
      <c r="J67" s="248">
        <f>+VLOOKUP($E67,'[3]Summary Data'!$A$2:$Q$62,9,FALSE)</f>
        <v>-0.30797451115899921</v>
      </c>
      <c r="K67" s="248" t="str">
        <f>+VLOOKUP($E67,'[3]Summary Data'!$A$2:$Q$62,10,FALSE)</f>
        <v>NA</v>
      </c>
      <c r="L67" s="249" t="s">
        <v>102</v>
      </c>
      <c r="P67" s="253"/>
      <c r="Q67" s="253"/>
      <c r="R67" s="253"/>
    </row>
    <row r="68" spans="2:23" ht="12.75" customHeight="1" x14ac:dyDescent="0.2">
      <c r="E68" s="246" t="s">
        <v>187</v>
      </c>
      <c r="F68" s="251">
        <f t="shared" si="0"/>
        <v>4.1129199902628848</v>
      </c>
      <c r="G68" s="248">
        <f>+VLOOKUP($E68,'[3]Summary Data'!$A$2:$Q$62,2,FALSE)</f>
        <v>-4.1129199902628848</v>
      </c>
      <c r="H68" s="248">
        <f>+VLOOKUP($E68,'[3]Summary Data'!$A$2:$Q$62,3,FALSE)</f>
        <v>-3.6849344170172293</v>
      </c>
      <c r="I68" s="248">
        <f>+VLOOKUP($E68,'[3]Summary Data'!$A$2:$Q$62,4,FALSE)</f>
        <v>-0.8592610862888036</v>
      </c>
      <c r="J68" s="256">
        <f>+VLOOKUP($E68,'[3]Summary Data'!$A$2:$Q$62,9,FALSE)</f>
        <v>-0.74082170725489027</v>
      </c>
      <c r="K68" s="256" t="str">
        <f>+VLOOKUP($E68,'[3]Summary Data'!$A$2:$Q$62,10,FALSE)</f>
        <v>NA</v>
      </c>
      <c r="L68" s="249" t="s">
        <v>102</v>
      </c>
      <c r="M68" s="240"/>
      <c r="P68" s="253"/>
      <c r="Q68" s="253"/>
      <c r="R68" s="253"/>
    </row>
    <row r="69" spans="2:23" ht="12.75" customHeight="1" x14ac:dyDescent="0.2">
      <c r="E69" s="246" t="s">
        <v>188</v>
      </c>
      <c r="F69" s="251">
        <f t="shared" si="0"/>
        <v>4.2988112330745327</v>
      </c>
      <c r="G69" s="248">
        <f>+VLOOKUP($E69,'[3]Summary Data'!$A$2:$Q$62,2,FALSE)</f>
        <v>-4.2988112330745327</v>
      </c>
      <c r="H69" s="248">
        <f>+VLOOKUP($E69,'[3]Summary Data'!$A$2:$Q$62,3,FALSE)</f>
        <v>-0.37630348405859365</v>
      </c>
      <c r="I69" s="248">
        <f>+VLOOKUP($E69,'[3]Summary Data'!$A$2:$Q$62,4,FALSE)</f>
        <v>2.0254519141196047E-2</v>
      </c>
      <c r="J69" s="248">
        <f>+VLOOKUP($E69,'[3]Summary Data'!$A$2:$Q$62,9,FALSE)</f>
        <v>0.49981021699866868</v>
      </c>
      <c r="K69" s="248" t="str">
        <f>+VLOOKUP($E69,'[3]Summary Data'!$A$2:$Q$62,10,FALSE)</f>
        <v>NA</v>
      </c>
      <c r="L69" s="249" t="s">
        <v>102</v>
      </c>
      <c r="M69" s="240"/>
      <c r="N69" s="240"/>
      <c r="O69" s="240"/>
      <c r="P69" s="252"/>
      <c r="Q69" s="252"/>
      <c r="R69" s="253"/>
    </row>
    <row r="70" spans="2:23" ht="12.75" customHeight="1" x14ac:dyDescent="0.2">
      <c r="E70" s="246" t="s">
        <v>189</v>
      </c>
      <c r="F70" s="251" t="str">
        <f t="shared" si="0"/>
        <v>NA</v>
      </c>
      <c r="G70" s="248" t="str">
        <f>+VLOOKUP($E70,'[3]Summary Data'!$A$2:$Q$62,2,FALSE)</f>
        <v>NA</v>
      </c>
      <c r="H70" s="248">
        <f>+VLOOKUP($E70,'[3]Summary Data'!$A$2:$Q$62,3,FALSE)</f>
        <v>-2.8009509451764503</v>
      </c>
      <c r="I70" s="248">
        <f>+VLOOKUP($E70,'[3]Summary Data'!$A$2:$Q$62,4,FALSE)</f>
        <v>3.4185776672640021E-2</v>
      </c>
      <c r="J70" s="248">
        <f>+VLOOKUP($E70,'[3]Summary Data'!$A$2:$Q$62,9,FALSE)</f>
        <v>-0.42469288377343062</v>
      </c>
      <c r="K70" s="248" t="str">
        <f>+VLOOKUP($E70,'[3]Summary Data'!$A$2:$Q$62,10,FALSE)</f>
        <v>NA</v>
      </c>
      <c r="L70" s="249" t="s">
        <v>102</v>
      </c>
    </row>
    <row r="71" spans="2:23" ht="12.75" customHeight="1" x14ac:dyDescent="0.2">
      <c r="E71" s="246" t="s">
        <v>190</v>
      </c>
      <c r="F71" s="251" t="str">
        <f t="shared" si="0"/>
        <v>NA</v>
      </c>
      <c r="G71" s="248" t="str">
        <f>+VLOOKUP($E71,'[3]Summary Data'!$A$2:$Q$62,2,FALSE)</f>
        <v>NA</v>
      </c>
      <c r="H71" s="248" t="str">
        <f>+VLOOKUP($E71,'[3]Summary Data'!$A$2:$Q$62,3,FALSE)</f>
        <v>NA</v>
      </c>
      <c r="I71" s="248">
        <f>+VLOOKUP($E71,'[3]Summary Data'!$A$2:$Q$62,4,FALSE)</f>
        <v>0.15807392806431295</v>
      </c>
      <c r="J71" s="248">
        <f>+VLOOKUP($E71,'[3]Summary Data'!$A$2:$Q$62,9,FALSE)</f>
        <v>-0.14948571960737767</v>
      </c>
      <c r="K71" s="248">
        <f>+VLOOKUP($E71,'[3]Summary Data'!$A$2:$Q$62,10,FALSE)</f>
        <v>-0.13040739388077993</v>
      </c>
      <c r="L71" s="249">
        <f>(IF(AND('[3]Analysis Inputs'!$N$154=2,'[3]Analysis Inputs'!$N$164=1),VLOOKUP($E71,'[3]Summary Data'!$A$1:$Q$62,13,FALSE), IF(AND('[3]Analysis Inputs'!$N$154=2,'[3]Analysis Inputs'!$N$164=2),VLOOKUP($E71,'[3]Summary Data'!$A$1:$Q$62,14, FALSE),"NA")))</f>
        <v>-6.3815986496865679E-2</v>
      </c>
    </row>
    <row r="72" spans="2:23" ht="12.75" customHeight="1" thickBot="1" x14ac:dyDescent="0.25">
      <c r="E72" s="257" t="s">
        <v>191</v>
      </c>
      <c r="F72" s="258" t="str">
        <f t="shared" si="0"/>
        <v>NA</v>
      </c>
      <c r="G72" s="259" t="str">
        <f>+VLOOKUP($E72,'[3]Summary Data'!$A$2:$Q$62,2,FALSE)</f>
        <v>NA</v>
      </c>
      <c r="H72" s="259" t="str">
        <f>+VLOOKUP($E72,'[3]Summary Data'!$A$2:$Q$62,3,FALSE)</f>
        <v>NA</v>
      </c>
      <c r="I72" s="259">
        <f>+VLOOKUP($E72,'[3]Summary Data'!$A$2:$Q$62,4,FALSE)</f>
        <v>0.30922398376646776</v>
      </c>
      <c r="J72" s="259">
        <f>+VLOOKUP($E72,'[3]Summary Data'!$A$2:$Q$62,9,FALSE)</f>
        <v>9.1542228046413987E-3</v>
      </c>
      <c r="K72" s="259" t="str">
        <f>+VLOOKUP($E72,'[3]Summary Data'!$A$2:$Q$62,10,FALSE)</f>
        <v>NA</v>
      </c>
      <c r="L72" s="260" t="s">
        <v>102</v>
      </c>
    </row>
    <row r="73" spans="2:23" x14ac:dyDescent="0.2">
      <c r="E73" s="261"/>
      <c r="F73" s="253"/>
      <c r="G73" s="253"/>
      <c r="H73" s="253"/>
      <c r="I73" s="253"/>
      <c r="J73" s="253"/>
      <c r="K73" s="253"/>
      <c r="L73" s="253"/>
      <c r="M73" s="253"/>
      <c r="N73" s="253"/>
      <c r="O73" s="253"/>
      <c r="P73" s="4"/>
      <c r="R73" s="4"/>
      <c r="S73" s="4"/>
      <c r="T73" s="4"/>
    </row>
    <row r="74" spans="2:23" ht="13.5" thickBot="1" x14ac:dyDescent="0.25">
      <c r="E74" s="262" t="s">
        <v>192</v>
      </c>
      <c r="F74" s="4"/>
      <c r="G74" s="4"/>
      <c r="H74" s="4"/>
      <c r="I74" s="4"/>
      <c r="J74" s="4"/>
      <c r="K74" s="4"/>
      <c r="L74" s="4"/>
      <c r="M74" s="4"/>
      <c r="N74" s="4"/>
      <c r="O74" s="4"/>
      <c r="P74" s="263"/>
      <c r="Q74" s="4"/>
      <c r="R74" s="4"/>
      <c r="S74" s="4"/>
      <c r="U74" s="4"/>
      <c r="V74" s="4"/>
      <c r="W74" s="4"/>
    </row>
    <row r="75" spans="2:23" ht="54.75" x14ac:dyDescent="0.2">
      <c r="B75" t="s">
        <v>193</v>
      </c>
      <c r="C75" t="s">
        <v>194</v>
      </c>
      <c r="D75" t="s">
        <v>195</v>
      </c>
      <c r="E75" s="264" t="s">
        <v>123</v>
      </c>
      <c r="F75" s="243" t="s">
        <v>196</v>
      </c>
      <c r="G75" s="265" t="s">
        <v>197</v>
      </c>
      <c r="H75" s="244" t="s">
        <v>198</v>
      </c>
      <c r="I75" s="244" t="s">
        <v>199</v>
      </c>
      <c r="J75" s="244" t="s">
        <v>200</v>
      </c>
      <c r="K75" s="244" t="s">
        <v>201</v>
      </c>
      <c r="L75" s="244" t="s">
        <v>202</v>
      </c>
      <c r="M75" s="265" t="s">
        <v>203</v>
      </c>
      <c r="N75" s="244" t="s">
        <v>204</v>
      </c>
      <c r="O75" s="266" t="s">
        <v>205</v>
      </c>
      <c r="P75" s="266" t="s">
        <v>206</v>
      </c>
      <c r="Q75" s="267" t="s">
        <v>207</v>
      </c>
    </row>
    <row r="76" spans="2:23" ht="12.75" customHeight="1" x14ac:dyDescent="0.2">
      <c r="B76" s="237">
        <f>IF(SUM(G76,I76,K76,M76,O76)=0,0,1)</f>
        <v>0</v>
      </c>
      <c r="C76" s="237">
        <f>B76</f>
        <v>0</v>
      </c>
      <c r="D76">
        <f>C76*B76</f>
        <v>0</v>
      </c>
      <c r="E76" s="268" t="s">
        <v>131</v>
      </c>
      <c r="F76" s="248">
        <f>VLOOKUP($E76,'[3]Analysis Inputs'!$D$15:$U$75,10,FALSE)</f>
        <v>0</v>
      </c>
      <c r="G76" s="269">
        <f>VLOOKUP($E76,'[3]Analysis Inputs'!$D$15:$U$75,4,FALSE)</f>
        <v>0</v>
      </c>
      <c r="H76" s="269">
        <f t="shared" ref="H76:H136" si="3">IF(G76="NA","NA",+G76*H12)</f>
        <v>0</v>
      </c>
      <c r="I76" s="248">
        <f>VLOOKUP($E76,'[3]Analysis Inputs'!$D$15:$U$75,5,FALSE)</f>
        <v>0</v>
      </c>
      <c r="J76" s="248">
        <f t="shared" ref="J76:J136" si="4">IF(I76="NA","NA",+I76*I12)</f>
        <v>0</v>
      </c>
      <c r="K76" s="248">
        <f>VLOOKUP($E76,'[3]Analysis Inputs'!$D$15:$U$75,6,FALSE)</f>
        <v>0</v>
      </c>
      <c r="L76" s="248">
        <f t="shared" ref="L76:L136" si="5">IF(K76="NA","NA",+K76*J12)</f>
        <v>0</v>
      </c>
      <c r="M76" s="248" t="str">
        <f>VLOOKUP($E76,'[3]Analysis Inputs'!$D$15:$U$75,7,FALSE)</f>
        <v>NA</v>
      </c>
      <c r="N76" s="248" t="str">
        <f t="shared" ref="N76:N136" si="6">IF(M76="NA","NA",+M76*K12)</f>
        <v>NA</v>
      </c>
      <c r="O76" s="248" t="str">
        <f>VLOOKUP($E76,'[3]Analysis Inputs'!$D$15:$U$75,8,FALSE)</f>
        <v>NA</v>
      </c>
      <c r="P76" s="270" t="s">
        <v>102</v>
      </c>
      <c r="Q76" s="271">
        <f>IF(P76="INPUT ERROR","INPUT ERROR",SUM(H76,J76,L76,N76,P76))</f>
        <v>0</v>
      </c>
    </row>
    <row r="77" spans="2:23" ht="12.75" customHeight="1" x14ac:dyDescent="0.2">
      <c r="B77" s="237">
        <f>IF(SUM(G77,I77,K77,M77,O77)=0,0,1)</f>
        <v>0</v>
      </c>
      <c r="C77" s="237">
        <f>C76+B77</f>
        <v>0</v>
      </c>
      <c r="D77">
        <f>C77*B77</f>
        <v>0</v>
      </c>
      <c r="E77" s="268" t="s">
        <v>132</v>
      </c>
      <c r="F77" s="248">
        <f>VLOOKUP($E77,'[3]Analysis Inputs'!$D$15:$U$75,10,FALSE)</f>
        <v>0</v>
      </c>
      <c r="G77" s="269">
        <f>VLOOKUP($E77,'[3]Analysis Inputs'!$D$15:$U$75,4,FALSE)</f>
        <v>0</v>
      </c>
      <c r="H77" s="269">
        <f t="shared" si="3"/>
        <v>0</v>
      </c>
      <c r="I77" s="248">
        <f>VLOOKUP($E77,'[3]Analysis Inputs'!$D$15:$U$75,5,FALSE)</f>
        <v>0</v>
      </c>
      <c r="J77" s="248">
        <f t="shared" si="4"/>
        <v>0</v>
      </c>
      <c r="K77" s="248">
        <f>VLOOKUP($E77,'[3]Analysis Inputs'!$D$15:$U$75,6,FALSE)</f>
        <v>0</v>
      </c>
      <c r="L77" s="248">
        <f t="shared" si="5"/>
        <v>0</v>
      </c>
      <c r="M77" s="248" t="str">
        <f>VLOOKUP($E77,'[3]Analysis Inputs'!$D$15:$U$75,7,FALSE)</f>
        <v>NA</v>
      </c>
      <c r="N77" s="248" t="str">
        <f t="shared" si="6"/>
        <v>NA</v>
      </c>
      <c r="O77" s="248" t="str">
        <f>VLOOKUP($E77,'[3]Analysis Inputs'!$D$15:$U$75,8,FALSE)</f>
        <v>NA</v>
      </c>
      <c r="P77" s="272" t="s">
        <v>102</v>
      </c>
      <c r="Q77" s="271">
        <f>IF(P77="INPUT ERROR","INPUT ERROR",SUM(H77,J77,L77,N77,P77))</f>
        <v>0</v>
      </c>
    </row>
    <row r="78" spans="2:23" ht="12.75" customHeight="1" x14ac:dyDescent="0.2">
      <c r="B78" s="237">
        <f t="shared" ref="B78:B136" si="7">IF(SUM(G78,I78,K78,M78,O78)=0,0,1)</f>
        <v>0</v>
      </c>
      <c r="C78" s="237">
        <f t="shared" ref="C78:C136" si="8">C77+B78</f>
        <v>0</v>
      </c>
      <c r="D78">
        <f t="shared" ref="D78:D136" si="9">C78*B78</f>
        <v>0</v>
      </c>
      <c r="E78" s="268" t="s">
        <v>133</v>
      </c>
      <c r="F78" s="248">
        <f>VLOOKUP($E78,'[3]Analysis Inputs'!$D$15:$U$75,10,FALSE)</f>
        <v>0</v>
      </c>
      <c r="G78" s="269">
        <f>VLOOKUP($E78,'[3]Analysis Inputs'!$D$15:$U$75,4,FALSE)</f>
        <v>0</v>
      </c>
      <c r="H78" s="269">
        <f t="shared" si="3"/>
        <v>0</v>
      </c>
      <c r="I78" s="248">
        <f>VLOOKUP($E78,'[3]Analysis Inputs'!$D$15:$U$75,5,FALSE)</f>
        <v>0</v>
      </c>
      <c r="J78" s="248">
        <f t="shared" si="4"/>
        <v>0</v>
      </c>
      <c r="K78" s="248">
        <f>VLOOKUP($E78,'[3]Analysis Inputs'!$D$15:$U$75,6,FALSE)</f>
        <v>0</v>
      </c>
      <c r="L78" s="248">
        <f t="shared" si="5"/>
        <v>0</v>
      </c>
      <c r="M78" s="248" t="str">
        <f>VLOOKUP($E78,'[3]Analysis Inputs'!$D$15:$U$75,7,FALSE)</f>
        <v>NA</v>
      </c>
      <c r="N78" s="248" t="str">
        <f t="shared" si="6"/>
        <v>NA</v>
      </c>
      <c r="O78" s="248" t="str">
        <f>VLOOKUP($E78,'[3]Analysis Inputs'!$D$15:$U$75,8,FALSE)</f>
        <v>NA</v>
      </c>
      <c r="P78" s="272" t="s">
        <v>102</v>
      </c>
      <c r="Q78" s="271">
        <f t="shared" ref="Q78:Q135" si="10">IF(P78="INPUT ERROR","INPUT ERROR",SUM(H78,J78,L78,N78,P78))</f>
        <v>0</v>
      </c>
    </row>
    <row r="79" spans="2:23" ht="12.75" customHeight="1" x14ac:dyDescent="0.2">
      <c r="B79" s="237">
        <f t="shared" si="7"/>
        <v>0</v>
      </c>
      <c r="C79" s="237">
        <f t="shared" si="8"/>
        <v>0</v>
      </c>
      <c r="D79">
        <f t="shared" si="9"/>
        <v>0</v>
      </c>
      <c r="E79" s="268" t="s">
        <v>134</v>
      </c>
      <c r="F79" s="248">
        <f>VLOOKUP($E79,'[3]Analysis Inputs'!$D$15:$U$75,10,FALSE)</f>
        <v>0</v>
      </c>
      <c r="G79" s="269">
        <f>VLOOKUP($E79,'[3]Analysis Inputs'!$D$15:$U$75,4,FALSE)</f>
        <v>0</v>
      </c>
      <c r="H79" s="269">
        <f t="shared" si="3"/>
        <v>0</v>
      </c>
      <c r="I79" s="248">
        <f>VLOOKUP($E79,'[3]Analysis Inputs'!$D$15:$U$75,5,FALSE)</f>
        <v>0</v>
      </c>
      <c r="J79" s="248">
        <f t="shared" si="4"/>
        <v>0</v>
      </c>
      <c r="K79" s="248">
        <f>VLOOKUP($E79,'[3]Analysis Inputs'!$D$15:$U$75,6,FALSE)</f>
        <v>0</v>
      </c>
      <c r="L79" s="248">
        <f t="shared" si="5"/>
        <v>0</v>
      </c>
      <c r="M79" s="248" t="str">
        <f>VLOOKUP($E79,'[3]Analysis Inputs'!$D$15:$U$75,7,FALSE)</f>
        <v>NA</v>
      </c>
      <c r="N79" s="248" t="str">
        <f t="shared" si="6"/>
        <v>NA</v>
      </c>
      <c r="O79" s="248" t="str">
        <f>VLOOKUP($E79,'[3]Analysis Inputs'!$D$15:$U$75,8,FALSE)</f>
        <v>NA</v>
      </c>
      <c r="P79" s="272" t="s">
        <v>102</v>
      </c>
      <c r="Q79" s="271">
        <f t="shared" si="10"/>
        <v>0</v>
      </c>
    </row>
    <row r="80" spans="2:23" ht="12.75" customHeight="1" x14ac:dyDescent="0.2">
      <c r="B80" s="237">
        <f t="shared" si="7"/>
        <v>0</v>
      </c>
      <c r="C80" s="237">
        <f t="shared" si="8"/>
        <v>0</v>
      </c>
      <c r="D80">
        <f t="shared" si="9"/>
        <v>0</v>
      </c>
      <c r="E80" s="268" t="s">
        <v>135</v>
      </c>
      <c r="F80" s="248">
        <f>VLOOKUP($E80,'[3]Analysis Inputs'!$D$15:$U$75,10,FALSE)</f>
        <v>0</v>
      </c>
      <c r="G80" s="269">
        <f>VLOOKUP($E80,'[3]Analysis Inputs'!$D$15:$U$75,4,FALSE)</f>
        <v>0</v>
      </c>
      <c r="H80" s="269">
        <f t="shared" si="3"/>
        <v>0</v>
      </c>
      <c r="I80" s="248">
        <f>VLOOKUP($E80,'[3]Analysis Inputs'!$D$15:$U$75,5,FALSE)</f>
        <v>0</v>
      </c>
      <c r="J80" s="248">
        <f t="shared" si="4"/>
        <v>0</v>
      </c>
      <c r="K80" s="248">
        <f>VLOOKUP($E80,'[3]Analysis Inputs'!$D$15:$U$75,6,FALSE)</f>
        <v>0</v>
      </c>
      <c r="L80" s="248">
        <f t="shared" si="5"/>
        <v>0</v>
      </c>
      <c r="M80" s="248" t="str">
        <f>VLOOKUP($E80,'[3]Analysis Inputs'!$D$15:$U$75,7,FALSE)</f>
        <v>NA</v>
      </c>
      <c r="N80" s="248" t="str">
        <f t="shared" si="6"/>
        <v>NA</v>
      </c>
      <c r="O80" s="248" t="str">
        <f>VLOOKUP($E80,'[3]Analysis Inputs'!$D$15:$U$75,8,FALSE)</f>
        <v>NA</v>
      </c>
      <c r="P80" s="272" t="s">
        <v>102</v>
      </c>
      <c r="Q80" s="271">
        <f t="shared" si="10"/>
        <v>0</v>
      </c>
    </row>
    <row r="81" spans="2:17" ht="12.75" customHeight="1" x14ac:dyDescent="0.2">
      <c r="B81" s="237">
        <f t="shared" si="7"/>
        <v>0</v>
      </c>
      <c r="C81" s="237">
        <f t="shared" si="8"/>
        <v>0</v>
      </c>
      <c r="D81">
        <f t="shared" si="9"/>
        <v>0</v>
      </c>
      <c r="E81" s="268" t="s">
        <v>136</v>
      </c>
      <c r="F81" s="248">
        <f>VLOOKUP($E81,'[3]Analysis Inputs'!$D$15:$U$75,10,FALSE)</f>
        <v>0</v>
      </c>
      <c r="G81" s="269">
        <f>VLOOKUP($E81,'[3]Analysis Inputs'!$D$15:$U$75,4,FALSE)</f>
        <v>0</v>
      </c>
      <c r="H81" s="269">
        <f t="shared" si="3"/>
        <v>0</v>
      </c>
      <c r="I81" s="248">
        <f>VLOOKUP($E81,'[3]Analysis Inputs'!$D$15:$U$75,5,FALSE)</f>
        <v>0</v>
      </c>
      <c r="J81" s="248">
        <f t="shared" si="4"/>
        <v>0</v>
      </c>
      <c r="K81" s="248">
        <f>VLOOKUP($E81,'[3]Analysis Inputs'!$D$15:$U$75,6,FALSE)</f>
        <v>0</v>
      </c>
      <c r="L81" s="248">
        <f t="shared" si="5"/>
        <v>0</v>
      </c>
      <c r="M81" s="248" t="str">
        <f>VLOOKUP($E81,'[3]Analysis Inputs'!$D$15:$U$75,7,FALSE)</f>
        <v>NA</v>
      </c>
      <c r="N81" s="248" t="str">
        <f t="shared" si="6"/>
        <v>NA</v>
      </c>
      <c r="O81" s="248" t="str">
        <f>VLOOKUP($E81,'[3]Analysis Inputs'!$D$15:$U$75,8,FALSE)</f>
        <v>NA</v>
      </c>
      <c r="P81" s="272" t="s">
        <v>102</v>
      </c>
      <c r="Q81" s="271">
        <f t="shared" si="10"/>
        <v>0</v>
      </c>
    </row>
    <row r="82" spans="2:17" ht="12.75" customHeight="1" x14ac:dyDescent="0.2">
      <c r="B82" s="237">
        <f t="shared" si="7"/>
        <v>0</v>
      </c>
      <c r="C82" s="237">
        <f t="shared" si="8"/>
        <v>0</v>
      </c>
      <c r="D82">
        <f t="shared" si="9"/>
        <v>0</v>
      </c>
      <c r="E82" s="268" t="s">
        <v>137</v>
      </c>
      <c r="F82" s="248">
        <f>VLOOKUP($E82,'[3]Analysis Inputs'!$D$15:$U$75,10,FALSE)</f>
        <v>0</v>
      </c>
      <c r="G82" s="269">
        <f>VLOOKUP($E82,'[3]Analysis Inputs'!$D$15:$U$75,4,FALSE)</f>
        <v>0</v>
      </c>
      <c r="H82" s="269">
        <f t="shared" si="3"/>
        <v>0</v>
      </c>
      <c r="I82" s="248">
        <f>VLOOKUP($E82,'[3]Analysis Inputs'!$D$15:$U$75,5,FALSE)</f>
        <v>0</v>
      </c>
      <c r="J82" s="248">
        <f t="shared" si="4"/>
        <v>0</v>
      </c>
      <c r="K82" s="248">
        <f>VLOOKUP($E82,'[3]Analysis Inputs'!$D$15:$U$75,6,FALSE)</f>
        <v>0</v>
      </c>
      <c r="L82" s="248">
        <f t="shared" si="5"/>
        <v>0</v>
      </c>
      <c r="M82" s="248" t="str">
        <f>VLOOKUP($E82,'[3]Analysis Inputs'!$D$15:$U$75,7,FALSE)</f>
        <v>NA</v>
      </c>
      <c r="N82" s="248" t="str">
        <f t="shared" si="6"/>
        <v>NA</v>
      </c>
      <c r="O82" s="248" t="str">
        <f>VLOOKUP($E82,'[3]Analysis Inputs'!$D$15:$U$75,8,FALSE)</f>
        <v>NA</v>
      </c>
      <c r="P82" s="272" t="s">
        <v>102</v>
      </c>
      <c r="Q82" s="271">
        <f t="shared" si="10"/>
        <v>0</v>
      </c>
    </row>
    <row r="83" spans="2:17" ht="12.75" customHeight="1" x14ac:dyDescent="0.2">
      <c r="B83" s="237">
        <f t="shared" si="7"/>
        <v>0</v>
      </c>
      <c r="C83" s="237">
        <f t="shared" si="8"/>
        <v>0</v>
      </c>
      <c r="D83">
        <f t="shared" si="9"/>
        <v>0</v>
      </c>
      <c r="E83" s="268" t="s">
        <v>138</v>
      </c>
      <c r="F83" s="248">
        <f>VLOOKUP($E83,'[3]Analysis Inputs'!$D$15:$U$75,10,FALSE)</f>
        <v>0</v>
      </c>
      <c r="G83" s="269">
        <f>VLOOKUP($E83,'[3]Analysis Inputs'!$D$15:$U$75,4,FALSE)</f>
        <v>0</v>
      </c>
      <c r="H83" s="269">
        <f t="shared" si="3"/>
        <v>0</v>
      </c>
      <c r="I83" s="248">
        <f>VLOOKUP($E83,'[3]Analysis Inputs'!$D$15:$U$75,5,FALSE)</f>
        <v>0</v>
      </c>
      <c r="J83" s="248">
        <f t="shared" si="4"/>
        <v>0</v>
      </c>
      <c r="K83" s="248">
        <f>VLOOKUP($E83,'[3]Analysis Inputs'!$D$15:$U$75,6,FALSE)</f>
        <v>0</v>
      </c>
      <c r="L83" s="248">
        <f t="shared" si="5"/>
        <v>0</v>
      </c>
      <c r="M83" s="248" t="str">
        <f>VLOOKUP($E83,'[3]Analysis Inputs'!$D$15:$U$75,7,FALSE)</f>
        <v>NA</v>
      </c>
      <c r="N83" s="248" t="str">
        <f t="shared" si="6"/>
        <v>NA</v>
      </c>
      <c r="O83" s="248" t="str">
        <f>VLOOKUP($E83,'[3]Analysis Inputs'!$D$15:$U$75,8,FALSE)</f>
        <v>NA</v>
      </c>
      <c r="P83" s="272" t="s">
        <v>102</v>
      </c>
      <c r="Q83" s="271">
        <f t="shared" si="10"/>
        <v>0</v>
      </c>
    </row>
    <row r="84" spans="2:17" ht="12.75" customHeight="1" x14ac:dyDescent="0.2">
      <c r="B84" s="237">
        <f t="shared" si="7"/>
        <v>0</v>
      </c>
      <c r="C84" s="237">
        <f t="shared" si="8"/>
        <v>0</v>
      </c>
      <c r="D84">
        <f t="shared" si="9"/>
        <v>0</v>
      </c>
      <c r="E84" s="268" t="s">
        <v>139</v>
      </c>
      <c r="F84" s="248">
        <f>VLOOKUP($E84,'[3]Analysis Inputs'!$D$15:$U$75,10,FALSE)</f>
        <v>0</v>
      </c>
      <c r="G84" s="269">
        <f>VLOOKUP($E84,'[3]Analysis Inputs'!$D$15:$U$75,4,FALSE)</f>
        <v>0</v>
      </c>
      <c r="H84" s="269">
        <f t="shared" si="3"/>
        <v>0</v>
      </c>
      <c r="I84" s="248">
        <f>VLOOKUP($E84,'[3]Analysis Inputs'!$D$15:$U$75,5,FALSE)</f>
        <v>0</v>
      </c>
      <c r="J84" s="248">
        <f t="shared" si="4"/>
        <v>0</v>
      </c>
      <c r="K84" s="248">
        <f>VLOOKUP($E84,'[3]Analysis Inputs'!$D$15:$U$75,6,FALSE)</f>
        <v>0</v>
      </c>
      <c r="L84" s="248">
        <f t="shared" si="5"/>
        <v>0</v>
      </c>
      <c r="M84" s="248" t="str">
        <f>VLOOKUP($E84,'[3]Analysis Inputs'!$D$15:$U$75,7,FALSE)</f>
        <v>NA</v>
      </c>
      <c r="N84" s="248" t="str">
        <f t="shared" si="6"/>
        <v>NA</v>
      </c>
      <c r="O84" s="248" t="str">
        <f>VLOOKUP($E84,'[3]Analysis Inputs'!$D$15:$U$75,8,FALSE)</f>
        <v>NA</v>
      </c>
      <c r="P84" s="272" t="s">
        <v>102</v>
      </c>
      <c r="Q84" s="271">
        <f t="shared" si="10"/>
        <v>0</v>
      </c>
    </row>
    <row r="85" spans="2:17" ht="12.75" customHeight="1" x14ac:dyDescent="0.2">
      <c r="B85" s="237">
        <f t="shared" si="7"/>
        <v>1</v>
      </c>
      <c r="C85" s="237">
        <f t="shared" si="8"/>
        <v>1</v>
      </c>
      <c r="D85">
        <f t="shared" si="9"/>
        <v>1</v>
      </c>
      <c r="E85" s="268" t="s">
        <v>140</v>
      </c>
      <c r="F85" s="248">
        <f>VLOOKUP($E85,'[3]Analysis Inputs'!$D$15:$U$75,10,FALSE)</f>
        <v>7800</v>
      </c>
      <c r="G85" s="269" t="str">
        <f>VLOOKUP($E85,'[3]Analysis Inputs'!$D$15:$U$75,4,FALSE)</f>
        <v>NA</v>
      </c>
      <c r="H85" s="269" t="str">
        <f t="shared" si="3"/>
        <v>NA</v>
      </c>
      <c r="I85" s="248">
        <f>VLOOKUP($E85,'[3]Analysis Inputs'!$D$15:$U$75,5,FALSE)</f>
        <v>0</v>
      </c>
      <c r="J85" s="248">
        <f t="shared" si="4"/>
        <v>0</v>
      </c>
      <c r="K85" s="248">
        <f>VLOOKUP($E85,'[3]Analysis Inputs'!$D$15:$U$75,6,FALSE)</f>
        <v>0</v>
      </c>
      <c r="L85" s="248">
        <f t="shared" si="5"/>
        <v>0</v>
      </c>
      <c r="M85" s="248">
        <f>VLOOKUP($E85,'[3]Analysis Inputs'!$D$15:$U$75,7,FALSE)</f>
        <v>0</v>
      </c>
      <c r="N85" s="248">
        <f t="shared" si="6"/>
        <v>0</v>
      </c>
      <c r="O85" s="248">
        <f>VLOOKUP($E85,'[3]Analysis Inputs'!$D$15:$U$75,8,FALSE)</f>
        <v>7800</v>
      </c>
      <c r="P85" s="272">
        <f t="shared" ref="P85:P97" si="11">IF(AND(L21="NA",O85&lt;&gt;0),"INPUT ERROR",IF(AND(L21="NA",O85=0),"NA",+O85*L21))</f>
        <v>-325.00313119570006</v>
      </c>
      <c r="Q85" s="271">
        <f t="shared" si="10"/>
        <v>-325.00313119570006</v>
      </c>
    </row>
    <row r="86" spans="2:17" ht="12.75" customHeight="1" x14ac:dyDescent="0.2">
      <c r="B86" s="237">
        <f t="shared" si="7"/>
        <v>0</v>
      </c>
      <c r="C86" s="237">
        <f t="shared" si="8"/>
        <v>1</v>
      </c>
      <c r="D86">
        <f t="shared" si="9"/>
        <v>0</v>
      </c>
      <c r="E86" s="268" t="s">
        <v>141</v>
      </c>
      <c r="F86" s="248">
        <f>VLOOKUP($E86,'[3]Analysis Inputs'!$D$15:$U$75,10,FALSE)</f>
        <v>0</v>
      </c>
      <c r="G86" s="269" t="str">
        <f>VLOOKUP($E86,'[3]Analysis Inputs'!$D$15:$U$75,4,FALSE)</f>
        <v>NA</v>
      </c>
      <c r="H86" s="269" t="str">
        <f t="shared" si="3"/>
        <v>NA</v>
      </c>
      <c r="I86" s="248">
        <f>VLOOKUP($E86,'[3]Analysis Inputs'!$D$15:$U$75,5,FALSE)</f>
        <v>0</v>
      </c>
      <c r="J86" s="248">
        <f t="shared" si="4"/>
        <v>0</v>
      </c>
      <c r="K86" s="248">
        <f>VLOOKUP($E86,'[3]Analysis Inputs'!$D$15:$U$75,6,FALSE)</f>
        <v>0</v>
      </c>
      <c r="L86" s="248">
        <f t="shared" si="5"/>
        <v>0</v>
      </c>
      <c r="M86" s="248">
        <f>VLOOKUP($E86,'[3]Analysis Inputs'!$D$15:$U$75,7,FALSE)</f>
        <v>0</v>
      </c>
      <c r="N86" s="248">
        <f t="shared" si="6"/>
        <v>0</v>
      </c>
      <c r="O86" s="248">
        <f>VLOOKUP($E86,'[3]Analysis Inputs'!$D$15:$U$75,8,FALSE)</f>
        <v>0</v>
      </c>
      <c r="P86" s="272">
        <f t="shared" si="11"/>
        <v>0</v>
      </c>
      <c r="Q86" s="271">
        <f t="shared" si="10"/>
        <v>0</v>
      </c>
    </row>
    <row r="87" spans="2:17" ht="12.75" customHeight="1" x14ac:dyDescent="0.2">
      <c r="B87" s="237">
        <f t="shared" si="7"/>
        <v>1</v>
      </c>
      <c r="C87" s="237">
        <f t="shared" si="8"/>
        <v>2</v>
      </c>
      <c r="D87">
        <f t="shared" si="9"/>
        <v>2</v>
      </c>
      <c r="E87" s="268" t="s">
        <v>142</v>
      </c>
      <c r="F87" s="248">
        <f>VLOOKUP($E87,'[3]Analysis Inputs'!$D$15:$U$75,10,FALSE)</f>
        <v>4000</v>
      </c>
      <c r="G87" s="269" t="str">
        <f>VLOOKUP($E87,'[3]Analysis Inputs'!$D$15:$U$75,4,FALSE)</f>
        <v>NA</v>
      </c>
      <c r="H87" s="269" t="str">
        <f t="shared" si="3"/>
        <v>NA</v>
      </c>
      <c r="I87" s="248">
        <f>VLOOKUP($E87,'[3]Analysis Inputs'!$D$15:$U$75,5,FALSE)</f>
        <v>0</v>
      </c>
      <c r="J87" s="248">
        <f t="shared" si="4"/>
        <v>0</v>
      </c>
      <c r="K87" s="248">
        <f>VLOOKUP($E87,'[3]Analysis Inputs'!$D$15:$U$75,6,FALSE)</f>
        <v>0</v>
      </c>
      <c r="L87" s="248">
        <f t="shared" si="5"/>
        <v>0</v>
      </c>
      <c r="M87" s="248">
        <f>VLOOKUP($E87,'[3]Analysis Inputs'!$D$15:$U$75,7,FALSE)</f>
        <v>0</v>
      </c>
      <c r="N87" s="248">
        <f t="shared" si="6"/>
        <v>0</v>
      </c>
      <c r="O87" s="248">
        <f>VLOOKUP($E87,'[3]Analysis Inputs'!$D$15:$U$75,8,FALSE)</f>
        <v>4000</v>
      </c>
      <c r="P87" s="272">
        <f t="shared" si="11"/>
        <v>-166.66827240805131</v>
      </c>
      <c r="Q87" s="271">
        <f t="shared" si="10"/>
        <v>-166.66827240805131</v>
      </c>
    </row>
    <row r="88" spans="2:17" ht="12.75" customHeight="1" x14ac:dyDescent="0.2">
      <c r="B88" s="237">
        <f t="shared" si="7"/>
        <v>0</v>
      </c>
      <c r="C88" s="237">
        <f t="shared" si="8"/>
        <v>2</v>
      </c>
      <c r="D88">
        <f t="shared" si="9"/>
        <v>0</v>
      </c>
      <c r="E88" s="268" t="s">
        <v>143</v>
      </c>
      <c r="F88" s="248">
        <f>VLOOKUP($E88,'[3]Analysis Inputs'!$D$15:$U$75,10,FALSE)</f>
        <v>0</v>
      </c>
      <c r="G88" s="269" t="str">
        <f>VLOOKUP($E88,'[3]Analysis Inputs'!$D$15:$U$75,4,FALSE)</f>
        <v>NA</v>
      </c>
      <c r="H88" s="269" t="str">
        <f t="shared" si="3"/>
        <v>NA</v>
      </c>
      <c r="I88" s="248">
        <f>VLOOKUP($E88,'[3]Analysis Inputs'!$D$15:$U$75,5,FALSE)</f>
        <v>0</v>
      </c>
      <c r="J88" s="248">
        <f t="shared" si="4"/>
        <v>0</v>
      </c>
      <c r="K88" s="248">
        <f>VLOOKUP($E88,'[3]Analysis Inputs'!$D$15:$U$75,6,FALSE)</f>
        <v>0</v>
      </c>
      <c r="L88" s="248">
        <f t="shared" si="5"/>
        <v>0</v>
      </c>
      <c r="M88" s="248">
        <f>VLOOKUP($E88,'[3]Analysis Inputs'!$D$15:$U$75,7,FALSE)</f>
        <v>0</v>
      </c>
      <c r="N88" s="248">
        <f t="shared" si="6"/>
        <v>0</v>
      </c>
      <c r="O88" s="248">
        <f>VLOOKUP($E88,'[3]Analysis Inputs'!$D$15:$U$75,8,FALSE)</f>
        <v>0</v>
      </c>
      <c r="P88" s="272">
        <f t="shared" si="11"/>
        <v>0</v>
      </c>
      <c r="Q88" s="271">
        <f t="shared" si="10"/>
        <v>0</v>
      </c>
    </row>
    <row r="89" spans="2:17" ht="12.75" customHeight="1" x14ac:dyDescent="0.2">
      <c r="B89" s="237">
        <f t="shared" si="7"/>
        <v>0</v>
      </c>
      <c r="C89" s="237">
        <f t="shared" si="8"/>
        <v>2</v>
      </c>
      <c r="D89">
        <f t="shared" si="9"/>
        <v>0</v>
      </c>
      <c r="E89" s="268" t="s">
        <v>144</v>
      </c>
      <c r="F89" s="248">
        <f>VLOOKUP($E89,'[3]Analysis Inputs'!$D$15:$U$75,10,FALSE)</f>
        <v>0</v>
      </c>
      <c r="G89" s="269" t="str">
        <f>VLOOKUP($E89,'[3]Analysis Inputs'!$D$15:$U$75,4,FALSE)</f>
        <v>NA</v>
      </c>
      <c r="H89" s="269" t="str">
        <f t="shared" si="3"/>
        <v>NA</v>
      </c>
      <c r="I89" s="248">
        <f>VLOOKUP($E89,'[3]Analysis Inputs'!$D$15:$U$75,5,FALSE)</f>
        <v>0</v>
      </c>
      <c r="J89" s="248">
        <f t="shared" si="4"/>
        <v>0</v>
      </c>
      <c r="K89" s="248">
        <f>VLOOKUP($E89,'[3]Analysis Inputs'!$D$15:$U$75,6,FALSE)</f>
        <v>0</v>
      </c>
      <c r="L89" s="248">
        <f t="shared" si="5"/>
        <v>0</v>
      </c>
      <c r="M89" s="248">
        <f>VLOOKUP($E89,'[3]Analysis Inputs'!$D$15:$U$75,7,FALSE)</f>
        <v>0</v>
      </c>
      <c r="N89" s="248">
        <f t="shared" si="6"/>
        <v>0</v>
      </c>
      <c r="O89" s="248">
        <f>VLOOKUP($E89,'[3]Analysis Inputs'!$D$15:$U$75,8,FALSE)</f>
        <v>0</v>
      </c>
      <c r="P89" s="272">
        <f t="shared" si="11"/>
        <v>0</v>
      </c>
      <c r="Q89" s="271">
        <f t="shared" si="10"/>
        <v>0</v>
      </c>
    </row>
    <row r="90" spans="2:17" ht="12.75" customHeight="1" x14ac:dyDescent="0.2">
      <c r="B90" s="237">
        <f t="shared" si="7"/>
        <v>1</v>
      </c>
      <c r="C90" s="237">
        <f t="shared" si="8"/>
        <v>3</v>
      </c>
      <c r="D90">
        <f t="shared" si="9"/>
        <v>3</v>
      </c>
      <c r="E90" s="273" t="s">
        <v>145</v>
      </c>
      <c r="F90" s="248">
        <f>VLOOKUP($E90,'[3]Analysis Inputs'!$D$15:$U$75,10,FALSE)</f>
        <v>15650</v>
      </c>
      <c r="G90" s="269" t="str">
        <f>VLOOKUP($E90,'[3]Analysis Inputs'!$D$15:$U$75,4,FALSE)</f>
        <v>NA</v>
      </c>
      <c r="H90" s="269" t="str">
        <f t="shared" si="3"/>
        <v>NA</v>
      </c>
      <c r="I90" s="248">
        <f>VLOOKUP($E90,'[3]Analysis Inputs'!$D$15:$U$75,5,FALSE)</f>
        <v>0</v>
      </c>
      <c r="J90" s="248">
        <f t="shared" si="4"/>
        <v>0</v>
      </c>
      <c r="K90" s="248">
        <f>VLOOKUP($E90,'[3]Analysis Inputs'!$D$15:$U$75,6,FALSE)</f>
        <v>0</v>
      </c>
      <c r="L90" s="248">
        <f t="shared" si="5"/>
        <v>0</v>
      </c>
      <c r="M90" s="248">
        <f>VLOOKUP($E90,'[3]Analysis Inputs'!$D$15:$U$75,7,FALSE)</f>
        <v>0</v>
      </c>
      <c r="N90" s="248">
        <f t="shared" si="6"/>
        <v>0</v>
      </c>
      <c r="O90" s="248">
        <f>VLOOKUP($E90,'[3]Analysis Inputs'!$D$15:$U$75,8,FALSE)</f>
        <v>15650</v>
      </c>
      <c r="P90" s="272">
        <f t="shared" si="11"/>
        <v>-652.08961579650077</v>
      </c>
      <c r="Q90" s="271">
        <f t="shared" si="10"/>
        <v>-652.08961579650077</v>
      </c>
    </row>
    <row r="91" spans="2:17" ht="12.75" customHeight="1" x14ac:dyDescent="0.2">
      <c r="B91" s="237">
        <f t="shared" si="7"/>
        <v>0</v>
      </c>
      <c r="C91" s="237">
        <f t="shared" si="8"/>
        <v>3</v>
      </c>
      <c r="D91">
        <f t="shared" si="9"/>
        <v>0</v>
      </c>
      <c r="E91" s="268" t="s">
        <v>146</v>
      </c>
      <c r="F91" s="248">
        <f>VLOOKUP($E91,'[3]Analysis Inputs'!$D$15:$U$75,10,FALSE)</f>
        <v>0</v>
      </c>
      <c r="G91" s="269" t="str">
        <f>VLOOKUP($E91,'[3]Analysis Inputs'!$D$15:$U$75,4,FALSE)</f>
        <v>NA</v>
      </c>
      <c r="H91" s="269" t="str">
        <f t="shared" si="3"/>
        <v>NA</v>
      </c>
      <c r="I91" s="248">
        <f>VLOOKUP($E91,'[3]Analysis Inputs'!$D$15:$U$75,5,FALSE)</f>
        <v>0</v>
      </c>
      <c r="J91" s="248">
        <f t="shared" si="4"/>
        <v>0</v>
      </c>
      <c r="K91" s="248">
        <f>VLOOKUP($E91,'[3]Analysis Inputs'!$D$15:$U$75,6,FALSE)</f>
        <v>0</v>
      </c>
      <c r="L91" s="248">
        <f t="shared" si="5"/>
        <v>0</v>
      </c>
      <c r="M91" s="248">
        <f>VLOOKUP($E91,'[3]Analysis Inputs'!$D$15:$U$75,7,FALSE)</f>
        <v>0</v>
      </c>
      <c r="N91" s="248">
        <f t="shared" si="6"/>
        <v>0</v>
      </c>
      <c r="O91" s="248">
        <f>VLOOKUP($E91,'[3]Analysis Inputs'!$D$15:$U$75,8,FALSE)</f>
        <v>0</v>
      </c>
      <c r="P91" s="272">
        <f t="shared" si="11"/>
        <v>0</v>
      </c>
      <c r="Q91" s="271">
        <f t="shared" si="10"/>
        <v>0</v>
      </c>
    </row>
    <row r="92" spans="2:17" ht="12.75" customHeight="1" x14ac:dyDescent="0.2">
      <c r="B92" s="237">
        <f t="shared" si="7"/>
        <v>1</v>
      </c>
      <c r="C92" s="237">
        <f t="shared" si="8"/>
        <v>4</v>
      </c>
      <c r="D92">
        <f t="shared" si="9"/>
        <v>4</v>
      </c>
      <c r="E92" s="268" t="s">
        <v>147</v>
      </c>
      <c r="F92" s="248">
        <f>VLOOKUP($E92,'[3]Analysis Inputs'!$D$15:$U$75,10,FALSE)</f>
        <v>37150</v>
      </c>
      <c r="G92" s="269" t="str">
        <f>VLOOKUP($E92,'[3]Analysis Inputs'!$D$15:$U$75,4,FALSE)</f>
        <v>NA</v>
      </c>
      <c r="H92" s="269" t="str">
        <f t="shared" si="3"/>
        <v>NA</v>
      </c>
      <c r="I92" s="248">
        <f>VLOOKUP($E92,'[3]Analysis Inputs'!$D$15:$U$75,5,FALSE)</f>
        <v>0</v>
      </c>
      <c r="J92" s="248">
        <f t="shared" si="4"/>
        <v>0</v>
      </c>
      <c r="K92" s="248">
        <f>VLOOKUP($E92,'[3]Analysis Inputs'!$D$15:$U$75,6,FALSE)</f>
        <v>0</v>
      </c>
      <c r="L92" s="248">
        <f t="shared" si="5"/>
        <v>0</v>
      </c>
      <c r="M92" s="248">
        <f>VLOOKUP($E92,'[3]Analysis Inputs'!$D$15:$U$75,7,FALSE)</f>
        <v>0</v>
      </c>
      <c r="N92" s="248">
        <f t="shared" si="6"/>
        <v>0</v>
      </c>
      <c r="O92" s="248">
        <f>VLOOKUP($E92,'[3]Analysis Inputs'!$D$15:$U$75,8,FALSE)</f>
        <v>37150</v>
      </c>
      <c r="P92" s="272">
        <f t="shared" si="11"/>
        <v>-1547.9315799897765</v>
      </c>
      <c r="Q92" s="271">
        <f t="shared" si="10"/>
        <v>-1547.9315799897765</v>
      </c>
    </row>
    <row r="93" spans="2:17" ht="12.75" customHeight="1" x14ac:dyDescent="0.2">
      <c r="B93" s="237">
        <f t="shared" si="7"/>
        <v>0</v>
      </c>
      <c r="C93" s="237">
        <f t="shared" si="8"/>
        <v>4</v>
      </c>
      <c r="D93">
        <f t="shared" si="9"/>
        <v>0</v>
      </c>
      <c r="E93" s="268" t="s">
        <v>148</v>
      </c>
      <c r="F93" s="248">
        <f>VLOOKUP($E93,'[3]Analysis Inputs'!$D$15:$U$75,10,FALSE)</f>
        <v>0</v>
      </c>
      <c r="G93" s="269" t="str">
        <f>VLOOKUP($E93,'[3]Analysis Inputs'!$D$15:$U$75,4,FALSE)</f>
        <v>NA</v>
      </c>
      <c r="H93" s="269" t="str">
        <f t="shared" si="3"/>
        <v>NA</v>
      </c>
      <c r="I93" s="248">
        <f>VLOOKUP($E93,'[3]Analysis Inputs'!$D$15:$U$75,5,FALSE)</f>
        <v>0</v>
      </c>
      <c r="J93" s="248">
        <f t="shared" si="4"/>
        <v>0</v>
      </c>
      <c r="K93" s="248">
        <f>VLOOKUP($E93,'[3]Analysis Inputs'!$D$15:$U$75,6,FALSE)</f>
        <v>0</v>
      </c>
      <c r="L93" s="248">
        <f t="shared" si="5"/>
        <v>0</v>
      </c>
      <c r="M93" s="248">
        <f>VLOOKUP($E93,'[3]Analysis Inputs'!$D$15:$U$75,7,FALSE)</f>
        <v>0</v>
      </c>
      <c r="N93" s="248">
        <f t="shared" si="6"/>
        <v>0</v>
      </c>
      <c r="O93" s="248">
        <f>VLOOKUP($E93,'[3]Analysis Inputs'!$D$15:$U$75,8,FALSE)</f>
        <v>0</v>
      </c>
      <c r="P93" s="272">
        <f t="shared" si="11"/>
        <v>0</v>
      </c>
      <c r="Q93" s="271">
        <f t="shared" si="10"/>
        <v>0</v>
      </c>
    </row>
    <row r="94" spans="2:17" ht="12.75" customHeight="1" x14ac:dyDescent="0.2">
      <c r="B94" s="237">
        <f t="shared" si="7"/>
        <v>0</v>
      </c>
      <c r="C94" s="237">
        <f t="shared" si="8"/>
        <v>4</v>
      </c>
      <c r="D94">
        <f t="shared" si="9"/>
        <v>0</v>
      </c>
      <c r="E94" s="268" t="s">
        <v>149</v>
      </c>
      <c r="F94" s="248">
        <f>VLOOKUP($E94,'[3]Analysis Inputs'!$D$15:$U$75,10,FALSE)</f>
        <v>0</v>
      </c>
      <c r="G94" s="269" t="str">
        <f>VLOOKUP($E94,'[3]Analysis Inputs'!$D$15:$U$75,4,FALSE)</f>
        <v>NA</v>
      </c>
      <c r="H94" s="269" t="str">
        <f t="shared" si="3"/>
        <v>NA</v>
      </c>
      <c r="I94" s="248">
        <f>VLOOKUP($E94,'[3]Analysis Inputs'!$D$15:$U$75,5,FALSE)</f>
        <v>0</v>
      </c>
      <c r="J94" s="248">
        <f t="shared" si="4"/>
        <v>0</v>
      </c>
      <c r="K94" s="248">
        <f>VLOOKUP($E94,'[3]Analysis Inputs'!$D$15:$U$75,6,FALSE)</f>
        <v>0</v>
      </c>
      <c r="L94" s="248">
        <f t="shared" si="5"/>
        <v>0</v>
      </c>
      <c r="M94" s="248">
        <f>VLOOKUP($E94,'[3]Analysis Inputs'!$D$15:$U$75,7,FALSE)</f>
        <v>0</v>
      </c>
      <c r="N94" s="248">
        <f t="shared" si="6"/>
        <v>0</v>
      </c>
      <c r="O94" s="248">
        <f>VLOOKUP($E94,'[3]Analysis Inputs'!$D$15:$U$75,8,FALSE)</f>
        <v>0</v>
      </c>
      <c r="P94" s="272">
        <f t="shared" si="11"/>
        <v>0</v>
      </c>
      <c r="Q94" s="271">
        <f t="shared" si="10"/>
        <v>0</v>
      </c>
    </row>
    <row r="95" spans="2:17" ht="12.75" customHeight="1" x14ac:dyDescent="0.2">
      <c r="B95" s="237">
        <f t="shared" si="7"/>
        <v>1</v>
      </c>
      <c r="C95" s="237">
        <f t="shared" si="8"/>
        <v>5</v>
      </c>
      <c r="D95">
        <f t="shared" si="9"/>
        <v>5</v>
      </c>
      <c r="E95" s="268" t="s">
        <v>150</v>
      </c>
      <c r="F95" s="248">
        <f>VLOOKUP($E95,'[3]Analysis Inputs'!$D$15:$U$75,10,FALSE)</f>
        <v>700</v>
      </c>
      <c r="G95" s="269" t="str">
        <f>VLOOKUP($E95,'[3]Analysis Inputs'!$D$15:$U$75,4,FALSE)</f>
        <v>NA</v>
      </c>
      <c r="H95" s="269" t="str">
        <f t="shared" si="3"/>
        <v>NA</v>
      </c>
      <c r="I95" s="248">
        <f>VLOOKUP($E95,'[3]Analysis Inputs'!$D$15:$U$75,5,FALSE)</f>
        <v>0</v>
      </c>
      <c r="J95" s="248">
        <f t="shared" si="4"/>
        <v>0</v>
      </c>
      <c r="K95" s="248">
        <f>VLOOKUP($E95,'[3]Analysis Inputs'!$D$15:$U$75,6,FALSE)</f>
        <v>0</v>
      </c>
      <c r="L95" s="248">
        <f t="shared" si="5"/>
        <v>0</v>
      </c>
      <c r="M95" s="248">
        <f>VLOOKUP($E95,'[3]Analysis Inputs'!$D$15:$U$75,7,FALSE)</f>
        <v>0</v>
      </c>
      <c r="N95" s="248">
        <f t="shared" si="6"/>
        <v>0</v>
      </c>
      <c r="O95" s="248">
        <f>VLOOKUP($E95,'[3]Analysis Inputs'!$D$15:$U$75,8,FALSE)</f>
        <v>700</v>
      </c>
      <c r="P95" s="272">
        <f t="shared" si="11"/>
        <v>3.2184251763175644</v>
      </c>
      <c r="Q95" s="271">
        <f t="shared" si="10"/>
        <v>3.2184251763175644</v>
      </c>
    </row>
    <row r="96" spans="2:17" ht="12.75" customHeight="1" x14ac:dyDescent="0.2">
      <c r="B96" s="237">
        <f t="shared" si="7"/>
        <v>0</v>
      </c>
      <c r="C96" s="237">
        <f t="shared" si="8"/>
        <v>5</v>
      </c>
      <c r="D96">
        <f t="shared" si="9"/>
        <v>0</v>
      </c>
      <c r="E96" s="268" t="s">
        <v>151</v>
      </c>
      <c r="F96" s="248">
        <f>VLOOKUP($E96,'[3]Analysis Inputs'!$D$15:$U$75,10,FALSE)</f>
        <v>0</v>
      </c>
      <c r="G96" s="269" t="str">
        <f>VLOOKUP($E96,'[3]Analysis Inputs'!$D$15:$U$75,4,FALSE)</f>
        <v>NA</v>
      </c>
      <c r="H96" s="269" t="str">
        <f t="shared" si="3"/>
        <v>NA</v>
      </c>
      <c r="I96" s="248">
        <f>VLOOKUP($E96,'[3]Analysis Inputs'!$D$15:$U$75,5,FALSE)</f>
        <v>0</v>
      </c>
      <c r="J96" s="248">
        <f t="shared" si="4"/>
        <v>0</v>
      </c>
      <c r="K96" s="248">
        <f>VLOOKUP($E96,'[3]Analysis Inputs'!$D$15:$U$75,6,FALSE)</f>
        <v>0</v>
      </c>
      <c r="L96" s="248">
        <f t="shared" si="5"/>
        <v>0</v>
      </c>
      <c r="M96" s="248">
        <f>VLOOKUP($E96,'[3]Analysis Inputs'!$D$15:$U$75,7,FALSE)</f>
        <v>0</v>
      </c>
      <c r="N96" s="248">
        <f t="shared" si="6"/>
        <v>0</v>
      </c>
      <c r="O96" s="248">
        <f>VLOOKUP($E96,'[3]Analysis Inputs'!$D$15:$U$75,8,FALSE)</f>
        <v>0</v>
      </c>
      <c r="P96" s="272">
        <f t="shared" si="11"/>
        <v>0</v>
      </c>
      <c r="Q96" s="271">
        <f t="shared" si="10"/>
        <v>0</v>
      </c>
    </row>
    <row r="97" spans="2:19" ht="12.75" customHeight="1" x14ac:dyDescent="0.2">
      <c r="B97" s="237">
        <f t="shared" si="7"/>
        <v>0</v>
      </c>
      <c r="C97" s="237">
        <f t="shared" si="8"/>
        <v>5</v>
      </c>
      <c r="D97">
        <f t="shared" si="9"/>
        <v>0</v>
      </c>
      <c r="E97" s="268" t="s">
        <v>152</v>
      </c>
      <c r="F97" s="248">
        <f>VLOOKUP($E97,'[3]Analysis Inputs'!$D$15:$U$75,10,FALSE)</f>
        <v>0</v>
      </c>
      <c r="G97" s="269" t="str">
        <f>VLOOKUP($E97,'[3]Analysis Inputs'!$D$15:$U$75,4,FALSE)</f>
        <v>NA</v>
      </c>
      <c r="H97" s="269" t="str">
        <f t="shared" si="3"/>
        <v>NA</v>
      </c>
      <c r="I97" s="248">
        <f>VLOOKUP($E97,'[3]Analysis Inputs'!$D$15:$U$75,5,FALSE)</f>
        <v>0</v>
      </c>
      <c r="J97" s="248">
        <f t="shared" si="4"/>
        <v>0</v>
      </c>
      <c r="K97" s="248">
        <f>VLOOKUP($E97,'[3]Analysis Inputs'!$D$15:$U$75,6,FALSE)</f>
        <v>0</v>
      </c>
      <c r="L97" s="248">
        <f t="shared" si="5"/>
        <v>0</v>
      </c>
      <c r="M97" s="248">
        <f>VLOOKUP($E97,'[3]Analysis Inputs'!$D$15:$U$75,7,FALSE)</f>
        <v>0</v>
      </c>
      <c r="N97" s="248">
        <f t="shared" si="6"/>
        <v>0</v>
      </c>
      <c r="O97" s="248">
        <f>VLOOKUP($E97,'[3]Analysis Inputs'!$D$15:$U$75,8,FALSE)</f>
        <v>0</v>
      </c>
      <c r="P97" s="272">
        <f t="shared" si="11"/>
        <v>0</v>
      </c>
      <c r="Q97" s="271">
        <f t="shared" si="10"/>
        <v>0</v>
      </c>
    </row>
    <row r="98" spans="2:19" ht="12.75" customHeight="1" x14ac:dyDescent="0.2">
      <c r="B98" s="237">
        <f t="shared" si="7"/>
        <v>0</v>
      </c>
      <c r="C98" s="237">
        <f t="shared" si="8"/>
        <v>5</v>
      </c>
      <c r="D98">
        <f t="shared" si="9"/>
        <v>0</v>
      </c>
      <c r="E98" s="268" t="s">
        <v>153</v>
      </c>
      <c r="F98" s="248">
        <f>VLOOKUP($E98,'[3]Analysis Inputs'!$D$15:$U$75,10,FALSE)</f>
        <v>0</v>
      </c>
      <c r="G98" s="269">
        <f>VLOOKUP($E98,'[3]Analysis Inputs'!$D$15:$U$75,4,FALSE)</f>
        <v>0</v>
      </c>
      <c r="H98" s="269">
        <f t="shared" si="3"/>
        <v>0</v>
      </c>
      <c r="I98" s="248">
        <f>VLOOKUP($E98,'[3]Analysis Inputs'!$D$15:$U$75,5,FALSE)</f>
        <v>0</v>
      </c>
      <c r="J98" s="248">
        <f t="shared" si="4"/>
        <v>0</v>
      </c>
      <c r="K98" s="248">
        <f>VLOOKUP($E98,'[3]Analysis Inputs'!$D$15:$U$75,6,FALSE)</f>
        <v>0</v>
      </c>
      <c r="L98" s="248">
        <f t="shared" si="5"/>
        <v>0</v>
      </c>
      <c r="M98" s="248" t="str">
        <f>VLOOKUP($E98,'[3]Analysis Inputs'!$D$15:$U$75,7,FALSE)</f>
        <v>NA</v>
      </c>
      <c r="N98" s="248" t="str">
        <f t="shared" si="6"/>
        <v>NA</v>
      </c>
      <c r="O98" s="248" t="str">
        <f>VLOOKUP($E98,'[3]Analysis Inputs'!$D$15:$U$75,8,FALSE)</f>
        <v>NA</v>
      </c>
      <c r="P98" s="272" t="s">
        <v>102</v>
      </c>
      <c r="Q98" s="271">
        <f t="shared" si="10"/>
        <v>0</v>
      </c>
    </row>
    <row r="99" spans="2:19" ht="12.75" customHeight="1" x14ac:dyDescent="0.2">
      <c r="B99" s="237">
        <f t="shared" si="7"/>
        <v>0</v>
      </c>
      <c r="C99" s="237">
        <f t="shared" si="8"/>
        <v>5</v>
      </c>
      <c r="D99">
        <f t="shared" si="9"/>
        <v>0</v>
      </c>
      <c r="E99" s="268" t="s">
        <v>154</v>
      </c>
      <c r="F99" s="248">
        <f>VLOOKUP($E99,'[3]Analysis Inputs'!$D$15:$U$75,10,FALSE)</f>
        <v>0</v>
      </c>
      <c r="G99" s="269" t="str">
        <f>VLOOKUP($E99,'[3]Analysis Inputs'!$D$15:$U$75,4,FALSE)</f>
        <v>NA</v>
      </c>
      <c r="H99" s="269" t="str">
        <f t="shared" si="3"/>
        <v>NA</v>
      </c>
      <c r="I99" s="248">
        <f>VLOOKUP($E99,'[3]Analysis Inputs'!$D$15:$U$75,5,FALSE)</f>
        <v>0</v>
      </c>
      <c r="J99" s="248">
        <f t="shared" si="4"/>
        <v>0</v>
      </c>
      <c r="K99" s="248">
        <f>VLOOKUP($E99,'[3]Analysis Inputs'!$D$15:$U$75,6,FALSE)</f>
        <v>0</v>
      </c>
      <c r="L99" s="248">
        <f t="shared" si="5"/>
        <v>0</v>
      </c>
      <c r="M99" s="248" t="str">
        <f>VLOOKUP($E99,'[3]Analysis Inputs'!$D$15:$U$75,7,FALSE)</f>
        <v>NA</v>
      </c>
      <c r="N99" s="248" t="str">
        <f t="shared" si="6"/>
        <v>NA</v>
      </c>
      <c r="O99" s="248" t="str">
        <f>VLOOKUP($E99,'[3]Analysis Inputs'!$D$15:$U$75,8,FALSE)</f>
        <v>NA</v>
      </c>
      <c r="P99" s="272" t="s">
        <v>102</v>
      </c>
      <c r="Q99" s="271">
        <f t="shared" si="10"/>
        <v>0</v>
      </c>
    </row>
    <row r="100" spans="2:19" ht="12.75" customHeight="1" x14ac:dyDescent="0.2">
      <c r="B100" s="237">
        <f t="shared" si="7"/>
        <v>0</v>
      </c>
      <c r="C100" s="237">
        <f t="shared" si="8"/>
        <v>5</v>
      </c>
      <c r="D100">
        <f t="shared" si="9"/>
        <v>0</v>
      </c>
      <c r="E100" s="268" t="s">
        <v>155</v>
      </c>
      <c r="F100" s="248">
        <f>VLOOKUP($E100,'[3]Analysis Inputs'!$D$15:$U$75,10,FALSE)</f>
        <v>0</v>
      </c>
      <c r="G100" s="269">
        <f>VLOOKUP($E100,'[3]Analysis Inputs'!$D$15:$U$75,4,FALSE)</f>
        <v>0</v>
      </c>
      <c r="H100" s="269">
        <f t="shared" si="3"/>
        <v>0</v>
      </c>
      <c r="I100" s="248">
        <f>VLOOKUP($E100,'[3]Analysis Inputs'!$D$15:$U$75,5,FALSE)</f>
        <v>0</v>
      </c>
      <c r="J100" s="248">
        <f t="shared" si="4"/>
        <v>0</v>
      </c>
      <c r="K100" s="248">
        <f>VLOOKUP($E100,'[3]Analysis Inputs'!$D$15:$U$75,6,FALSE)</f>
        <v>0</v>
      </c>
      <c r="L100" s="248">
        <f t="shared" si="5"/>
        <v>0</v>
      </c>
      <c r="M100" s="248" t="str">
        <f>VLOOKUP($E100,'[3]Analysis Inputs'!$D$15:$U$75,7,FALSE)</f>
        <v>NA</v>
      </c>
      <c r="N100" s="248" t="str">
        <f t="shared" si="6"/>
        <v>NA</v>
      </c>
      <c r="O100" s="248" t="str">
        <f>VLOOKUP($E100,'[3]Analysis Inputs'!$D$15:$U$75,8,FALSE)</f>
        <v>NA</v>
      </c>
      <c r="P100" s="272" t="s">
        <v>102</v>
      </c>
      <c r="Q100" s="271">
        <f t="shared" si="10"/>
        <v>0</v>
      </c>
    </row>
    <row r="101" spans="2:19" ht="12.75" customHeight="1" x14ac:dyDescent="0.2">
      <c r="B101" s="237">
        <f t="shared" si="7"/>
        <v>0</v>
      </c>
      <c r="C101" s="237">
        <f t="shared" si="8"/>
        <v>5</v>
      </c>
      <c r="D101">
        <f t="shared" si="9"/>
        <v>0</v>
      </c>
      <c r="E101" s="268" t="s">
        <v>156</v>
      </c>
      <c r="F101" s="248">
        <f>VLOOKUP($E101,'[3]Analysis Inputs'!$D$15:$U$75,10,FALSE)</f>
        <v>0</v>
      </c>
      <c r="G101" s="269" t="str">
        <f>VLOOKUP($E101,'[3]Analysis Inputs'!$D$15:$U$75,4,FALSE)</f>
        <v>NA</v>
      </c>
      <c r="H101" s="269" t="str">
        <f t="shared" si="3"/>
        <v>NA</v>
      </c>
      <c r="I101" s="248">
        <f>VLOOKUP($E101,'[3]Analysis Inputs'!$D$15:$U$75,5,FALSE)</f>
        <v>0</v>
      </c>
      <c r="J101" s="248">
        <f t="shared" si="4"/>
        <v>0</v>
      </c>
      <c r="K101" s="248">
        <f>VLOOKUP($E101,'[3]Analysis Inputs'!$D$15:$U$75,6,FALSE)</f>
        <v>0</v>
      </c>
      <c r="L101" s="248">
        <f t="shared" si="5"/>
        <v>0</v>
      </c>
      <c r="M101" s="248" t="str">
        <f>VLOOKUP($E101,'[3]Analysis Inputs'!$D$15:$U$75,7,FALSE)</f>
        <v>NA</v>
      </c>
      <c r="N101" s="248" t="str">
        <f t="shared" si="6"/>
        <v>NA</v>
      </c>
      <c r="O101" s="248" t="str">
        <f>VLOOKUP($E101,'[3]Analysis Inputs'!$D$15:$U$75,8,FALSE)</f>
        <v>NA</v>
      </c>
      <c r="P101" s="272" t="s">
        <v>102</v>
      </c>
      <c r="Q101" s="271">
        <f t="shared" si="10"/>
        <v>0</v>
      </c>
    </row>
    <row r="102" spans="2:19" ht="12.75" customHeight="1" x14ac:dyDescent="0.2">
      <c r="B102" s="237">
        <f t="shared" si="7"/>
        <v>0</v>
      </c>
      <c r="C102" s="237">
        <f t="shared" si="8"/>
        <v>5</v>
      </c>
      <c r="D102">
        <f t="shared" si="9"/>
        <v>0</v>
      </c>
      <c r="E102" s="268" t="s">
        <v>157</v>
      </c>
      <c r="F102" s="248">
        <f>VLOOKUP($E102,'[3]Analysis Inputs'!$D$15:$U$75,10,FALSE)</f>
        <v>0</v>
      </c>
      <c r="G102" s="269">
        <f>VLOOKUP($E102,'[3]Analysis Inputs'!$D$15:$U$75,4,FALSE)</f>
        <v>0</v>
      </c>
      <c r="H102" s="269">
        <f t="shared" si="3"/>
        <v>0</v>
      </c>
      <c r="I102" s="248">
        <f>VLOOKUP($E102,'[3]Analysis Inputs'!$D$15:$U$75,5,FALSE)</f>
        <v>0</v>
      </c>
      <c r="J102" s="248">
        <f t="shared" si="4"/>
        <v>0</v>
      </c>
      <c r="K102" s="248">
        <f>VLOOKUP($E102,'[3]Analysis Inputs'!$D$15:$U$75,6,FALSE)</f>
        <v>0</v>
      </c>
      <c r="L102" s="248">
        <f t="shared" si="5"/>
        <v>0</v>
      </c>
      <c r="M102" s="248" t="str">
        <f>VLOOKUP($E102,'[3]Analysis Inputs'!$D$15:$U$75,7,FALSE)</f>
        <v>NA</v>
      </c>
      <c r="N102" s="248" t="str">
        <f t="shared" si="6"/>
        <v>NA</v>
      </c>
      <c r="O102" s="248" t="str">
        <f>VLOOKUP($E102,'[3]Analysis Inputs'!$D$15:$U$75,8,FALSE)</f>
        <v>NA</v>
      </c>
      <c r="P102" s="272" t="s">
        <v>102</v>
      </c>
      <c r="Q102" s="271">
        <f t="shared" si="10"/>
        <v>0</v>
      </c>
    </row>
    <row r="103" spans="2:19" ht="12.75" customHeight="1" x14ac:dyDescent="0.2">
      <c r="B103" s="237">
        <f t="shared" si="7"/>
        <v>0</v>
      </c>
      <c r="C103" s="237">
        <f t="shared" si="8"/>
        <v>5</v>
      </c>
      <c r="D103">
        <f t="shared" si="9"/>
        <v>0</v>
      </c>
      <c r="E103" s="268" t="s">
        <v>158</v>
      </c>
      <c r="F103" s="248">
        <f>VLOOKUP($E103,'[3]Analysis Inputs'!$D$15:$U$75,10,FALSE)</f>
        <v>0</v>
      </c>
      <c r="G103" s="269" t="str">
        <f>VLOOKUP($E103,'[3]Analysis Inputs'!$D$15:$U$75,4,FALSE)</f>
        <v>NA</v>
      </c>
      <c r="H103" s="269" t="str">
        <f t="shared" si="3"/>
        <v>NA</v>
      </c>
      <c r="I103" s="248">
        <f>VLOOKUP($E103,'[3]Analysis Inputs'!$D$15:$U$75,5,FALSE)</f>
        <v>0</v>
      </c>
      <c r="J103" s="248">
        <f t="shared" si="4"/>
        <v>0</v>
      </c>
      <c r="K103" s="248">
        <f>VLOOKUP($E103,'[3]Analysis Inputs'!$D$15:$U$75,6,FALSE)</f>
        <v>0</v>
      </c>
      <c r="L103" s="248">
        <f t="shared" si="5"/>
        <v>0</v>
      </c>
      <c r="M103" s="248" t="str">
        <f>VLOOKUP($E103,'[3]Analysis Inputs'!$D$15:$U$75,7,FALSE)</f>
        <v>NA</v>
      </c>
      <c r="N103" s="248" t="str">
        <f t="shared" si="6"/>
        <v>NA</v>
      </c>
      <c r="O103" s="248" t="str">
        <f>VLOOKUP($E103,'[3]Analysis Inputs'!$D$15:$U$75,8,FALSE)</f>
        <v>NA</v>
      </c>
      <c r="P103" s="272" t="s">
        <v>102</v>
      </c>
      <c r="Q103" s="271">
        <f t="shared" si="10"/>
        <v>0</v>
      </c>
    </row>
    <row r="104" spans="2:19" ht="12.75" customHeight="1" x14ac:dyDescent="0.2">
      <c r="B104" s="237">
        <f t="shared" si="7"/>
        <v>0</v>
      </c>
      <c r="C104" s="237">
        <f t="shared" si="8"/>
        <v>5</v>
      </c>
      <c r="D104">
        <f t="shared" si="9"/>
        <v>0</v>
      </c>
      <c r="E104" s="268" t="s">
        <v>159</v>
      </c>
      <c r="F104" s="248">
        <f>VLOOKUP($E104,'[3]Analysis Inputs'!$D$15:$U$75,10,FALSE)</f>
        <v>0</v>
      </c>
      <c r="G104" s="269" t="str">
        <f>VLOOKUP($E104,'[3]Analysis Inputs'!$D$15:$U$75,4,FALSE)</f>
        <v>NA</v>
      </c>
      <c r="H104" s="269" t="str">
        <f t="shared" si="3"/>
        <v>NA</v>
      </c>
      <c r="I104" s="248">
        <f>VLOOKUP($E104,'[3]Analysis Inputs'!$D$15:$U$75,5,FALSE)</f>
        <v>0</v>
      </c>
      <c r="J104" s="248">
        <f t="shared" si="4"/>
        <v>0</v>
      </c>
      <c r="K104" s="248">
        <f>VLOOKUP($E104,'[3]Analysis Inputs'!$D$15:$U$75,6,FALSE)</f>
        <v>0</v>
      </c>
      <c r="L104" s="248">
        <f t="shared" si="5"/>
        <v>0</v>
      </c>
      <c r="M104" s="248" t="str">
        <f>VLOOKUP($E104,'[3]Analysis Inputs'!$D$15:$U$75,7,FALSE)</f>
        <v>NA</v>
      </c>
      <c r="N104" s="248" t="str">
        <f t="shared" si="6"/>
        <v>NA</v>
      </c>
      <c r="O104" s="248" t="str">
        <f>VLOOKUP($E104,'[3]Analysis Inputs'!$D$15:$U$75,8,FALSE)</f>
        <v>NA</v>
      </c>
      <c r="P104" s="272" t="s">
        <v>102</v>
      </c>
      <c r="Q104" s="271">
        <f t="shared" si="10"/>
        <v>0</v>
      </c>
    </row>
    <row r="105" spans="2:19" ht="12.75" customHeight="1" x14ac:dyDescent="0.2">
      <c r="B105" s="237">
        <f t="shared" si="7"/>
        <v>0</v>
      </c>
      <c r="C105" s="237">
        <f t="shared" si="8"/>
        <v>5</v>
      </c>
      <c r="D105">
        <f t="shared" si="9"/>
        <v>0</v>
      </c>
      <c r="E105" s="268" t="s">
        <v>160</v>
      </c>
      <c r="F105" s="248">
        <f>VLOOKUP($E105,'[3]Analysis Inputs'!$D$15:$U$75,10,FALSE)</f>
        <v>0</v>
      </c>
      <c r="G105" s="269">
        <f>VLOOKUP($E105,'[3]Analysis Inputs'!$D$15:$U$75,4,FALSE)</f>
        <v>0</v>
      </c>
      <c r="H105" s="269">
        <f t="shared" si="3"/>
        <v>0</v>
      </c>
      <c r="I105" s="248">
        <f>VLOOKUP($E105,'[3]Analysis Inputs'!$D$15:$U$75,5,FALSE)</f>
        <v>0</v>
      </c>
      <c r="J105" s="248">
        <f t="shared" si="4"/>
        <v>0</v>
      </c>
      <c r="K105" s="248">
        <f>VLOOKUP($E105,'[3]Analysis Inputs'!$D$15:$U$75,6,FALSE)</f>
        <v>0</v>
      </c>
      <c r="L105" s="248">
        <f t="shared" si="5"/>
        <v>0</v>
      </c>
      <c r="M105" s="248" t="str">
        <f>VLOOKUP($E105,'[3]Analysis Inputs'!$D$15:$U$75,7,FALSE)</f>
        <v>NA</v>
      </c>
      <c r="N105" s="248" t="str">
        <f t="shared" si="6"/>
        <v>NA</v>
      </c>
      <c r="O105" s="248" t="str">
        <f>VLOOKUP($E105,'[3]Analysis Inputs'!$D$15:$U$75,8,FALSE)</f>
        <v>NA</v>
      </c>
      <c r="P105" s="272" t="s">
        <v>102</v>
      </c>
      <c r="Q105" s="271">
        <f t="shared" si="10"/>
        <v>0</v>
      </c>
    </row>
    <row r="106" spans="2:19" ht="12.75" customHeight="1" x14ac:dyDescent="0.2">
      <c r="B106" s="237">
        <f t="shared" si="7"/>
        <v>0</v>
      </c>
      <c r="C106" s="237">
        <f t="shared" si="8"/>
        <v>5</v>
      </c>
      <c r="D106">
        <f t="shared" si="9"/>
        <v>0</v>
      </c>
      <c r="E106" s="268" t="s">
        <v>161</v>
      </c>
      <c r="F106" s="248">
        <f>VLOOKUP($E106,'[3]Analysis Inputs'!$D$15:$U$75,10,FALSE)</f>
        <v>0</v>
      </c>
      <c r="G106" s="269" t="str">
        <f>VLOOKUP($E106,'[3]Analysis Inputs'!$D$15:$U$75,4,FALSE)</f>
        <v>NA</v>
      </c>
      <c r="H106" s="269" t="str">
        <f t="shared" si="3"/>
        <v>NA</v>
      </c>
      <c r="I106" s="248">
        <f>VLOOKUP($E106,'[3]Analysis Inputs'!$D$15:$U$75,5,FALSE)</f>
        <v>0</v>
      </c>
      <c r="J106" s="248">
        <f t="shared" si="4"/>
        <v>0</v>
      </c>
      <c r="K106" s="248">
        <f>VLOOKUP($E106,'[3]Analysis Inputs'!$D$15:$U$75,6,FALSE)</f>
        <v>0</v>
      </c>
      <c r="L106" s="248">
        <f t="shared" si="5"/>
        <v>0</v>
      </c>
      <c r="M106" s="248">
        <f>VLOOKUP($E106,'[3]Analysis Inputs'!$D$15:$U$75,7,FALSE)</f>
        <v>0</v>
      </c>
      <c r="N106" s="248">
        <f t="shared" si="6"/>
        <v>0</v>
      </c>
      <c r="O106" s="248" t="str">
        <f>VLOOKUP($E106,'[3]Analysis Inputs'!$D$15:$U$75,8,FALSE)</f>
        <v>NA</v>
      </c>
      <c r="P106" s="272" t="s">
        <v>102</v>
      </c>
      <c r="Q106" s="271">
        <f t="shared" si="10"/>
        <v>0</v>
      </c>
      <c r="S106" s="240"/>
    </row>
    <row r="107" spans="2:19" ht="12.75" customHeight="1" x14ac:dyDescent="0.2">
      <c r="B107" s="237">
        <f t="shared" si="7"/>
        <v>0</v>
      </c>
      <c r="C107" s="237">
        <f t="shared" si="8"/>
        <v>5</v>
      </c>
      <c r="D107">
        <f t="shared" si="9"/>
        <v>0</v>
      </c>
      <c r="E107" s="268" t="s">
        <v>162</v>
      </c>
      <c r="F107" s="248">
        <f>VLOOKUP($E107,'[3]Analysis Inputs'!$D$15:$U$75,10,FALSE)</f>
        <v>0</v>
      </c>
      <c r="G107" s="269">
        <f>VLOOKUP($E107,'[3]Analysis Inputs'!$D$15:$U$75,4,FALSE)</f>
        <v>0</v>
      </c>
      <c r="H107" s="269">
        <f t="shared" si="3"/>
        <v>0</v>
      </c>
      <c r="I107" s="248">
        <f>VLOOKUP($E107,'[3]Analysis Inputs'!$D$15:$U$75,5,FALSE)</f>
        <v>0</v>
      </c>
      <c r="J107" s="248">
        <f t="shared" si="4"/>
        <v>0</v>
      </c>
      <c r="K107" s="248">
        <f>VLOOKUP($E107,'[3]Analysis Inputs'!$D$15:$U$75,6,FALSE)</f>
        <v>0</v>
      </c>
      <c r="L107" s="248">
        <f t="shared" si="5"/>
        <v>0</v>
      </c>
      <c r="M107" s="248" t="str">
        <f>VLOOKUP($E107,'[3]Analysis Inputs'!$D$15:$U$75,7,FALSE)</f>
        <v>NA</v>
      </c>
      <c r="N107" s="248" t="str">
        <f t="shared" si="6"/>
        <v>NA</v>
      </c>
      <c r="O107" s="248" t="str">
        <f>VLOOKUP($E107,'[3]Analysis Inputs'!$D$15:$U$75,8,FALSE)</f>
        <v>NA</v>
      </c>
      <c r="P107" s="272" t="s">
        <v>102</v>
      </c>
      <c r="Q107" s="271">
        <f t="shared" si="10"/>
        <v>0</v>
      </c>
    </row>
    <row r="108" spans="2:19" ht="12.75" customHeight="1" x14ac:dyDescent="0.2">
      <c r="B108" s="237">
        <f t="shared" si="7"/>
        <v>0</v>
      </c>
      <c r="C108" s="237">
        <f t="shared" si="8"/>
        <v>5</v>
      </c>
      <c r="D108">
        <f t="shared" si="9"/>
        <v>0</v>
      </c>
      <c r="E108" s="268" t="s">
        <v>163</v>
      </c>
      <c r="F108" s="248">
        <f>VLOOKUP($E108,'[3]Analysis Inputs'!$D$15:$U$75,10,FALSE)</f>
        <v>0</v>
      </c>
      <c r="G108" s="269">
        <f>VLOOKUP($E108,'[3]Analysis Inputs'!$D$15:$U$75,4,FALSE)</f>
        <v>0</v>
      </c>
      <c r="H108" s="269">
        <f t="shared" si="3"/>
        <v>0</v>
      </c>
      <c r="I108" s="248">
        <f>VLOOKUP($E108,'[3]Analysis Inputs'!$D$15:$U$75,5,FALSE)</f>
        <v>0</v>
      </c>
      <c r="J108" s="248">
        <f t="shared" si="4"/>
        <v>0</v>
      </c>
      <c r="K108" s="248">
        <f>VLOOKUP($E108,'[3]Analysis Inputs'!$D$15:$U$75,6,FALSE)</f>
        <v>0</v>
      </c>
      <c r="L108" s="248">
        <f t="shared" si="5"/>
        <v>0</v>
      </c>
      <c r="M108" s="248" t="str">
        <f>VLOOKUP($E108,'[3]Analysis Inputs'!$D$15:$U$75,7,FALSE)</f>
        <v>NA</v>
      </c>
      <c r="N108" s="248" t="str">
        <f t="shared" si="6"/>
        <v>NA</v>
      </c>
      <c r="O108" s="248" t="str">
        <f>VLOOKUP($E108,'[3]Analysis Inputs'!$D$15:$U$75,8,FALSE)</f>
        <v>NA</v>
      </c>
      <c r="P108" s="272" t="s">
        <v>102</v>
      </c>
      <c r="Q108" s="271">
        <f t="shared" si="10"/>
        <v>0</v>
      </c>
    </row>
    <row r="109" spans="2:19" ht="12.75" customHeight="1" x14ac:dyDescent="0.2">
      <c r="B109" s="237">
        <f t="shared" si="7"/>
        <v>0</v>
      </c>
      <c r="C109" s="237">
        <f t="shared" si="8"/>
        <v>5</v>
      </c>
      <c r="D109">
        <f t="shared" si="9"/>
        <v>0</v>
      </c>
      <c r="E109" s="268" t="s">
        <v>164</v>
      </c>
      <c r="F109" s="248">
        <f>VLOOKUP($E109,'[3]Analysis Inputs'!$D$15:$U$75,10,FALSE)</f>
        <v>0</v>
      </c>
      <c r="G109" s="269">
        <f>VLOOKUP($E109,'[3]Analysis Inputs'!$D$15:$U$75,4,FALSE)</f>
        <v>0</v>
      </c>
      <c r="H109" s="269">
        <f t="shared" si="3"/>
        <v>0</v>
      </c>
      <c r="I109" s="248">
        <f>VLOOKUP($E109,'[3]Analysis Inputs'!$D$15:$U$75,5,FALSE)</f>
        <v>0</v>
      </c>
      <c r="J109" s="248">
        <f t="shared" si="4"/>
        <v>0</v>
      </c>
      <c r="K109" s="248">
        <f>VLOOKUP($E109,'[3]Analysis Inputs'!$D$15:$U$75,6,FALSE)</f>
        <v>0</v>
      </c>
      <c r="L109" s="248">
        <f t="shared" si="5"/>
        <v>0</v>
      </c>
      <c r="M109" s="248" t="str">
        <f>VLOOKUP($E109,'[3]Analysis Inputs'!$D$15:$U$75,7,FALSE)</f>
        <v>NA</v>
      </c>
      <c r="N109" s="248" t="str">
        <f t="shared" si="6"/>
        <v>NA</v>
      </c>
      <c r="O109" s="248" t="str">
        <f>VLOOKUP($E109,'[3]Analysis Inputs'!$D$15:$U$75,8,FALSE)</f>
        <v>NA</v>
      </c>
      <c r="P109" s="272" t="s">
        <v>102</v>
      </c>
      <c r="Q109" s="271">
        <f t="shared" si="10"/>
        <v>0</v>
      </c>
    </row>
    <row r="110" spans="2:19" ht="12.75" customHeight="1" x14ac:dyDescent="0.2">
      <c r="B110" s="237">
        <f t="shared" si="7"/>
        <v>0</v>
      </c>
      <c r="C110" s="237">
        <f t="shared" si="8"/>
        <v>5</v>
      </c>
      <c r="D110">
        <f t="shared" si="9"/>
        <v>0</v>
      </c>
      <c r="E110" s="268" t="s">
        <v>165</v>
      </c>
      <c r="F110" s="248">
        <f>VLOOKUP($E110,'[3]Analysis Inputs'!$D$15:$U$75,10,FALSE)</f>
        <v>0</v>
      </c>
      <c r="G110" s="269">
        <f>VLOOKUP($E110,'[3]Analysis Inputs'!$D$15:$U$75,4,FALSE)</f>
        <v>0</v>
      </c>
      <c r="H110" s="269">
        <f t="shared" si="3"/>
        <v>0</v>
      </c>
      <c r="I110" s="248">
        <f>VLOOKUP($E110,'[3]Analysis Inputs'!$D$15:$U$75,5,FALSE)</f>
        <v>0</v>
      </c>
      <c r="J110" s="248">
        <f t="shared" si="4"/>
        <v>0</v>
      </c>
      <c r="K110" s="248">
        <f>VLOOKUP($E110,'[3]Analysis Inputs'!$D$15:$U$75,6,FALSE)</f>
        <v>0</v>
      </c>
      <c r="L110" s="248">
        <f t="shared" si="5"/>
        <v>0</v>
      </c>
      <c r="M110" s="248" t="str">
        <f>VLOOKUP($E110,'[3]Analysis Inputs'!$D$15:$U$75,7,FALSE)</f>
        <v>NA</v>
      </c>
      <c r="N110" s="248" t="str">
        <f t="shared" si="6"/>
        <v>NA</v>
      </c>
      <c r="O110" s="248" t="str">
        <f>VLOOKUP($E110,'[3]Analysis Inputs'!$D$15:$U$75,8,FALSE)</f>
        <v>NA</v>
      </c>
      <c r="P110" s="272" t="s">
        <v>102</v>
      </c>
      <c r="Q110" s="271">
        <f t="shared" si="10"/>
        <v>0</v>
      </c>
    </row>
    <row r="111" spans="2:19" ht="12.75" customHeight="1" x14ac:dyDescent="0.2">
      <c r="B111" s="237">
        <f t="shared" si="7"/>
        <v>0</v>
      </c>
      <c r="C111" s="237">
        <f t="shared" si="8"/>
        <v>5</v>
      </c>
      <c r="D111">
        <f t="shared" si="9"/>
        <v>0</v>
      </c>
      <c r="E111" s="268" t="s">
        <v>166</v>
      </c>
      <c r="F111" s="248">
        <f>VLOOKUP($E111,'[3]Analysis Inputs'!$D$15:$U$75,10,FALSE)</f>
        <v>0</v>
      </c>
      <c r="G111" s="269">
        <f>VLOOKUP($E111,'[3]Analysis Inputs'!$D$15:$U$75,4,FALSE)</f>
        <v>0</v>
      </c>
      <c r="H111" s="269">
        <f t="shared" si="3"/>
        <v>0</v>
      </c>
      <c r="I111" s="248">
        <f>VLOOKUP($E111,'[3]Analysis Inputs'!$D$15:$U$75,5,FALSE)</f>
        <v>0</v>
      </c>
      <c r="J111" s="248">
        <f t="shared" si="4"/>
        <v>0</v>
      </c>
      <c r="K111" s="248">
        <f>VLOOKUP($E111,'[3]Analysis Inputs'!$D$15:$U$75,6,FALSE)</f>
        <v>0</v>
      </c>
      <c r="L111" s="248">
        <f t="shared" si="5"/>
        <v>0</v>
      </c>
      <c r="M111" s="248" t="str">
        <f>VLOOKUP($E111,'[3]Analysis Inputs'!$D$15:$U$75,7,FALSE)</f>
        <v>NA</v>
      </c>
      <c r="N111" s="248" t="str">
        <f t="shared" si="6"/>
        <v>NA</v>
      </c>
      <c r="O111" s="248" t="str">
        <f>VLOOKUP($E111,'[3]Analysis Inputs'!$D$15:$U$75,8,FALSE)</f>
        <v>NA</v>
      </c>
      <c r="P111" s="272" t="s">
        <v>102</v>
      </c>
      <c r="Q111" s="271">
        <f t="shared" si="10"/>
        <v>0</v>
      </c>
    </row>
    <row r="112" spans="2:19" ht="12.75" customHeight="1" x14ac:dyDescent="0.2">
      <c r="B112" s="237">
        <f t="shared" si="7"/>
        <v>0</v>
      </c>
      <c r="C112" s="237">
        <f t="shared" si="8"/>
        <v>5</v>
      </c>
      <c r="D112">
        <f t="shared" si="9"/>
        <v>0</v>
      </c>
      <c r="E112" s="268" t="s">
        <v>167</v>
      </c>
      <c r="F112" s="248">
        <f>VLOOKUP($E112,'[3]Analysis Inputs'!$D$15:$U$75,10,FALSE)</f>
        <v>0</v>
      </c>
      <c r="G112" s="269">
        <f>VLOOKUP($E112,'[3]Analysis Inputs'!$D$15:$U$75,4,FALSE)</f>
        <v>0</v>
      </c>
      <c r="H112" s="269">
        <f t="shared" si="3"/>
        <v>0</v>
      </c>
      <c r="I112" s="248">
        <f>VLOOKUP($E112,'[3]Analysis Inputs'!$D$15:$U$75,5,FALSE)</f>
        <v>0</v>
      </c>
      <c r="J112" s="248">
        <f t="shared" si="4"/>
        <v>0</v>
      </c>
      <c r="K112" s="248">
        <f>VLOOKUP($E112,'[3]Analysis Inputs'!$D$15:$U$75,6,FALSE)</f>
        <v>0</v>
      </c>
      <c r="L112" s="248">
        <f t="shared" si="5"/>
        <v>0</v>
      </c>
      <c r="M112" s="248" t="str">
        <f>VLOOKUP($E112,'[3]Analysis Inputs'!$D$15:$U$75,7,FALSE)</f>
        <v>NA</v>
      </c>
      <c r="N112" s="248" t="str">
        <f t="shared" si="6"/>
        <v>NA</v>
      </c>
      <c r="O112" s="248" t="str">
        <f>VLOOKUP($E112,'[3]Analysis Inputs'!$D$15:$U$75,8,FALSE)</f>
        <v>NA</v>
      </c>
      <c r="P112" s="272" t="s">
        <v>102</v>
      </c>
      <c r="Q112" s="271">
        <f t="shared" si="10"/>
        <v>0</v>
      </c>
    </row>
    <row r="113" spans="2:17" ht="12.75" customHeight="1" x14ac:dyDescent="0.2">
      <c r="B113" s="237">
        <f t="shared" si="7"/>
        <v>0</v>
      </c>
      <c r="C113" s="237">
        <f t="shared" si="8"/>
        <v>5</v>
      </c>
      <c r="D113">
        <f t="shared" si="9"/>
        <v>0</v>
      </c>
      <c r="E113" s="268" t="s">
        <v>168</v>
      </c>
      <c r="F113" s="248">
        <f>VLOOKUP($E113,'[3]Analysis Inputs'!$D$15:$U$75,10,FALSE)</f>
        <v>0</v>
      </c>
      <c r="G113" s="269">
        <f>VLOOKUP($E113,'[3]Analysis Inputs'!$D$15:$U$75,4,FALSE)</f>
        <v>0</v>
      </c>
      <c r="H113" s="269">
        <f t="shared" si="3"/>
        <v>0</v>
      </c>
      <c r="I113" s="248">
        <f>VLOOKUP($E113,'[3]Analysis Inputs'!$D$15:$U$75,5,FALSE)</f>
        <v>0</v>
      </c>
      <c r="J113" s="248">
        <f t="shared" si="4"/>
        <v>0</v>
      </c>
      <c r="K113" s="248">
        <f>VLOOKUP($E113,'[3]Analysis Inputs'!$D$15:$U$75,6,FALSE)</f>
        <v>0</v>
      </c>
      <c r="L113" s="248">
        <f t="shared" si="5"/>
        <v>0</v>
      </c>
      <c r="M113" s="248" t="str">
        <f>VLOOKUP($E113,'[3]Analysis Inputs'!$D$15:$U$75,7,FALSE)</f>
        <v>NA</v>
      </c>
      <c r="N113" s="248" t="str">
        <f t="shared" si="6"/>
        <v>NA</v>
      </c>
      <c r="O113" s="248" t="str">
        <f>VLOOKUP($E113,'[3]Analysis Inputs'!$D$15:$U$75,8,FALSE)</f>
        <v>NA</v>
      </c>
      <c r="P113" s="272" t="s">
        <v>102</v>
      </c>
      <c r="Q113" s="271">
        <f t="shared" si="10"/>
        <v>0</v>
      </c>
    </row>
    <row r="114" spans="2:17" ht="12.75" customHeight="1" x14ac:dyDescent="0.2">
      <c r="B114" s="237">
        <f t="shared" si="7"/>
        <v>0</v>
      </c>
      <c r="C114" s="237">
        <f t="shared" si="8"/>
        <v>5</v>
      </c>
      <c r="D114">
        <f t="shared" si="9"/>
        <v>0</v>
      </c>
      <c r="E114" s="268" t="s">
        <v>169</v>
      </c>
      <c r="F114" s="248">
        <f>VLOOKUP($E114,'[3]Analysis Inputs'!$D$15:$U$75,10,FALSE)</f>
        <v>0</v>
      </c>
      <c r="G114" s="269">
        <f>VLOOKUP($E114,'[3]Analysis Inputs'!$D$15:$U$75,4,FALSE)</f>
        <v>0</v>
      </c>
      <c r="H114" s="269">
        <f t="shared" si="3"/>
        <v>0</v>
      </c>
      <c r="I114" s="248">
        <f>VLOOKUP($E114,'[3]Analysis Inputs'!$D$15:$U$75,5,FALSE)</f>
        <v>0</v>
      </c>
      <c r="J114" s="248">
        <f t="shared" si="4"/>
        <v>0</v>
      </c>
      <c r="K114" s="248">
        <f>VLOOKUP($E114,'[3]Analysis Inputs'!$D$15:$U$75,6,FALSE)</f>
        <v>0</v>
      </c>
      <c r="L114" s="248">
        <f t="shared" si="5"/>
        <v>0</v>
      </c>
      <c r="M114" s="248" t="str">
        <f>VLOOKUP($E114,'[3]Analysis Inputs'!$D$15:$U$75,7,FALSE)</f>
        <v>NA</v>
      </c>
      <c r="N114" s="248" t="str">
        <f t="shared" si="6"/>
        <v>NA</v>
      </c>
      <c r="O114" s="248" t="str">
        <f>VLOOKUP($E114,'[3]Analysis Inputs'!$D$15:$U$75,8,FALSE)</f>
        <v>NA</v>
      </c>
      <c r="P114" s="272" t="s">
        <v>102</v>
      </c>
      <c r="Q114" s="271">
        <f t="shared" si="10"/>
        <v>0</v>
      </c>
    </row>
    <row r="115" spans="2:17" ht="12.75" customHeight="1" x14ac:dyDescent="0.2">
      <c r="B115" s="237">
        <f t="shared" si="7"/>
        <v>0</v>
      </c>
      <c r="C115" s="237">
        <f t="shared" si="8"/>
        <v>5</v>
      </c>
      <c r="D115">
        <f t="shared" si="9"/>
        <v>0</v>
      </c>
      <c r="E115" s="268" t="s">
        <v>170</v>
      </c>
      <c r="F115" s="248">
        <f>VLOOKUP($E115,'[3]Analysis Inputs'!$D$15:$U$75,10,FALSE)</f>
        <v>0</v>
      </c>
      <c r="G115" s="269">
        <f>VLOOKUP($E115,'[3]Analysis Inputs'!$D$15:$U$75,4,FALSE)</f>
        <v>0</v>
      </c>
      <c r="H115" s="269">
        <f t="shared" si="3"/>
        <v>0</v>
      </c>
      <c r="I115" s="248">
        <f>VLOOKUP($E115,'[3]Analysis Inputs'!$D$15:$U$75,5,FALSE)</f>
        <v>0</v>
      </c>
      <c r="J115" s="248">
        <f t="shared" si="4"/>
        <v>0</v>
      </c>
      <c r="K115" s="248">
        <f>VLOOKUP($E115,'[3]Analysis Inputs'!$D$15:$U$75,6,FALSE)</f>
        <v>0</v>
      </c>
      <c r="L115" s="248">
        <f t="shared" si="5"/>
        <v>0</v>
      </c>
      <c r="M115" s="248" t="str">
        <f>VLOOKUP($E115,'[3]Analysis Inputs'!$D$15:$U$75,7,FALSE)</f>
        <v>NA</v>
      </c>
      <c r="N115" s="248" t="str">
        <f t="shared" si="6"/>
        <v>NA</v>
      </c>
      <c r="O115" s="248" t="str">
        <f>VLOOKUP($E115,'[3]Analysis Inputs'!$D$15:$U$75,8,FALSE)</f>
        <v>NA</v>
      </c>
      <c r="P115" s="272" t="s">
        <v>102</v>
      </c>
      <c r="Q115" s="271">
        <f t="shared" si="10"/>
        <v>0</v>
      </c>
    </row>
    <row r="116" spans="2:17" ht="12.75" customHeight="1" x14ac:dyDescent="0.2">
      <c r="B116" s="237">
        <f t="shared" si="7"/>
        <v>0</v>
      </c>
      <c r="C116" s="237">
        <f t="shared" si="8"/>
        <v>5</v>
      </c>
      <c r="D116">
        <f t="shared" si="9"/>
        <v>0</v>
      </c>
      <c r="E116" s="268" t="s">
        <v>171</v>
      </c>
      <c r="F116" s="248">
        <f>VLOOKUP($E116,'[3]Analysis Inputs'!$D$15:$U$75,10,FALSE)</f>
        <v>0</v>
      </c>
      <c r="G116" s="269">
        <f>VLOOKUP($E116,'[3]Analysis Inputs'!$D$15:$U$75,4,FALSE)</f>
        <v>0</v>
      </c>
      <c r="H116" s="269">
        <f t="shared" si="3"/>
        <v>0</v>
      </c>
      <c r="I116" s="248">
        <f>VLOOKUP($E116,'[3]Analysis Inputs'!$D$15:$U$75,5,FALSE)</f>
        <v>0</v>
      </c>
      <c r="J116" s="248">
        <f t="shared" si="4"/>
        <v>0</v>
      </c>
      <c r="K116" s="248">
        <f>VLOOKUP($E116,'[3]Analysis Inputs'!$D$15:$U$75,6,FALSE)</f>
        <v>0</v>
      </c>
      <c r="L116" s="248">
        <f t="shared" si="5"/>
        <v>0</v>
      </c>
      <c r="M116" s="248" t="str">
        <f>VLOOKUP($E116,'[3]Analysis Inputs'!$D$15:$U$75,7,FALSE)</f>
        <v>NA</v>
      </c>
      <c r="N116" s="248" t="str">
        <f t="shared" si="6"/>
        <v>NA</v>
      </c>
      <c r="O116" s="248" t="str">
        <f>VLOOKUP($E116,'[3]Analysis Inputs'!$D$15:$U$75,8,FALSE)</f>
        <v>NA</v>
      </c>
      <c r="P116" s="272" t="s">
        <v>102</v>
      </c>
      <c r="Q116" s="271">
        <f t="shared" si="10"/>
        <v>0</v>
      </c>
    </row>
    <row r="117" spans="2:17" ht="12.75" customHeight="1" x14ac:dyDescent="0.2">
      <c r="B117" s="237">
        <f t="shared" si="7"/>
        <v>0</v>
      </c>
      <c r="C117" s="237">
        <f t="shared" si="8"/>
        <v>5</v>
      </c>
      <c r="D117">
        <f t="shared" si="9"/>
        <v>0</v>
      </c>
      <c r="E117" s="268" t="s">
        <v>172</v>
      </c>
      <c r="F117" s="248">
        <f>VLOOKUP($E117,'[3]Analysis Inputs'!$D$15:$U$75,10,FALSE)</f>
        <v>0</v>
      </c>
      <c r="G117" s="269">
        <f>VLOOKUP($E117,'[3]Analysis Inputs'!$D$15:$U$75,4,FALSE)</f>
        <v>0</v>
      </c>
      <c r="H117" s="269">
        <f t="shared" si="3"/>
        <v>0</v>
      </c>
      <c r="I117" s="248">
        <f>VLOOKUP($E117,'[3]Analysis Inputs'!$D$15:$U$75,5,FALSE)</f>
        <v>0</v>
      </c>
      <c r="J117" s="248">
        <f t="shared" si="4"/>
        <v>0</v>
      </c>
      <c r="K117" s="248">
        <f>VLOOKUP($E117,'[3]Analysis Inputs'!$D$15:$U$75,6,FALSE)</f>
        <v>0</v>
      </c>
      <c r="L117" s="248">
        <f t="shared" si="5"/>
        <v>0</v>
      </c>
      <c r="M117" s="248" t="str">
        <f>VLOOKUP($E117,'[3]Analysis Inputs'!$D$15:$U$75,7,FALSE)</f>
        <v>NA</v>
      </c>
      <c r="N117" s="248" t="str">
        <f t="shared" si="6"/>
        <v>NA</v>
      </c>
      <c r="O117" s="248" t="str">
        <f>VLOOKUP($E117,'[3]Analysis Inputs'!$D$15:$U$75,8,FALSE)</f>
        <v>NA</v>
      </c>
      <c r="P117" s="272" t="s">
        <v>102</v>
      </c>
      <c r="Q117" s="271">
        <f t="shared" si="10"/>
        <v>0</v>
      </c>
    </row>
    <row r="118" spans="2:17" ht="12.75" customHeight="1" x14ac:dyDescent="0.2">
      <c r="B118" s="237">
        <f t="shared" si="7"/>
        <v>0</v>
      </c>
      <c r="C118" s="237">
        <f t="shared" si="8"/>
        <v>5</v>
      </c>
      <c r="D118">
        <f t="shared" si="9"/>
        <v>0</v>
      </c>
      <c r="E118" s="268" t="s">
        <v>173</v>
      </c>
      <c r="F118" s="248">
        <f>VLOOKUP($E118,'[3]Analysis Inputs'!$D$15:$U$75,10,FALSE)</f>
        <v>0</v>
      </c>
      <c r="G118" s="269">
        <f>VLOOKUP($E118,'[3]Analysis Inputs'!$D$15:$U$75,4,FALSE)</f>
        <v>0</v>
      </c>
      <c r="H118" s="269">
        <f t="shared" si="3"/>
        <v>0</v>
      </c>
      <c r="I118" s="248">
        <f>VLOOKUP($E118,'[3]Analysis Inputs'!$D$15:$U$75,5,FALSE)</f>
        <v>0</v>
      </c>
      <c r="J118" s="248">
        <f t="shared" si="4"/>
        <v>0</v>
      </c>
      <c r="K118" s="248">
        <f>VLOOKUP($E118,'[3]Analysis Inputs'!$D$15:$U$75,6,FALSE)</f>
        <v>0</v>
      </c>
      <c r="L118" s="248">
        <f t="shared" si="5"/>
        <v>0</v>
      </c>
      <c r="M118" s="248" t="str">
        <f>VLOOKUP($E118,'[3]Analysis Inputs'!$D$15:$U$75,7,FALSE)</f>
        <v>NA</v>
      </c>
      <c r="N118" s="248" t="str">
        <f t="shared" si="6"/>
        <v>NA</v>
      </c>
      <c r="O118" s="248" t="str">
        <f>VLOOKUP($E118,'[3]Analysis Inputs'!$D$15:$U$75,8,FALSE)</f>
        <v>NA</v>
      </c>
      <c r="P118" s="272" t="s">
        <v>102</v>
      </c>
      <c r="Q118" s="271">
        <f t="shared" si="10"/>
        <v>0</v>
      </c>
    </row>
    <row r="119" spans="2:17" ht="12.75" customHeight="1" x14ac:dyDescent="0.2">
      <c r="B119" s="237">
        <f t="shared" si="7"/>
        <v>0</v>
      </c>
      <c r="C119" s="237">
        <f t="shared" si="8"/>
        <v>5</v>
      </c>
      <c r="D119">
        <f t="shared" si="9"/>
        <v>0</v>
      </c>
      <c r="E119" s="268" t="s">
        <v>174</v>
      </c>
      <c r="F119" s="248">
        <f>VLOOKUP($E119,'[3]Analysis Inputs'!$D$15:$U$75,10,FALSE)</f>
        <v>0</v>
      </c>
      <c r="G119" s="269">
        <f>VLOOKUP($E119,'[3]Analysis Inputs'!$D$15:$U$75,4,FALSE)</f>
        <v>0</v>
      </c>
      <c r="H119" s="269">
        <f t="shared" si="3"/>
        <v>0</v>
      </c>
      <c r="I119" s="248">
        <f>VLOOKUP($E119,'[3]Analysis Inputs'!$D$15:$U$75,5,FALSE)</f>
        <v>0</v>
      </c>
      <c r="J119" s="248">
        <f t="shared" si="4"/>
        <v>0</v>
      </c>
      <c r="K119" s="248">
        <f>VLOOKUP($E119,'[3]Analysis Inputs'!$D$15:$U$75,6,FALSE)</f>
        <v>0</v>
      </c>
      <c r="L119" s="248">
        <f t="shared" si="5"/>
        <v>0</v>
      </c>
      <c r="M119" s="248" t="str">
        <f>VLOOKUP($E119,'[3]Analysis Inputs'!$D$15:$U$75,7,FALSE)</f>
        <v>NA</v>
      </c>
      <c r="N119" s="248" t="str">
        <f t="shared" si="6"/>
        <v>NA</v>
      </c>
      <c r="O119" s="248" t="str">
        <f>VLOOKUP($E119,'[3]Analysis Inputs'!$D$15:$U$75,8,FALSE)</f>
        <v>NA</v>
      </c>
      <c r="P119" s="272" t="s">
        <v>102</v>
      </c>
      <c r="Q119" s="271">
        <f t="shared" si="10"/>
        <v>0</v>
      </c>
    </row>
    <row r="120" spans="2:17" ht="12.75" customHeight="1" x14ac:dyDescent="0.2">
      <c r="B120" s="237">
        <f t="shared" si="7"/>
        <v>0</v>
      </c>
      <c r="C120" s="237">
        <f t="shared" si="8"/>
        <v>5</v>
      </c>
      <c r="D120">
        <f t="shared" si="9"/>
        <v>0</v>
      </c>
      <c r="E120" s="268" t="s">
        <v>175</v>
      </c>
      <c r="F120" s="248">
        <f>VLOOKUP($E120,'[3]Analysis Inputs'!$D$15:$U$75,10,FALSE)</f>
        <v>0</v>
      </c>
      <c r="G120" s="269">
        <f>VLOOKUP($E120,'[3]Analysis Inputs'!$D$15:$U$75,4,FALSE)</f>
        <v>0</v>
      </c>
      <c r="H120" s="269">
        <f t="shared" si="3"/>
        <v>0</v>
      </c>
      <c r="I120" s="248">
        <f>VLOOKUP($E120,'[3]Analysis Inputs'!$D$15:$U$75,5,FALSE)</f>
        <v>0</v>
      </c>
      <c r="J120" s="248">
        <f t="shared" si="4"/>
        <v>0</v>
      </c>
      <c r="K120" s="248" t="str">
        <f>VLOOKUP($E120,'[3]Analysis Inputs'!$D$15:$U$75,6,FALSE)</f>
        <v>NA</v>
      </c>
      <c r="L120" s="248" t="str">
        <f t="shared" si="5"/>
        <v>NA</v>
      </c>
      <c r="M120" s="248" t="str">
        <f>VLOOKUP($E120,'[3]Analysis Inputs'!$D$15:$U$75,7,FALSE)</f>
        <v>NA</v>
      </c>
      <c r="N120" s="248" t="str">
        <f t="shared" si="6"/>
        <v>NA</v>
      </c>
      <c r="O120" s="248" t="str">
        <f>VLOOKUP($E120,'[3]Analysis Inputs'!$D$15:$U$75,8,FALSE)</f>
        <v>NA</v>
      </c>
      <c r="P120" s="272" t="s">
        <v>102</v>
      </c>
      <c r="Q120" s="271">
        <f t="shared" si="10"/>
        <v>0</v>
      </c>
    </row>
    <row r="121" spans="2:17" ht="12.75" customHeight="1" x14ac:dyDescent="0.2">
      <c r="B121" s="237">
        <f t="shared" si="7"/>
        <v>0</v>
      </c>
      <c r="C121" s="237">
        <f t="shared" si="8"/>
        <v>5</v>
      </c>
      <c r="D121">
        <f t="shared" si="9"/>
        <v>0</v>
      </c>
      <c r="E121" s="268" t="s">
        <v>176</v>
      </c>
      <c r="F121" s="248">
        <f>VLOOKUP($E121,'[3]Analysis Inputs'!$D$15:$U$75,10,FALSE)</f>
        <v>0</v>
      </c>
      <c r="G121" s="269">
        <f>VLOOKUP($E121,'[3]Analysis Inputs'!$D$15:$U$75,4,FALSE)</f>
        <v>0</v>
      </c>
      <c r="H121" s="269">
        <f t="shared" si="3"/>
        <v>0</v>
      </c>
      <c r="I121" s="248">
        <f>VLOOKUP($E121,'[3]Analysis Inputs'!$D$15:$U$75,5,FALSE)</f>
        <v>0</v>
      </c>
      <c r="J121" s="248">
        <f t="shared" si="4"/>
        <v>0</v>
      </c>
      <c r="K121" s="248">
        <f>VLOOKUP($E121,'[3]Analysis Inputs'!$D$15:$U$75,6,FALSE)</f>
        <v>0</v>
      </c>
      <c r="L121" s="248">
        <f t="shared" si="5"/>
        <v>0</v>
      </c>
      <c r="M121" s="248" t="str">
        <f>VLOOKUP($E121,'[3]Analysis Inputs'!$D$15:$U$75,7,FALSE)</f>
        <v>NA</v>
      </c>
      <c r="N121" s="248" t="str">
        <f t="shared" si="6"/>
        <v>NA</v>
      </c>
      <c r="O121" s="248" t="str">
        <f>VLOOKUP($E121,'[3]Analysis Inputs'!$D$15:$U$75,8,FALSE)</f>
        <v>NA</v>
      </c>
      <c r="P121" s="272" t="s">
        <v>102</v>
      </c>
      <c r="Q121" s="271">
        <f t="shared" si="10"/>
        <v>0</v>
      </c>
    </row>
    <row r="122" spans="2:17" ht="12.75" customHeight="1" x14ac:dyDescent="0.2">
      <c r="B122" s="237">
        <f t="shared" si="7"/>
        <v>0</v>
      </c>
      <c r="C122" s="237">
        <f t="shared" si="8"/>
        <v>5</v>
      </c>
      <c r="D122">
        <f t="shared" si="9"/>
        <v>0</v>
      </c>
      <c r="E122" s="268" t="s">
        <v>177</v>
      </c>
      <c r="F122" s="248">
        <f>VLOOKUP($E122,'[3]Analysis Inputs'!$D$15:$U$75,10,FALSE)</f>
        <v>0</v>
      </c>
      <c r="G122" s="269">
        <f>VLOOKUP($E122,'[3]Analysis Inputs'!$D$15:$U$75,4,FALSE)</f>
        <v>0</v>
      </c>
      <c r="H122" s="269">
        <f t="shared" si="3"/>
        <v>0</v>
      </c>
      <c r="I122" s="248">
        <f>VLOOKUP($E122,'[3]Analysis Inputs'!$D$15:$U$75,5,FALSE)</f>
        <v>0</v>
      </c>
      <c r="J122" s="248">
        <f t="shared" si="4"/>
        <v>0</v>
      </c>
      <c r="K122" s="248">
        <f>VLOOKUP($E122,'[3]Analysis Inputs'!$D$15:$U$75,6,FALSE)</f>
        <v>0</v>
      </c>
      <c r="L122" s="248">
        <f t="shared" si="5"/>
        <v>0</v>
      </c>
      <c r="M122" s="248" t="str">
        <f>VLOOKUP($E122,'[3]Analysis Inputs'!$D$15:$U$75,7,FALSE)</f>
        <v>NA</v>
      </c>
      <c r="N122" s="248" t="str">
        <f t="shared" si="6"/>
        <v>NA</v>
      </c>
      <c r="O122" s="248" t="str">
        <f>VLOOKUP($E122,'[3]Analysis Inputs'!$D$15:$U$75,8,FALSE)</f>
        <v>NA</v>
      </c>
      <c r="P122" s="272" t="s">
        <v>102</v>
      </c>
      <c r="Q122" s="271">
        <f t="shared" si="10"/>
        <v>0</v>
      </c>
    </row>
    <row r="123" spans="2:17" ht="12.75" customHeight="1" x14ac:dyDescent="0.2">
      <c r="B123" s="237">
        <f t="shared" si="7"/>
        <v>0</v>
      </c>
      <c r="C123" s="237">
        <f t="shared" si="8"/>
        <v>5</v>
      </c>
      <c r="D123">
        <f t="shared" si="9"/>
        <v>0</v>
      </c>
      <c r="E123" s="268" t="s">
        <v>178</v>
      </c>
      <c r="F123" s="248">
        <f>VLOOKUP($E123,'[3]Analysis Inputs'!$D$15:$U$75,10,FALSE)</f>
        <v>0</v>
      </c>
      <c r="G123" s="269" t="str">
        <f>VLOOKUP($E123,'[3]Analysis Inputs'!$D$15:$U$75,4,FALSE)</f>
        <v>NA</v>
      </c>
      <c r="H123" s="269" t="str">
        <f t="shared" si="3"/>
        <v>NA</v>
      </c>
      <c r="I123" s="248">
        <f>VLOOKUP($E123,'[3]Analysis Inputs'!$D$15:$U$75,5,FALSE)</f>
        <v>0</v>
      </c>
      <c r="J123" s="248">
        <f t="shared" si="4"/>
        <v>0</v>
      </c>
      <c r="K123" s="248" t="str">
        <f>VLOOKUP($E123,'[3]Analysis Inputs'!$D$15:$U$75,6,FALSE)</f>
        <v>NA</v>
      </c>
      <c r="L123" s="248" t="str">
        <f t="shared" si="5"/>
        <v>NA</v>
      </c>
      <c r="M123" s="248" t="str">
        <f>VLOOKUP($E123,'[3]Analysis Inputs'!$D$15:$U$75,7,FALSE)</f>
        <v>NA</v>
      </c>
      <c r="N123" s="248" t="str">
        <f t="shared" si="6"/>
        <v>NA</v>
      </c>
      <c r="O123" s="248" t="str">
        <f>VLOOKUP($E123,'[3]Analysis Inputs'!$D$15:$U$75,8,FALSE)</f>
        <v>NA</v>
      </c>
      <c r="P123" s="272" t="s">
        <v>102</v>
      </c>
      <c r="Q123" s="271">
        <f t="shared" si="10"/>
        <v>0</v>
      </c>
    </row>
    <row r="124" spans="2:17" ht="12.75" customHeight="1" x14ac:dyDescent="0.2">
      <c r="B124" s="237">
        <f t="shared" si="7"/>
        <v>0</v>
      </c>
      <c r="C124" s="237">
        <f t="shared" si="8"/>
        <v>5</v>
      </c>
      <c r="D124">
        <f t="shared" si="9"/>
        <v>0</v>
      </c>
      <c r="E124" s="268" t="s">
        <v>179</v>
      </c>
      <c r="F124" s="248">
        <f>VLOOKUP($E124,'[3]Analysis Inputs'!$D$15:$U$75,10,FALSE)</f>
        <v>0</v>
      </c>
      <c r="G124" s="269">
        <f>VLOOKUP($E124,'[3]Analysis Inputs'!$D$15:$U$75,4,FALSE)</f>
        <v>0</v>
      </c>
      <c r="H124" s="269">
        <f t="shared" si="3"/>
        <v>0</v>
      </c>
      <c r="I124" s="248">
        <f>VLOOKUP($E124,'[3]Analysis Inputs'!$D$15:$U$75,5,FALSE)</f>
        <v>0</v>
      </c>
      <c r="J124" s="248">
        <f t="shared" si="4"/>
        <v>0</v>
      </c>
      <c r="K124" s="248" t="str">
        <f>VLOOKUP($E124,'[3]Analysis Inputs'!$D$15:$U$75,6,FALSE)</f>
        <v>NA</v>
      </c>
      <c r="L124" s="248" t="str">
        <f t="shared" si="5"/>
        <v>NA</v>
      </c>
      <c r="M124" s="248" t="str">
        <f>VLOOKUP($E124,'[3]Analysis Inputs'!$D$15:$U$75,7,FALSE)</f>
        <v>NA</v>
      </c>
      <c r="N124" s="248" t="str">
        <f t="shared" si="6"/>
        <v>NA</v>
      </c>
      <c r="O124" s="248" t="str">
        <f>VLOOKUP($E124,'[3]Analysis Inputs'!$D$15:$U$75,8,FALSE)</f>
        <v>NA</v>
      </c>
      <c r="P124" s="272" t="s">
        <v>102</v>
      </c>
      <c r="Q124" s="271">
        <f t="shared" si="10"/>
        <v>0</v>
      </c>
    </row>
    <row r="125" spans="2:17" ht="12.75" customHeight="1" x14ac:dyDescent="0.2">
      <c r="B125" s="237">
        <f t="shared" si="7"/>
        <v>0</v>
      </c>
      <c r="C125" s="237">
        <f t="shared" si="8"/>
        <v>5</v>
      </c>
      <c r="D125">
        <f t="shared" si="9"/>
        <v>0</v>
      </c>
      <c r="E125" s="268" t="s">
        <v>180</v>
      </c>
      <c r="F125" s="248">
        <f>VLOOKUP($E125,'[3]Analysis Inputs'!$D$15:$U$75,10,FALSE)</f>
        <v>0</v>
      </c>
      <c r="G125" s="269">
        <f>VLOOKUP($E125,'[3]Analysis Inputs'!$D$15:$U$75,4,FALSE)</f>
        <v>0</v>
      </c>
      <c r="H125" s="269">
        <f t="shared" si="3"/>
        <v>0</v>
      </c>
      <c r="I125" s="248">
        <f>VLOOKUP($E125,'[3]Analysis Inputs'!$D$15:$U$75,5,FALSE)</f>
        <v>0</v>
      </c>
      <c r="J125" s="248">
        <f t="shared" si="4"/>
        <v>0</v>
      </c>
      <c r="K125" s="248">
        <f>VLOOKUP($E125,'[3]Analysis Inputs'!$D$15:$U$75,6,FALSE)</f>
        <v>0</v>
      </c>
      <c r="L125" s="248">
        <f t="shared" si="5"/>
        <v>0</v>
      </c>
      <c r="M125" s="248" t="str">
        <f>VLOOKUP($E125,'[3]Analysis Inputs'!$D$15:$U$75,7,FALSE)</f>
        <v>NA</v>
      </c>
      <c r="N125" s="248" t="str">
        <f t="shared" si="6"/>
        <v>NA</v>
      </c>
      <c r="O125" s="248" t="str">
        <f>VLOOKUP($E125,'[3]Analysis Inputs'!$D$15:$U$75,8,FALSE)</f>
        <v>NA</v>
      </c>
      <c r="P125" s="272" t="s">
        <v>102</v>
      </c>
      <c r="Q125" s="271">
        <f t="shared" si="10"/>
        <v>0</v>
      </c>
    </row>
    <row r="126" spans="2:17" ht="12.75" customHeight="1" x14ac:dyDescent="0.2">
      <c r="B126" s="237">
        <f t="shared" si="7"/>
        <v>0</v>
      </c>
      <c r="C126" s="237">
        <f t="shared" si="8"/>
        <v>5</v>
      </c>
      <c r="D126">
        <f t="shared" si="9"/>
        <v>0</v>
      </c>
      <c r="E126" s="246" t="s">
        <v>181</v>
      </c>
      <c r="F126" s="248">
        <f>VLOOKUP($E126,'[3]Analysis Inputs'!$D$15:$U$75,10,FALSE)</f>
        <v>0</v>
      </c>
      <c r="G126" s="269">
        <f>VLOOKUP($E126,'[3]Analysis Inputs'!$D$15:$U$75,4,FALSE)</f>
        <v>0</v>
      </c>
      <c r="H126" s="269">
        <f t="shared" si="3"/>
        <v>0</v>
      </c>
      <c r="I126" s="248">
        <f>VLOOKUP($E126,'[3]Analysis Inputs'!$D$15:$U$75,5,FALSE)</f>
        <v>0</v>
      </c>
      <c r="J126" s="248">
        <f t="shared" si="4"/>
        <v>0</v>
      </c>
      <c r="K126" s="248" t="str">
        <f>VLOOKUP($E126,'[3]Analysis Inputs'!$D$15:$U$75,6,FALSE)</f>
        <v>NA</v>
      </c>
      <c r="L126" s="248" t="str">
        <f t="shared" si="5"/>
        <v>NA</v>
      </c>
      <c r="M126" s="248" t="str">
        <f>VLOOKUP($E126,'[3]Analysis Inputs'!$D$15:$U$75,7,FALSE)</f>
        <v>NA</v>
      </c>
      <c r="N126" s="248" t="str">
        <f t="shared" si="6"/>
        <v>NA</v>
      </c>
      <c r="O126" s="248" t="str">
        <f>VLOOKUP($E126,'[3]Analysis Inputs'!$D$15:$U$75,8,FALSE)</f>
        <v>NA</v>
      </c>
      <c r="P126" s="272" t="s">
        <v>102</v>
      </c>
      <c r="Q126" s="271">
        <f t="shared" si="10"/>
        <v>0</v>
      </c>
    </row>
    <row r="127" spans="2:17" ht="12.75" customHeight="1" x14ac:dyDescent="0.2">
      <c r="B127" s="237">
        <f t="shared" si="7"/>
        <v>0</v>
      </c>
      <c r="C127" s="237">
        <f t="shared" si="8"/>
        <v>5</v>
      </c>
      <c r="D127">
        <f t="shared" si="9"/>
        <v>0</v>
      </c>
      <c r="E127" s="246" t="s">
        <v>182</v>
      </c>
      <c r="F127" s="248">
        <f>VLOOKUP($E127,'[3]Analysis Inputs'!$D$15:$U$75,10,FALSE)</f>
        <v>0</v>
      </c>
      <c r="G127" s="269" t="str">
        <f>VLOOKUP($E127,'[3]Analysis Inputs'!$D$15:$U$75,4,FALSE)</f>
        <v>NA</v>
      </c>
      <c r="H127" s="269" t="str">
        <f t="shared" si="3"/>
        <v>NA</v>
      </c>
      <c r="I127" s="248">
        <f>VLOOKUP($E127,'[3]Analysis Inputs'!$D$15:$U$75,5,FALSE)</f>
        <v>0</v>
      </c>
      <c r="J127" s="248">
        <f t="shared" si="4"/>
        <v>0</v>
      </c>
      <c r="K127" s="248" t="str">
        <f>VLOOKUP($E127,'[3]Analysis Inputs'!$D$15:$U$75,6,FALSE)</f>
        <v>NA</v>
      </c>
      <c r="L127" s="248" t="str">
        <f t="shared" si="5"/>
        <v>NA</v>
      </c>
      <c r="M127" s="248" t="str">
        <f>VLOOKUP($E127,'[3]Analysis Inputs'!$D$15:$U$75,7,FALSE)</f>
        <v>NA</v>
      </c>
      <c r="N127" s="248" t="str">
        <f t="shared" si="6"/>
        <v>NA</v>
      </c>
      <c r="O127" s="248" t="str">
        <f>VLOOKUP($E127,'[3]Analysis Inputs'!$D$15:$U$75,8,FALSE)</f>
        <v>NA</v>
      </c>
      <c r="P127" s="272" t="s">
        <v>102</v>
      </c>
      <c r="Q127" s="271">
        <f t="shared" si="10"/>
        <v>0</v>
      </c>
    </row>
    <row r="128" spans="2:17" ht="12.75" customHeight="1" x14ac:dyDescent="0.2">
      <c r="B128" s="237">
        <f t="shared" si="7"/>
        <v>0</v>
      </c>
      <c r="C128" s="237">
        <f t="shared" si="8"/>
        <v>5</v>
      </c>
      <c r="D128">
        <f t="shared" si="9"/>
        <v>0</v>
      </c>
      <c r="E128" s="274" t="s">
        <v>183</v>
      </c>
      <c r="F128" s="248">
        <f>VLOOKUP($E128,'[3]Analysis Inputs'!$D$15:$U$75,10,FALSE)</f>
        <v>0</v>
      </c>
      <c r="G128" s="269">
        <f>VLOOKUP($E128,'[3]Analysis Inputs'!$D$15:$U$75,4,FALSE)</f>
        <v>0</v>
      </c>
      <c r="H128" s="269">
        <f t="shared" si="3"/>
        <v>0</v>
      </c>
      <c r="I128" s="248">
        <f>VLOOKUP($E128,'[3]Analysis Inputs'!$D$15:$U$75,5,FALSE)</f>
        <v>0</v>
      </c>
      <c r="J128" s="248">
        <f t="shared" si="4"/>
        <v>0</v>
      </c>
      <c r="K128" s="248" t="str">
        <f>VLOOKUP($E128,'[3]Analysis Inputs'!$D$15:$U$75,6,FALSE)</f>
        <v>NA</v>
      </c>
      <c r="L128" s="248" t="str">
        <f t="shared" si="5"/>
        <v>NA</v>
      </c>
      <c r="M128" s="248" t="str">
        <f>VLOOKUP($E128,'[3]Analysis Inputs'!$D$15:$U$75,7,FALSE)</f>
        <v>NA</v>
      </c>
      <c r="N128" s="248" t="str">
        <f t="shared" si="6"/>
        <v>NA</v>
      </c>
      <c r="O128" s="248" t="str">
        <f>VLOOKUP($E128,'[3]Analysis Inputs'!$D$15:$U$75,8,FALSE)</f>
        <v>NA</v>
      </c>
      <c r="P128" s="272" t="s">
        <v>102</v>
      </c>
      <c r="Q128" s="271">
        <f t="shared" si="10"/>
        <v>0</v>
      </c>
    </row>
    <row r="129" spans="2:19" ht="12.75" customHeight="1" x14ac:dyDescent="0.2">
      <c r="B129" s="237">
        <f t="shared" si="7"/>
        <v>0</v>
      </c>
      <c r="C129" s="237">
        <f t="shared" si="8"/>
        <v>5</v>
      </c>
      <c r="D129">
        <f t="shared" si="9"/>
        <v>0</v>
      </c>
      <c r="E129" s="246" t="s">
        <v>184</v>
      </c>
      <c r="F129" s="248">
        <f>VLOOKUP($E129,'[3]Analysis Inputs'!$D$15:$U$75,10,FALSE)</f>
        <v>0</v>
      </c>
      <c r="G129" s="269" t="str">
        <f>VLOOKUP($E129,'[3]Analysis Inputs'!$D$15:$U$75,4,FALSE)</f>
        <v>NA</v>
      </c>
      <c r="H129" s="269" t="str">
        <f t="shared" si="3"/>
        <v>NA</v>
      </c>
      <c r="I129" s="248">
        <f>VLOOKUP($E129,'[3]Analysis Inputs'!$D$15:$U$75,5,FALSE)</f>
        <v>0</v>
      </c>
      <c r="J129" s="248">
        <f t="shared" si="4"/>
        <v>0</v>
      </c>
      <c r="K129" s="248">
        <f>VLOOKUP($E129,'[3]Analysis Inputs'!$D$15:$U$75,6,FALSE)</f>
        <v>0</v>
      </c>
      <c r="L129" s="248">
        <f t="shared" si="5"/>
        <v>0</v>
      </c>
      <c r="M129" s="248" t="str">
        <f>VLOOKUP($E129,'[3]Analysis Inputs'!$D$15:$U$75,7,FALSE)</f>
        <v>NA</v>
      </c>
      <c r="N129" s="248" t="str">
        <f t="shared" si="6"/>
        <v>NA</v>
      </c>
      <c r="O129" s="248" t="str">
        <f>VLOOKUP($E129,'[3]Analysis Inputs'!$D$15:$U$75,8,FALSE)</f>
        <v>NA</v>
      </c>
      <c r="P129" s="272" t="s">
        <v>102</v>
      </c>
      <c r="Q129" s="271">
        <f t="shared" si="10"/>
        <v>0</v>
      </c>
    </row>
    <row r="130" spans="2:19" ht="12.75" customHeight="1" x14ac:dyDescent="0.2">
      <c r="B130" s="237">
        <f>IF(SUM(G130,I130,K130,M130,O130)=0,0,1)</f>
        <v>0</v>
      </c>
      <c r="C130" s="237">
        <f>C129+B130</f>
        <v>5</v>
      </c>
      <c r="D130">
        <f>C130*B130</f>
        <v>0</v>
      </c>
      <c r="E130" s="246" t="s">
        <v>185</v>
      </c>
      <c r="F130" s="248">
        <f>VLOOKUP($E130,'[3]Analysis Inputs'!$D$15:$U$75,10,FALSE)</f>
        <v>0</v>
      </c>
      <c r="G130" s="269">
        <f>VLOOKUP($E130,'[3]Analysis Inputs'!$D$15:$U$75,4,FALSE)</f>
        <v>0</v>
      </c>
      <c r="H130" s="269">
        <f t="shared" si="3"/>
        <v>0</v>
      </c>
      <c r="I130" s="248">
        <f>VLOOKUP($E130,'[3]Analysis Inputs'!$D$15:$U$75,5,FALSE)</f>
        <v>0</v>
      </c>
      <c r="J130" s="248">
        <f t="shared" si="4"/>
        <v>0</v>
      </c>
      <c r="K130" s="248" t="str">
        <f>VLOOKUP($E130,'[3]Analysis Inputs'!$D$15:$U$75,6,FALSE)</f>
        <v>NA</v>
      </c>
      <c r="L130" s="248" t="str">
        <f t="shared" si="5"/>
        <v>NA</v>
      </c>
      <c r="M130" s="248" t="str">
        <f>VLOOKUP($E130,'[3]Analysis Inputs'!$D$15:$U$75,7,FALSE)</f>
        <v>NA</v>
      </c>
      <c r="N130" s="248" t="str">
        <f t="shared" si="6"/>
        <v>NA</v>
      </c>
      <c r="O130" s="248" t="str">
        <f>VLOOKUP($E130,'[3]Analysis Inputs'!$D$15:$U$75,8,FALSE)</f>
        <v>NA</v>
      </c>
      <c r="P130" s="272" t="s">
        <v>102</v>
      </c>
      <c r="Q130" s="271">
        <f>IF(P130="INPUT ERROR","INPUT ERROR",SUM(H130,J130,L130,N130,P130))</f>
        <v>0</v>
      </c>
    </row>
    <row r="131" spans="2:19" ht="12.75" customHeight="1" x14ac:dyDescent="0.2">
      <c r="B131" s="237">
        <f t="shared" si="7"/>
        <v>0</v>
      </c>
      <c r="C131" s="237">
        <f>C130+B131</f>
        <v>5</v>
      </c>
      <c r="D131">
        <f t="shared" si="9"/>
        <v>0</v>
      </c>
      <c r="E131" s="268" t="s">
        <v>186</v>
      </c>
      <c r="F131" s="248">
        <f>VLOOKUP($E131,'[3]Analysis Inputs'!$D$15:$U$75,10,FALSE)</f>
        <v>0</v>
      </c>
      <c r="G131" s="269" t="str">
        <f>VLOOKUP($E131,'[3]Analysis Inputs'!$D$15:$U$75,4,FALSE)</f>
        <v>NA</v>
      </c>
      <c r="H131" s="269" t="str">
        <f t="shared" si="3"/>
        <v>NA</v>
      </c>
      <c r="I131" s="248">
        <f>VLOOKUP($E131,'[3]Analysis Inputs'!$D$15:$U$75,5,FALSE)</f>
        <v>0</v>
      </c>
      <c r="J131" s="248">
        <f t="shared" si="4"/>
        <v>0</v>
      </c>
      <c r="K131" s="248">
        <f>VLOOKUP($E131,'[3]Analysis Inputs'!$D$15:$U$75,6,FALSE)</f>
        <v>0</v>
      </c>
      <c r="L131" s="248">
        <f t="shared" si="5"/>
        <v>0</v>
      </c>
      <c r="M131" s="248" t="str">
        <f>VLOOKUP($E131,'[3]Analysis Inputs'!$D$15:$U$75,7,FALSE)</f>
        <v>NA</v>
      </c>
      <c r="N131" s="248" t="str">
        <f t="shared" si="6"/>
        <v>NA</v>
      </c>
      <c r="O131" s="248" t="str">
        <f>VLOOKUP($E131,'[3]Analysis Inputs'!$D$15:$U$75,8,FALSE)</f>
        <v>NA</v>
      </c>
      <c r="P131" s="272" t="s">
        <v>102</v>
      </c>
      <c r="Q131" s="271">
        <f t="shared" si="10"/>
        <v>0</v>
      </c>
    </row>
    <row r="132" spans="2:19" ht="12.75" customHeight="1" x14ac:dyDescent="0.2">
      <c r="B132" s="237">
        <f t="shared" si="7"/>
        <v>0</v>
      </c>
      <c r="C132" s="237">
        <f t="shared" si="8"/>
        <v>5</v>
      </c>
      <c r="D132">
        <f t="shared" si="9"/>
        <v>0</v>
      </c>
      <c r="E132" s="246" t="s">
        <v>187</v>
      </c>
      <c r="F132" s="248">
        <f>VLOOKUP($E132,'[3]Analysis Inputs'!$D$15:$U$75,10,FALSE)</f>
        <v>0</v>
      </c>
      <c r="G132" s="269">
        <f>VLOOKUP($E132,'[3]Analysis Inputs'!$D$15:$U$75,4,FALSE)</f>
        <v>0</v>
      </c>
      <c r="H132" s="269">
        <f t="shared" si="3"/>
        <v>0</v>
      </c>
      <c r="I132" s="248">
        <f>VLOOKUP($E132,'[3]Analysis Inputs'!$D$15:$U$75,5,FALSE)</f>
        <v>0</v>
      </c>
      <c r="J132" s="248">
        <f t="shared" si="4"/>
        <v>0</v>
      </c>
      <c r="K132" s="248">
        <f>VLOOKUP($E132,'[3]Analysis Inputs'!$D$15:$U$75,6,FALSE)</f>
        <v>0</v>
      </c>
      <c r="L132" s="248">
        <f t="shared" si="5"/>
        <v>0</v>
      </c>
      <c r="M132" s="248" t="str">
        <f>VLOOKUP($E132,'[3]Analysis Inputs'!$D$15:$U$75,7,FALSE)</f>
        <v>NA</v>
      </c>
      <c r="N132" s="248" t="str">
        <f t="shared" si="6"/>
        <v>NA</v>
      </c>
      <c r="O132" s="248" t="str">
        <f>VLOOKUP($E132,'[3]Analysis Inputs'!$D$15:$U$75,8,FALSE)</f>
        <v>NA</v>
      </c>
      <c r="P132" s="272" t="s">
        <v>102</v>
      </c>
      <c r="Q132" s="271">
        <f t="shared" si="10"/>
        <v>0</v>
      </c>
    </row>
    <row r="133" spans="2:19" ht="12.75" customHeight="1" x14ac:dyDescent="0.2">
      <c r="B133" s="237">
        <f t="shared" si="7"/>
        <v>0</v>
      </c>
      <c r="C133" s="237">
        <f t="shared" si="8"/>
        <v>5</v>
      </c>
      <c r="D133">
        <f t="shared" si="9"/>
        <v>0</v>
      </c>
      <c r="E133" s="246" t="s">
        <v>188</v>
      </c>
      <c r="F133" s="248">
        <f>VLOOKUP($E133,'[3]Analysis Inputs'!$D$15:$U$75,10,FALSE)</f>
        <v>0</v>
      </c>
      <c r="G133" s="269">
        <f>VLOOKUP($E133,'[3]Analysis Inputs'!$D$15:$U$75,4,FALSE)</f>
        <v>0</v>
      </c>
      <c r="H133" s="269">
        <f t="shared" si="3"/>
        <v>0</v>
      </c>
      <c r="I133" s="248">
        <f>VLOOKUP($E133,'[3]Analysis Inputs'!$D$15:$U$75,5,FALSE)</f>
        <v>0</v>
      </c>
      <c r="J133" s="248">
        <f t="shared" si="4"/>
        <v>0</v>
      </c>
      <c r="K133" s="248">
        <f>VLOOKUP($E133,'[3]Analysis Inputs'!$D$15:$U$75,6,FALSE)</f>
        <v>0</v>
      </c>
      <c r="L133" s="248">
        <f t="shared" si="5"/>
        <v>0</v>
      </c>
      <c r="M133" s="248" t="str">
        <f>VLOOKUP($E133,'[3]Analysis Inputs'!$D$15:$U$75,7,FALSE)</f>
        <v>NA</v>
      </c>
      <c r="N133" s="248" t="str">
        <f t="shared" si="6"/>
        <v>NA</v>
      </c>
      <c r="O133" s="248" t="str">
        <f>VLOOKUP($E133,'[3]Analysis Inputs'!$D$15:$U$75,8,FALSE)</f>
        <v>NA</v>
      </c>
      <c r="P133" s="272" t="s">
        <v>102</v>
      </c>
      <c r="Q133" s="271">
        <f t="shared" si="10"/>
        <v>0</v>
      </c>
    </row>
    <row r="134" spans="2:19" ht="12.75" customHeight="1" x14ac:dyDescent="0.2">
      <c r="B134" s="237">
        <f t="shared" si="7"/>
        <v>0</v>
      </c>
      <c r="C134" s="237">
        <f t="shared" si="8"/>
        <v>5</v>
      </c>
      <c r="D134">
        <f t="shared" si="9"/>
        <v>0</v>
      </c>
      <c r="E134" s="268" t="s">
        <v>189</v>
      </c>
      <c r="F134" s="248">
        <f>VLOOKUP($E134,'[3]Analysis Inputs'!$D$15:$U$75,10,FALSE)</f>
        <v>0</v>
      </c>
      <c r="G134" s="269">
        <f>VLOOKUP($E134,'[3]Analysis Inputs'!$D$15:$U$75,4,FALSE)</f>
        <v>0</v>
      </c>
      <c r="H134" s="269">
        <f t="shared" si="3"/>
        <v>0</v>
      </c>
      <c r="I134" s="248">
        <f>VLOOKUP($E134,'[3]Analysis Inputs'!$D$15:$U$75,5,FALSE)</f>
        <v>0</v>
      </c>
      <c r="J134" s="248">
        <f t="shared" si="4"/>
        <v>0</v>
      </c>
      <c r="K134" s="248">
        <f>VLOOKUP($E134,'[3]Analysis Inputs'!$D$15:$U$75,6,FALSE)</f>
        <v>0</v>
      </c>
      <c r="L134" s="248">
        <f t="shared" si="5"/>
        <v>0</v>
      </c>
      <c r="M134" s="248" t="str">
        <f>VLOOKUP($E134,'[3]Analysis Inputs'!$D$15:$U$75,7,FALSE)</f>
        <v>NA</v>
      </c>
      <c r="N134" s="248" t="str">
        <f t="shared" si="6"/>
        <v>NA</v>
      </c>
      <c r="O134" s="248" t="str">
        <f>VLOOKUP($E134,'[3]Analysis Inputs'!$D$15:$U$75,8,FALSE)</f>
        <v>NA</v>
      </c>
      <c r="P134" s="272" t="s">
        <v>102</v>
      </c>
      <c r="Q134" s="271">
        <f t="shared" si="10"/>
        <v>0</v>
      </c>
    </row>
    <row r="135" spans="2:19" ht="12.75" customHeight="1" x14ac:dyDescent="0.2">
      <c r="B135" s="237">
        <f t="shared" si="7"/>
        <v>0</v>
      </c>
      <c r="C135" s="237">
        <f t="shared" si="8"/>
        <v>5</v>
      </c>
      <c r="D135">
        <f t="shared" si="9"/>
        <v>0</v>
      </c>
      <c r="E135" s="268" t="s">
        <v>190</v>
      </c>
      <c r="F135" s="248">
        <f>VLOOKUP($E135,'[3]Analysis Inputs'!$D$15:$U$75,10,FALSE)</f>
        <v>0</v>
      </c>
      <c r="G135" s="269" t="str">
        <f>VLOOKUP($E135,'[3]Analysis Inputs'!$D$15:$U$75,4,FALSE)</f>
        <v>NA</v>
      </c>
      <c r="H135" s="269" t="str">
        <f t="shared" si="3"/>
        <v>NA</v>
      </c>
      <c r="I135" s="248">
        <f>VLOOKUP($E135,'[3]Analysis Inputs'!$D$15:$U$75,5,FALSE)</f>
        <v>0</v>
      </c>
      <c r="J135" s="248">
        <f t="shared" si="4"/>
        <v>0</v>
      </c>
      <c r="K135" s="248">
        <f>VLOOKUP($E135,'[3]Analysis Inputs'!$D$15:$U$75,6,FALSE)</f>
        <v>0</v>
      </c>
      <c r="L135" s="248">
        <f t="shared" si="5"/>
        <v>0</v>
      </c>
      <c r="M135" s="248">
        <f>VLOOKUP($E135,'[3]Analysis Inputs'!$D$15:$U$75,7,FALSE)</f>
        <v>0</v>
      </c>
      <c r="N135" s="248">
        <f t="shared" si="6"/>
        <v>0</v>
      </c>
      <c r="O135" s="248">
        <f>VLOOKUP($E135,'[3]Analysis Inputs'!$D$15:$U$75,8,FALSE)</f>
        <v>0</v>
      </c>
      <c r="P135" s="272">
        <f>IF(AND(L71="NA",O135&lt;&gt;0),"INPUT ERROR",IF(AND(L71="NA",O135=0),"NA",+O135*L71))</f>
        <v>0</v>
      </c>
      <c r="Q135" s="271">
        <f t="shared" si="10"/>
        <v>0</v>
      </c>
    </row>
    <row r="136" spans="2:19" ht="12.75" customHeight="1" x14ac:dyDescent="0.2">
      <c r="B136" s="237">
        <f t="shared" si="7"/>
        <v>0</v>
      </c>
      <c r="C136" s="237">
        <f t="shared" si="8"/>
        <v>5</v>
      </c>
      <c r="D136">
        <f t="shared" si="9"/>
        <v>0</v>
      </c>
      <c r="E136" s="246" t="s">
        <v>191</v>
      </c>
      <c r="F136" s="248">
        <f>VLOOKUP($E136,'[3]Analysis Inputs'!$D$15:$U$75,10,FALSE)</f>
        <v>0</v>
      </c>
      <c r="G136" s="269" t="str">
        <f>VLOOKUP($E136,'[3]Analysis Inputs'!$D$15:$U$75,4,FALSE)</f>
        <v>NA</v>
      </c>
      <c r="H136" s="269" t="str">
        <f t="shared" si="3"/>
        <v>NA</v>
      </c>
      <c r="I136" s="248">
        <f>VLOOKUP($E136,'[3]Analysis Inputs'!$D$15:$U$75,5,FALSE)</f>
        <v>0</v>
      </c>
      <c r="J136" s="248">
        <f t="shared" si="4"/>
        <v>0</v>
      </c>
      <c r="K136" s="248">
        <f>VLOOKUP($E136,'[3]Analysis Inputs'!$D$15:$U$75,6,FALSE)</f>
        <v>0</v>
      </c>
      <c r="L136" s="248">
        <f t="shared" si="5"/>
        <v>0</v>
      </c>
      <c r="M136" s="248" t="str">
        <f>VLOOKUP($E136,'[3]Analysis Inputs'!$D$15:$U$75,7,FALSE)</f>
        <v>NA</v>
      </c>
      <c r="N136" s="248" t="str">
        <f t="shared" si="6"/>
        <v>NA</v>
      </c>
      <c r="O136" s="248" t="str">
        <f>VLOOKUP($E136,'[3]Analysis Inputs'!$D$15:$U$75,8,FALSE)</f>
        <v>NA</v>
      </c>
      <c r="P136" s="272" t="s">
        <v>102</v>
      </c>
      <c r="Q136" s="271">
        <f>IF(P136="INPUT ERROR","INPUT ERROR",SUM(H136,J136,L136,N136,P136))</f>
        <v>0</v>
      </c>
    </row>
    <row r="137" spans="2:19" ht="13.5" customHeight="1" thickBot="1" x14ac:dyDescent="0.25">
      <c r="E137" s="275" t="s">
        <v>208</v>
      </c>
      <c r="F137" s="276">
        <f t="shared" ref="F137:N137" si="12">SUM(F76:F136)</f>
        <v>65300</v>
      </c>
      <c r="G137" s="276">
        <f t="shared" si="12"/>
        <v>0</v>
      </c>
      <c r="H137" s="276">
        <f t="shared" si="12"/>
        <v>0</v>
      </c>
      <c r="I137" s="276">
        <f t="shared" si="12"/>
        <v>0</v>
      </c>
      <c r="J137" s="276">
        <f t="shared" si="12"/>
        <v>0</v>
      </c>
      <c r="K137" s="276">
        <f t="shared" si="12"/>
        <v>0</v>
      </c>
      <c r="L137" s="276">
        <f t="shared" si="12"/>
        <v>0</v>
      </c>
      <c r="M137" s="276">
        <f t="shared" si="12"/>
        <v>0</v>
      </c>
      <c r="N137" s="276">
        <f t="shared" si="12"/>
        <v>0</v>
      </c>
      <c r="O137" s="276">
        <f>SUM(O76:O136)</f>
        <v>65300</v>
      </c>
      <c r="P137" s="276">
        <f>IF(AND('[3]Analysis Inputs'!$N$158=3,SUM(O111:O114,O122)&lt;&gt;0),"INPUT ERROR",SUM(P76:P136))</f>
        <v>-2688.4741742137112</v>
      </c>
      <c r="Q137" s="277">
        <f>IF(AND('[3]Analysis Inputs'!$N$158=3,SUM(O111:O114,O122)&lt;&gt;0),"INPUT ERROR: Please select dry digestion",SUM(H137,J137,L137,N137,P137))</f>
        <v>-2688.4741742137112</v>
      </c>
    </row>
    <row r="139" spans="2:19" ht="13.5" thickBot="1" x14ac:dyDescent="0.25">
      <c r="E139" s="262" t="s">
        <v>209</v>
      </c>
      <c r="F139" s="4"/>
      <c r="G139" s="6"/>
      <c r="H139" s="6"/>
      <c r="I139" s="4"/>
      <c r="J139" s="4"/>
      <c r="K139" s="4"/>
      <c r="L139" s="4"/>
      <c r="M139" s="4"/>
      <c r="N139" s="4"/>
      <c r="O139" s="278"/>
      <c r="P139" s="4"/>
      <c r="Q139" s="4"/>
      <c r="R139" s="4"/>
      <c r="S139" s="4"/>
    </row>
    <row r="140" spans="2:19" ht="54.75" x14ac:dyDescent="0.2">
      <c r="E140" s="264" t="s">
        <v>123</v>
      </c>
      <c r="F140" s="243" t="s">
        <v>196</v>
      </c>
      <c r="G140" s="265" t="s">
        <v>210</v>
      </c>
      <c r="H140" s="244" t="s">
        <v>211</v>
      </c>
      <c r="I140" s="265" t="s">
        <v>212</v>
      </c>
      <c r="J140" s="244" t="s">
        <v>198</v>
      </c>
      <c r="K140" s="244" t="s">
        <v>213</v>
      </c>
      <c r="L140" s="244" t="s">
        <v>200</v>
      </c>
      <c r="M140" s="244" t="s">
        <v>214</v>
      </c>
      <c r="N140" s="244" t="s">
        <v>202</v>
      </c>
      <c r="O140" s="279" t="s">
        <v>215</v>
      </c>
      <c r="P140" s="244" t="s">
        <v>204</v>
      </c>
      <c r="Q140" s="266" t="s">
        <v>216</v>
      </c>
      <c r="R140" s="266" t="s">
        <v>206</v>
      </c>
      <c r="S140" s="267" t="s">
        <v>207</v>
      </c>
    </row>
    <row r="141" spans="2:19" ht="12.75" customHeight="1" x14ac:dyDescent="0.2">
      <c r="B141" s="237">
        <f>IF(SUM(G141,I141,K141,M141,O141,Q141)=0,0,1)</f>
        <v>0</v>
      </c>
      <c r="C141" s="237">
        <f>B141</f>
        <v>0</v>
      </c>
      <c r="D141">
        <f>C141*B141</f>
        <v>0</v>
      </c>
      <c r="E141" s="268" t="s">
        <v>131</v>
      </c>
      <c r="F141" s="248">
        <f>VLOOKUP($E141,'[3]Analysis Inputs'!$D$15:$U$75,10,FALSE)</f>
        <v>0</v>
      </c>
      <c r="G141" s="269">
        <f>VLOOKUP($E141,'[3]Analysis Inputs'!$D$15:$U$75,13,FALSE)</f>
        <v>0</v>
      </c>
      <c r="H141" s="269">
        <f t="shared" ref="H141:H201" si="13">IF(G141="NA","NA",+G141*G12)</f>
        <v>0</v>
      </c>
      <c r="I141" s="248">
        <f>VLOOKUP($E141,'[3]Analysis Inputs'!$D$15:$U$75,14,FALSE)</f>
        <v>0</v>
      </c>
      <c r="J141" s="269">
        <f t="shared" ref="J141:J201" si="14">IF(I141="NA","NA",+I141*H12)</f>
        <v>0</v>
      </c>
      <c r="K141" s="248">
        <f>VLOOKUP($E141,'[3]Analysis Inputs'!$D$15:$U$75,15,FALSE)</f>
        <v>0</v>
      </c>
      <c r="L141" s="269">
        <f t="shared" ref="L141:L201" si="15">IF(K141="NA","NA",+K141*I12)</f>
        <v>0</v>
      </c>
      <c r="M141" s="248">
        <f>VLOOKUP($E141,'[3]Analysis Inputs'!$D$15:$U$75,16,FALSE)</f>
        <v>0</v>
      </c>
      <c r="N141" s="269">
        <f t="shared" ref="N141:N201" si="16">IF(M141="NA","NA",+M141*J12)</f>
        <v>0</v>
      </c>
      <c r="O141" s="280" t="str">
        <f>VLOOKUP($E141,'[3]Analysis Inputs'!$D$15:$U$75,17,FALSE)</f>
        <v>NA</v>
      </c>
      <c r="P141" s="269" t="str">
        <f t="shared" ref="P141:P201" si="17">IF(O141="NA","NA",+O141*K12)</f>
        <v>NA</v>
      </c>
      <c r="Q141" s="248" t="str">
        <f>VLOOKUP($E141,'[3]Analysis Inputs'!$D$15:$U$75,18,FALSE)</f>
        <v>NA</v>
      </c>
      <c r="R141" s="281" t="s">
        <v>102</v>
      </c>
      <c r="S141" s="271">
        <f>IF(R141="INPUT ERROR","INPUT ERROR",SUM(H141,J141,L141,N141,P141,R141))</f>
        <v>0</v>
      </c>
    </row>
    <row r="142" spans="2:19" ht="12.75" customHeight="1" x14ac:dyDescent="0.2">
      <c r="B142" s="237">
        <f>IF(SUM(G142,I142,K142,M142,O142,Q142)=0,0,1)</f>
        <v>0</v>
      </c>
      <c r="C142" s="237">
        <f>C141+B142</f>
        <v>0</v>
      </c>
      <c r="D142">
        <f>C142*B142</f>
        <v>0</v>
      </c>
      <c r="E142" s="268" t="s">
        <v>132</v>
      </c>
      <c r="F142" s="248">
        <f>VLOOKUP($E142,'[3]Analysis Inputs'!$D$15:$U$75,10,FALSE)</f>
        <v>0</v>
      </c>
      <c r="G142" s="269">
        <f>VLOOKUP($E142,'[3]Analysis Inputs'!$D$15:$U$75,13,FALSE)</f>
        <v>0</v>
      </c>
      <c r="H142" s="269">
        <f t="shared" si="13"/>
        <v>0</v>
      </c>
      <c r="I142" s="248">
        <f>VLOOKUP($E142,'[3]Analysis Inputs'!$D$15:$U$75,14,FALSE)</f>
        <v>0</v>
      </c>
      <c r="J142" s="248">
        <f t="shared" si="14"/>
        <v>0</v>
      </c>
      <c r="K142" s="248">
        <f>VLOOKUP($E142,'[3]Analysis Inputs'!$D$15:$U$75,15,FALSE)</f>
        <v>0</v>
      </c>
      <c r="L142" s="248">
        <f t="shared" si="15"/>
        <v>0</v>
      </c>
      <c r="M142" s="248">
        <f>VLOOKUP($E142,'[3]Analysis Inputs'!$D$15:$U$75,16,FALSE)</f>
        <v>0</v>
      </c>
      <c r="N142" s="282">
        <f t="shared" si="16"/>
        <v>0</v>
      </c>
      <c r="O142" s="283" t="str">
        <f>VLOOKUP($E142,'[3]Analysis Inputs'!$D$15:$U$75,17,FALSE)</f>
        <v>NA</v>
      </c>
      <c r="P142" s="284" t="str">
        <f t="shared" si="17"/>
        <v>NA</v>
      </c>
      <c r="Q142" s="248" t="str">
        <f>VLOOKUP($E142,'[3]Analysis Inputs'!$D$15:$U$75,18,FALSE)</f>
        <v>NA</v>
      </c>
      <c r="R142" s="281" t="s">
        <v>102</v>
      </c>
      <c r="S142" s="271">
        <f>IF(R142="INPUT ERROR","INPUT ERROR",SUM(H142,J142,L142,N142,P142,R142))</f>
        <v>0</v>
      </c>
    </row>
    <row r="143" spans="2:19" ht="12.75" customHeight="1" x14ac:dyDescent="0.2">
      <c r="B143" s="237">
        <f t="shared" ref="B143:B201" si="18">IF(SUM(G143,I143,K143,M143,O143,Q143)=0,0,1)</f>
        <v>0</v>
      </c>
      <c r="C143" s="237">
        <f t="shared" ref="C143:C201" si="19">C142+B143</f>
        <v>0</v>
      </c>
      <c r="D143">
        <f t="shared" ref="D143:D201" si="20">C143*B143</f>
        <v>0</v>
      </c>
      <c r="E143" s="268" t="s">
        <v>133</v>
      </c>
      <c r="F143" s="248">
        <f>VLOOKUP($E143,'[3]Analysis Inputs'!$D$15:$U$75,10,FALSE)</f>
        <v>0</v>
      </c>
      <c r="G143" s="269">
        <f>VLOOKUP($E143,'[3]Analysis Inputs'!$D$15:$U$75,13,FALSE)</f>
        <v>0</v>
      </c>
      <c r="H143" s="269">
        <f t="shared" si="13"/>
        <v>0</v>
      </c>
      <c r="I143" s="248">
        <f>VLOOKUP($E143,'[3]Analysis Inputs'!$D$15:$U$75,14,FALSE)</f>
        <v>0</v>
      </c>
      <c r="J143" s="248">
        <f t="shared" si="14"/>
        <v>0</v>
      </c>
      <c r="K143" s="248">
        <f>VLOOKUP($E143,'[3]Analysis Inputs'!$D$15:$U$75,15,FALSE)</f>
        <v>0</v>
      </c>
      <c r="L143" s="248">
        <f t="shared" si="15"/>
        <v>0</v>
      </c>
      <c r="M143" s="248">
        <f>VLOOKUP($E143,'[3]Analysis Inputs'!$D$15:$U$75,16,FALSE)</f>
        <v>0</v>
      </c>
      <c r="N143" s="282">
        <f t="shared" si="16"/>
        <v>0</v>
      </c>
      <c r="O143" s="283" t="str">
        <f>VLOOKUP($E143,'[3]Analysis Inputs'!$D$15:$U$75,17,FALSE)</f>
        <v>NA</v>
      </c>
      <c r="P143" s="284" t="str">
        <f t="shared" si="17"/>
        <v>NA</v>
      </c>
      <c r="Q143" s="248" t="str">
        <f>VLOOKUP($E143,'[3]Analysis Inputs'!$D$15:$U$75,18,FALSE)</f>
        <v>NA</v>
      </c>
      <c r="R143" s="281" t="s">
        <v>102</v>
      </c>
      <c r="S143" s="271">
        <f t="shared" ref="S143:S200" si="21">IF(R143="INPUT ERROR","INPUT ERROR",SUM(H143,J143,L143,N143,P143,R143))</f>
        <v>0</v>
      </c>
    </row>
    <row r="144" spans="2:19" ht="12.75" customHeight="1" x14ac:dyDescent="0.2">
      <c r="B144" s="237">
        <f t="shared" si="18"/>
        <v>0</v>
      </c>
      <c r="C144" s="237">
        <f t="shared" si="19"/>
        <v>0</v>
      </c>
      <c r="D144">
        <f t="shared" si="20"/>
        <v>0</v>
      </c>
      <c r="E144" s="268" t="s">
        <v>134</v>
      </c>
      <c r="F144" s="248">
        <f>VLOOKUP($E144,'[3]Analysis Inputs'!$D$15:$U$75,10,FALSE)</f>
        <v>0</v>
      </c>
      <c r="G144" s="269">
        <f>VLOOKUP($E144,'[3]Analysis Inputs'!$D$15:$U$75,13,FALSE)</f>
        <v>0</v>
      </c>
      <c r="H144" s="269">
        <f t="shared" si="13"/>
        <v>0</v>
      </c>
      <c r="I144" s="248">
        <f>VLOOKUP($E144,'[3]Analysis Inputs'!$D$15:$U$75,14,FALSE)</f>
        <v>0</v>
      </c>
      <c r="J144" s="248">
        <f t="shared" si="14"/>
        <v>0</v>
      </c>
      <c r="K144" s="248">
        <f>VLOOKUP($E144,'[3]Analysis Inputs'!$D$15:$U$75,15,FALSE)</f>
        <v>0</v>
      </c>
      <c r="L144" s="248">
        <f t="shared" si="15"/>
        <v>0</v>
      </c>
      <c r="M144" s="248">
        <f>VLOOKUP($E144,'[3]Analysis Inputs'!$D$15:$U$75,16,FALSE)</f>
        <v>0</v>
      </c>
      <c r="N144" s="282">
        <f t="shared" si="16"/>
        <v>0</v>
      </c>
      <c r="O144" s="283" t="str">
        <f>VLOOKUP($E144,'[3]Analysis Inputs'!$D$15:$U$75,17,FALSE)</f>
        <v>NA</v>
      </c>
      <c r="P144" s="284" t="str">
        <f t="shared" si="17"/>
        <v>NA</v>
      </c>
      <c r="Q144" s="248" t="str">
        <f>VLOOKUP($E144,'[3]Analysis Inputs'!$D$15:$U$75,18,FALSE)</f>
        <v>NA</v>
      </c>
      <c r="R144" s="281" t="s">
        <v>102</v>
      </c>
      <c r="S144" s="271">
        <f t="shared" si="21"/>
        <v>0</v>
      </c>
    </row>
    <row r="145" spans="2:19" ht="12.75" customHeight="1" x14ac:dyDescent="0.2">
      <c r="B145" s="237">
        <f t="shared" si="18"/>
        <v>0</v>
      </c>
      <c r="C145" s="237">
        <f t="shared" si="19"/>
        <v>0</v>
      </c>
      <c r="D145">
        <f t="shared" si="20"/>
        <v>0</v>
      </c>
      <c r="E145" s="268" t="s">
        <v>135</v>
      </c>
      <c r="F145" s="248">
        <f>VLOOKUP($E145,'[3]Analysis Inputs'!$D$15:$U$75,10,FALSE)</f>
        <v>0</v>
      </c>
      <c r="G145" s="269">
        <f>VLOOKUP($E145,'[3]Analysis Inputs'!$D$15:$U$75,13,FALSE)</f>
        <v>0</v>
      </c>
      <c r="H145" s="269">
        <f t="shared" si="13"/>
        <v>0</v>
      </c>
      <c r="I145" s="248">
        <f>VLOOKUP($E145,'[3]Analysis Inputs'!$D$15:$U$75,14,FALSE)</f>
        <v>0</v>
      </c>
      <c r="J145" s="248">
        <f t="shared" si="14"/>
        <v>0</v>
      </c>
      <c r="K145" s="248">
        <f>VLOOKUP($E145,'[3]Analysis Inputs'!$D$15:$U$75,15,FALSE)</f>
        <v>0</v>
      </c>
      <c r="L145" s="248">
        <f t="shared" si="15"/>
        <v>0</v>
      </c>
      <c r="M145" s="248">
        <f>VLOOKUP($E145,'[3]Analysis Inputs'!$D$15:$U$75,16,FALSE)</f>
        <v>0</v>
      </c>
      <c r="N145" s="282">
        <f t="shared" si="16"/>
        <v>0</v>
      </c>
      <c r="O145" s="283" t="str">
        <f>VLOOKUP($E145,'[3]Analysis Inputs'!$D$15:$U$75,17,FALSE)</f>
        <v>NA</v>
      </c>
      <c r="P145" s="284" t="str">
        <f t="shared" si="17"/>
        <v>NA</v>
      </c>
      <c r="Q145" s="248" t="str">
        <f>VLOOKUP($E145,'[3]Analysis Inputs'!$D$15:$U$75,18,FALSE)</f>
        <v>NA</v>
      </c>
      <c r="R145" s="281" t="s">
        <v>102</v>
      </c>
      <c r="S145" s="271">
        <f t="shared" si="21"/>
        <v>0</v>
      </c>
    </row>
    <row r="146" spans="2:19" ht="12.75" customHeight="1" x14ac:dyDescent="0.2">
      <c r="B146" s="237">
        <f t="shared" si="18"/>
        <v>0</v>
      </c>
      <c r="C146" s="237">
        <f t="shared" si="19"/>
        <v>0</v>
      </c>
      <c r="D146">
        <f t="shared" si="20"/>
        <v>0</v>
      </c>
      <c r="E146" s="268" t="s">
        <v>136</v>
      </c>
      <c r="F146" s="248">
        <f>VLOOKUP($E146,'[3]Analysis Inputs'!$D$15:$U$75,10,FALSE)</f>
        <v>0</v>
      </c>
      <c r="G146" s="269">
        <f>VLOOKUP($E146,'[3]Analysis Inputs'!$D$15:$U$75,13,FALSE)</f>
        <v>0</v>
      </c>
      <c r="H146" s="269">
        <f t="shared" si="13"/>
        <v>0</v>
      </c>
      <c r="I146" s="248">
        <f>VLOOKUP($E146,'[3]Analysis Inputs'!$D$15:$U$75,14,FALSE)</f>
        <v>0</v>
      </c>
      <c r="J146" s="248">
        <f t="shared" si="14"/>
        <v>0</v>
      </c>
      <c r="K146" s="248">
        <f>VLOOKUP($E146,'[3]Analysis Inputs'!$D$15:$U$75,15,FALSE)</f>
        <v>0</v>
      </c>
      <c r="L146" s="248">
        <f t="shared" si="15"/>
        <v>0</v>
      </c>
      <c r="M146" s="248">
        <f>VLOOKUP($E146,'[3]Analysis Inputs'!$D$15:$U$75,16,FALSE)</f>
        <v>0</v>
      </c>
      <c r="N146" s="282">
        <f t="shared" si="16"/>
        <v>0</v>
      </c>
      <c r="O146" s="283" t="str">
        <f>VLOOKUP($E146,'[3]Analysis Inputs'!$D$15:$U$75,17,FALSE)</f>
        <v>NA</v>
      </c>
      <c r="P146" s="284" t="str">
        <f t="shared" si="17"/>
        <v>NA</v>
      </c>
      <c r="Q146" s="248" t="str">
        <f>VLOOKUP($E146,'[3]Analysis Inputs'!$D$15:$U$75,18,FALSE)</f>
        <v>NA</v>
      </c>
      <c r="R146" s="281" t="s">
        <v>102</v>
      </c>
      <c r="S146" s="271">
        <f t="shared" si="21"/>
        <v>0</v>
      </c>
    </row>
    <row r="147" spans="2:19" ht="12.75" customHeight="1" x14ac:dyDescent="0.2">
      <c r="B147" s="237">
        <f t="shared" si="18"/>
        <v>0</v>
      </c>
      <c r="C147" s="237">
        <f t="shared" si="19"/>
        <v>0</v>
      </c>
      <c r="D147">
        <f t="shared" si="20"/>
        <v>0</v>
      </c>
      <c r="E147" s="268" t="s">
        <v>137</v>
      </c>
      <c r="F147" s="248">
        <f>VLOOKUP($E147,'[3]Analysis Inputs'!$D$15:$U$75,10,FALSE)</f>
        <v>0</v>
      </c>
      <c r="G147" s="269">
        <f>VLOOKUP($E147,'[3]Analysis Inputs'!$D$15:$U$75,13,FALSE)</f>
        <v>0</v>
      </c>
      <c r="H147" s="269">
        <f t="shared" si="13"/>
        <v>0</v>
      </c>
      <c r="I147" s="248">
        <f>VLOOKUP($E147,'[3]Analysis Inputs'!$D$15:$U$75,14,FALSE)</f>
        <v>0</v>
      </c>
      <c r="J147" s="248">
        <f t="shared" si="14"/>
        <v>0</v>
      </c>
      <c r="K147" s="248">
        <f>VLOOKUP($E147,'[3]Analysis Inputs'!$D$15:$U$75,15,FALSE)</f>
        <v>0</v>
      </c>
      <c r="L147" s="248">
        <f t="shared" si="15"/>
        <v>0</v>
      </c>
      <c r="M147" s="248">
        <f>VLOOKUP($E147,'[3]Analysis Inputs'!$D$15:$U$75,16,FALSE)</f>
        <v>0</v>
      </c>
      <c r="N147" s="282">
        <f t="shared" si="16"/>
        <v>0</v>
      </c>
      <c r="O147" s="283" t="str">
        <f>VLOOKUP($E147,'[3]Analysis Inputs'!$D$15:$U$75,17,FALSE)</f>
        <v>NA</v>
      </c>
      <c r="P147" s="284" t="str">
        <f t="shared" si="17"/>
        <v>NA</v>
      </c>
      <c r="Q147" s="248" t="str">
        <f>VLOOKUP($E147,'[3]Analysis Inputs'!$D$15:$U$75,18,FALSE)</f>
        <v>NA</v>
      </c>
      <c r="R147" s="281" t="s">
        <v>102</v>
      </c>
      <c r="S147" s="271">
        <f t="shared" si="21"/>
        <v>0</v>
      </c>
    </row>
    <row r="148" spans="2:19" ht="12.75" customHeight="1" x14ac:dyDescent="0.2">
      <c r="B148" s="237">
        <f t="shared" si="18"/>
        <v>0</v>
      </c>
      <c r="C148" s="237">
        <f t="shared" si="19"/>
        <v>0</v>
      </c>
      <c r="D148">
        <f t="shared" si="20"/>
        <v>0</v>
      </c>
      <c r="E148" s="268" t="s">
        <v>138</v>
      </c>
      <c r="F148" s="248">
        <f>VLOOKUP($E148,'[3]Analysis Inputs'!$D$15:$U$75,10,FALSE)</f>
        <v>0</v>
      </c>
      <c r="G148" s="269">
        <f>VLOOKUP($E148,'[3]Analysis Inputs'!$D$15:$U$75,13,FALSE)</f>
        <v>0</v>
      </c>
      <c r="H148" s="269">
        <f t="shared" si="13"/>
        <v>0</v>
      </c>
      <c r="I148" s="248">
        <f>VLOOKUP($E148,'[3]Analysis Inputs'!$D$15:$U$75,14,FALSE)</f>
        <v>0</v>
      </c>
      <c r="J148" s="248">
        <f t="shared" si="14"/>
        <v>0</v>
      </c>
      <c r="K148" s="248">
        <f>VLOOKUP($E148,'[3]Analysis Inputs'!$D$15:$U$75,15,FALSE)</f>
        <v>0</v>
      </c>
      <c r="L148" s="248">
        <f t="shared" si="15"/>
        <v>0</v>
      </c>
      <c r="M148" s="248">
        <f>VLOOKUP($E148,'[3]Analysis Inputs'!$D$15:$U$75,16,FALSE)</f>
        <v>0</v>
      </c>
      <c r="N148" s="282">
        <f t="shared" si="16"/>
        <v>0</v>
      </c>
      <c r="O148" s="283" t="str">
        <f>VLOOKUP($E148,'[3]Analysis Inputs'!$D$15:$U$75,17,FALSE)</f>
        <v>NA</v>
      </c>
      <c r="P148" s="284" t="str">
        <f t="shared" si="17"/>
        <v>NA</v>
      </c>
      <c r="Q148" s="248" t="str">
        <f>VLOOKUP($E148,'[3]Analysis Inputs'!$D$15:$U$75,18,FALSE)</f>
        <v>NA</v>
      </c>
      <c r="R148" s="281" t="s">
        <v>102</v>
      </c>
      <c r="S148" s="271">
        <f t="shared" si="21"/>
        <v>0</v>
      </c>
    </row>
    <row r="149" spans="2:19" ht="12.75" customHeight="1" x14ac:dyDescent="0.2">
      <c r="B149" s="237">
        <f t="shared" si="18"/>
        <v>0</v>
      </c>
      <c r="C149" s="237">
        <f t="shared" si="19"/>
        <v>0</v>
      </c>
      <c r="D149">
        <f t="shared" si="20"/>
        <v>0</v>
      </c>
      <c r="E149" s="268" t="s">
        <v>139</v>
      </c>
      <c r="F149" s="248">
        <f>VLOOKUP($E149,'[3]Analysis Inputs'!$D$15:$U$75,10,FALSE)</f>
        <v>0</v>
      </c>
      <c r="G149" s="269">
        <f>VLOOKUP($E149,'[3]Analysis Inputs'!$D$15:$U$75,13,FALSE)</f>
        <v>0</v>
      </c>
      <c r="H149" s="269">
        <f t="shared" si="13"/>
        <v>0</v>
      </c>
      <c r="I149" s="248">
        <f>VLOOKUP($E149,'[3]Analysis Inputs'!$D$15:$U$75,14,FALSE)</f>
        <v>0</v>
      </c>
      <c r="J149" s="248">
        <f t="shared" si="14"/>
        <v>0</v>
      </c>
      <c r="K149" s="248">
        <f>VLOOKUP($E149,'[3]Analysis Inputs'!$D$15:$U$75,15,FALSE)</f>
        <v>0</v>
      </c>
      <c r="L149" s="248">
        <f t="shared" si="15"/>
        <v>0</v>
      </c>
      <c r="M149" s="248">
        <f>VLOOKUP($E149,'[3]Analysis Inputs'!$D$15:$U$75,16,FALSE)</f>
        <v>0</v>
      </c>
      <c r="N149" s="282">
        <f t="shared" si="16"/>
        <v>0</v>
      </c>
      <c r="O149" s="283" t="str">
        <f>VLOOKUP($E149,'[3]Analysis Inputs'!$D$15:$U$75,17,FALSE)</f>
        <v>NA</v>
      </c>
      <c r="P149" s="284" t="str">
        <f t="shared" si="17"/>
        <v>NA</v>
      </c>
      <c r="Q149" s="248" t="str">
        <f>VLOOKUP($E149,'[3]Analysis Inputs'!$D$15:$U$75,18,FALSE)</f>
        <v>NA</v>
      </c>
      <c r="R149" s="285" t="s">
        <v>102</v>
      </c>
      <c r="S149" s="271">
        <f t="shared" si="21"/>
        <v>0</v>
      </c>
    </row>
    <row r="150" spans="2:19" ht="12.75" customHeight="1" x14ac:dyDescent="0.2">
      <c r="B150" s="237">
        <f t="shared" si="18"/>
        <v>0</v>
      </c>
      <c r="C150" s="237">
        <f t="shared" si="19"/>
        <v>0</v>
      </c>
      <c r="D150">
        <f t="shared" si="20"/>
        <v>0</v>
      </c>
      <c r="E150" s="268" t="s">
        <v>140</v>
      </c>
      <c r="F150" s="248">
        <f>VLOOKUP($E150,'[3]Analysis Inputs'!$D$15:$U$75,10,FALSE)</f>
        <v>7800</v>
      </c>
      <c r="G150" s="269">
        <f>VLOOKUP($E150,'[3]Analysis Inputs'!$D$15:$U$75,13,FALSE)</f>
        <v>0</v>
      </c>
      <c r="H150" s="269">
        <f t="shared" si="13"/>
        <v>0</v>
      </c>
      <c r="I150" s="248" t="str">
        <f>VLOOKUP($E150,'[3]Analysis Inputs'!$D$15:$U$75,14,FALSE)</f>
        <v>NA</v>
      </c>
      <c r="J150" s="248" t="str">
        <f t="shared" si="14"/>
        <v>NA</v>
      </c>
      <c r="K150" s="248">
        <f>VLOOKUP($E150,'[3]Analysis Inputs'!$D$15:$U$75,15,FALSE)</f>
        <v>0</v>
      </c>
      <c r="L150" s="248">
        <f t="shared" si="15"/>
        <v>0</v>
      </c>
      <c r="M150" s="248">
        <f>VLOOKUP($E150,'[3]Analysis Inputs'!$D$15:$U$75,16,FALSE)</f>
        <v>0</v>
      </c>
      <c r="N150" s="282">
        <f t="shared" si="16"/>
        <v>0</v>
      </c>
      <c r="O150" s="283">
        <f>VLOOKUP($E150,'[3]Analysis Inputs'!$D$15:$U$75,17,FALSE)</f>
        <v>0</v>
      </c>
      <c r="P150" s="284">
        <f t="shared" si="17"/>
        <v>0</v>
      </c>
      <c r="Q150" s="248">
        <f>VLOOKUP($E150,'[3]Analysis Inputs'!$D$15:$U$75,18,FALSE)</f>
        <v>0</v>
      </c>
      <c r="R150" s="281">
        <f t="shared" ref="R150:R162" si="22">IF(AND(L21="NA",Q150&lt;&gt;0),"INPUT ERROR",IF(AND(L21="NA",Q150=0),"NA",+Q150*L21))</f>
        <v>0</v>
      </c>
      <c r="S150" s="271">
        <f t="shared" si="21"/>
        <v>0</v>
      </c>
    </row>
    <row r="151" spans="2:19" ht="12.75" customHeight="1" x14ac:dyDescent="0.2">
      <c r="B151" s="237">
        <f t="shared" si="18"/>
        <v>0</v>
      </c>
      <c r="C151" s="237">
        <f t="shared" si="19"/>
        <v>0</v>
      </c>
      <c r="D151">
        <f t="shared" si="20"/>
        <v>0</v>
      </c>
      <c r="E151" s="268" t="s">
        <v>141</v>
      </c>
      <c r="F151" s="248">
        <f>VLOOKUP($E151,'[3]Analysis Inputs'!$D$15:$U$75,10,FALSE)</f>
        <v>0</v>
      </c>
      <c r="G151" s="269">
        <f>VLOOKUP($E151,'[3]Analysis Inputs'!$D$15:$U$75,13,FALSE)</f>
        <v>0</v>
      </c>
      <c r="H151" s="269">
        <f t="shared" si="13"/>
        <v>0</v>
      </c>
      <c r="I151" s="248" t="str">
        <f>VLOOKUP($E151,'[3]Analysis Inputs'!$D$15:$U$75,14,FALSE)</f>
        <v>NA</v>
      </c>
      <c r="J151" s="248" t="str">
        <f t="shared" si="14"/>
        <v>NA</v>
      </c>
      <c r="K151" s="248">
        <f>VLOOKUP($E151,'[3]Analysis Inputs'!$D$15:$U$75,15,FALSE)</f>
        <v>0</v>
      </c>
      <c r="L151" s="248">
        <f t="shared" si="15"/>
        <v>0</v>
      </c>
      <c r="M151" s="248">
        <f>VLOOKUP($E151,'[3]Analysis Inputs'!$D$15:$U$75,16,FALSE)</f>
        <v>0</v>
      </c>
      <c r="N151" s="282">
        <f t="shared" si="16"/>
        <v>0</v>
      </c>
      <c r="O151" s="283">
        <f>VLOOKUP($E151,'[3]Analysis Inputs'!$D$15:$U$75,17,FALSE)</f>
        <v>0</v>
      </c>
      <c r="P151" s="284">
        <f t="shared" si="17"/>
        <v>0</v>
      </c>
      <c r="Q151" s="248">
        <f>VLOOKUP($E151,'[3]Analysis Inputs'!$D$15:$U$75,18,FALSE)</f>
        <v>0</v>
      </c>
      <c r="R151" s="281">
        <f t="shared" si="22"/>
        <v>0</v>
      </c>
      <c r="S151" s="271">
        <f t="shared" si="21"/>
        <v>0</v>
      </c>
    </row>
    <row r="152" spans="2:19" ht="12.75" customHeight="1" x14ac:dyDescent="0.2">
      <c r="B152" s="237">
        <f t="shared" si="18"/>
        <v>0</v>
      </c>
      <c r="C152" s="237">
        <f t="shared" si="19"/>
        <v>0</v>
      </c>
      <c r="D152">
        <f t="shared" si="20"/>
        <v>0</v>
      </c>
      <c r="E152" s="268" t="s">
        <v>142</v>
      </c>
      <c r="F152" s="248">
        <f>VLOOKUP($E152,'[3]Analysis Inputs'!$D$15:$U$75,10,FALSE)</f>
        <v>4000</v>
      </c>
      <c r="G152" s="269">
        <f>VLOOKUP($E152,'[3]Analysis Inputs'!$D$15:$U$75,13,FALSE)</f>
        <v>0</v>
      </c>
      <c r="H152" s="269">
        <f t="shared" si="13"/>
        <v>0</v>
      </c>
      <c r="I152" s="248" t="str">
        <f>VLOOKUP($E152,'[3]Analysis Inputs'!$D$15:$U$75,14,FALSE)</f>
        <v>NA</v>
      </c>
      <c r="J152" s="248" t="str">
        <f t="shared" si="14"/>
        <v>NA</v>
      </c>
      <c r="K152" s="248">
        <f>VLOOKUP($E152,'[3]Analysis Inputs'!$D$15:$U$75,15,FALSE)</f>
        <v>0</v>
      </c>
      <c r="L152" s="248">
        <f t="shared" si="15"/>
        <v>0</v>
      </c>
      <c r="M152" s="248">
        <f>VLOOKUP($E152,'[3]Analysis Inputs'!$D$15:$U$75,16,FALSE)</f>
        <v>0</v>
      </c>
      <c r="N152" s="282">
        <f t="shared" si="16"/>
        <v>0</v>
      </c>
      <c r="O152" s="283">
        <f>VLOOKUP($E152,'[3]Analysis Inputs'!$D$15:$U$75,17,FALSE)</f>
        <v>0</v>
      </c>
      <c r="P152" s="284">
        <f t="shared" si="17"/>
        <v>0</v>
      </c>
      <c r="Q152" s="248">
        <f>VLOOKUP($E152,'[3]Analysis Inputs'!$D$15:$U$75,18,FALSE)</f>
        <v>0</v>
      </c>
      <c r="R152" s="281">
        <f t="shared" si="22"/>
        <v>0</v>
      </c>
      <c r="S152" s="271">
        <f t="shared" si="21"/>
        <v>0</v>
      </c>
    </row>
    <row r="153" spans="2:19" ht="12.75" customHeight="1" x14ac:dyDescent="0.2">
      <c r="B153" s="237">
        <f t="shared" si="18"/>
        <v>0</v>
      </c>
      <c r="C153" s="237">
        <f t="shared" si="19"/>
        <v>0</v>
      </c>
      <c r="D153">
        <f t="shared" si="20"/>
        <v>0</v>
      </c>
      <c r="E153" s="268" t="s">
        <v>143</v>
      </c>
      <c r="F153" s="248">
        <f>VLOOKUP($E153,'[3]Analysis Inputs'!$D$15:$U$75,10,FALSE)</f>
        <v>0</v>
      </c>
      <c r="G153" s="269">
        <f>VLOOKUP($E153,'[3]Analysis Inputs'!$D$15:$U$75,13,FALSE)</f>
        <v>0</v>
      </c>
      <c r="H153" s="269">
        <f t="shared" si="13"/>
        <v>0</v>
      </c>
      <c r="I153" s="248" t="str">
        <f>VLOOKUP($E153,'[3]Analysis Inputs'!$D$15:$U$75,14,FALSE)</f>
        <v>NA</v>
      </c>
      <c r="J153" s="248" t="str">
        <f t="shared" si="14"/>
        <v>NA</v>
      </c>
      <c r="K153" s="248">
        <f>VLOOKUP($E153,'[3]Analysis Inputs'!$D$15:$U$75,15,FALSE)</f>
        <v>0</v>
      </c>
      <c r="L153" s="248">
        <f t="shared" si="15"/>
        <v>0</v>
      </c>
      <c r="M153" s="248">
        <f>VLOOKUP($E153,'[3]Analysis Inputs'!$D$15:$U$75,16,FALSE)</f>
        <v>0</v>
      </c>
      <c r="N153" s="282">
        <f t="shared" si="16"/>
        <v>0</v>
      </c>
      <c r="O153" s="283">
        <f>VLOOKUP($E153,'[3]Analysis Inputs'!$D$15:$U$75,17,FALSE)</f>
        <v>0</v>
      </c>
      <c r="P153" s="284">
        <f t="shared" si="17"/>
        <v>0</v>
      </c>
      <c r="Q153" s="248">
        <f>VLOOKUP($E153,'[3]Analysis Inputs'!$D$15:$U$75,18,FALSE)</f>
        <v>0</v>
      </c>
      <c r="R153" s="281">
        <f t="shared" si="22"/>
        <v>0</v>
      </c>
      <c r="S153" s="271">
        <f t="shared" si="21"/>
        <v>0</v>
      </c>
    </row>
    <row r="154" spans="2:19" ht="12.75" customHeight="1" x14ac:dyDescent="0.2">
      <c r="B154" s="237">
        <f t="shared" si="18"/>
        <v>0</v>
      </c>
      <c r="C154" s="237">
        <f t="shared" si="19"/>
        <v>0</v>
      </c>
      <c r="D154">
        <f t="shared" si="20"/>
        <v>0</v>
      </c>
      <c r="E154" s="268" t="s">
        <v>144</v>
      </c>
      <c r="F154" s="248">
        <f>VLOOKUP($E154,'[3]Analysis Inputs'!$D$15:$U$75,10,FALSE)</f>
        <v>0</v>
      </c>
      <c r="G154" s="269">
        <f>VLOOKUP($E154,'[3]Analysis Inputs'!$D$15:$U$75,13,FALSE)</f>
        <v>0</v>
      </c>
      <c r="H154" s="269">
        <f t="shared" si="13"/>
        <v>0</v>
      </c>
      <c r="I154" s="248" t="str">
        <f>VLOOKUP($E154,'[3]Analysis Inputs'!$D$15:$U$75,14,FALSE)</f>
        <v>NA</v>
      </c>
      <c r="J154" s="248" t="str">
        <f t="shared" si="14"/>
        <v>NA</v>
      </c>
      <c r="K154" s="248">
        <f>VLOOKUP($E154,'[3]Analysis Inputs'!$D$15:$U$75,15,FALSE)</f>
        <v>0</v>
      </c>
      <c r="L154" s="248">
        <f t="shared" si="15"/>
        <v>0</v>
      </c>
      <c r="M154" s="248">
        <f>VLOOKUP($E154,'[3]Analysis Inputs'!$D$15:$U$75,16,FALSE)</f>
        <v>0</v>
      </c>
      <c r="N154" s="282">
        <f t="shared" si="16"/>
        <v>0</v>
      </c>
      <c r="O154" s="283">
        <f>VLOOKUP($E154,'[3]Analysis Inputs'!$D$15:$U$75,17,FALSE)</f>
        <v>0</v>
      </c>
      <c r="P154" s="284">
        <f t="shared" si="17"/>
        <v>0</v>
      </c>
      <c r="Q154" s="248">
        <f>VLOOKUP($E154,'[3]Analysis Inputs'!$D$15:$U$75,18,FALSE)</f>
        <v>0</v>
      </c>
      <c r="R154" s="281">
        <f t="shared" si="22"/>
        <v>0</v>
      </c>
      <c r="S154" s="271">
        <f t="shared" si="21"/>
        <v>0</v>
      </c>
    </row>
    <row r="155" spans="2:19" ht="12.75" customHeight="1" x14ac:dyDescent="0.2">
      <c r="B155" s="237">
        <f t="shared" si="18"/>
        <v>0</v>
      </c>
      <c r="C155" s="237">
        <f t="shared" si="19"/>
        <v>0</v>
      </c>
      <c r="D155">
        <f t="shared" si="20"/>
        <v>0</v>
      </c>
      <c r="E155" s="268" t="s">
        <v>145</v>
      </c>
      <c r="F155" s="248">
        <f>VLOOKUP($E155,'[3]Analysis Inputs'!$D$15:$U$75,10,FALSE)</f>
        <v>15650</v>
      </c>
      <c r="G155" s="269">
        <f>VLOOKUP($E155,'[3]Analysis Inputs'!$D$15:$U$75,13,FALSE)</f>
        <v>0</v>
      </c>
      <c r="H155" s="269">
        <f t="shared" si="13"/>
        <v>0</v>
      </c>
      <c r="I155" s="248" t="str">
        <f>VLOOKUP($E155,'[3]Analysis Inputs'!$D$15:$U$75,14,FALSE)</f>
        <v>NA</v>
      </c>
      <c r="J155" s="248" t="str">
        <f t="shared" si="14"/>
        <v>NA</v>
      </c>
      <c r="K155" s="248">
        <f>VLOOKUP($E155,'[3]Analysis Inputs'!$D$15:$U$75,15,FALSE)</f>
        <v>0</v>
      </c>
      <c r="L155" s="248">
        <f t="shared" si="15"/>
        <v>0</v>
      </c>
      <c r="M155" s="248">
        <f>VLOOKUP($E155,'[3]Analysis Inputs'!$D$15:$U$75,16,FALSE)</f>
        <v>0</v>
      </c>
      <c r="N155" s="282">
        <f t="shared" si="16"/>
        <v>0</v>
      </c>
      <c r="O155" s="283">
        <f>VLOOKUP($E155,'[3]Analysis Inputs'!$D$15:$U$75,17,FALSE)</f>
        <v>0</v>
      </c>
      <c r="P155" s="284">
        <f t="shared" si="17"/>
        <v>0</v>
      </c>
      <c r="Q155" s="248">
        <f>VLOOKUP($E155,'[3]Analysis Inputs'!$D$15:$U$75,18,FALSE)</f>
        <v>0</v>
      </c>
      <c r="R155" s="281">
        <f t="shared" si="22"/>
        <v>0</v>
      </c>
      <c r="S155" s="271">
        <f t="shared" si="21"/>
        <v>0</v>
      </c>
    </row>
    <row r="156" spans="2:19" ht="12.75" customHeight="1" x14ac:dyDescent="0.2">
      <c r="B156" s="237">
        <f t="shared" si="18"/>
        <v>0</v>
      </c>
      <c r="C156" s="237">
        <f t="shared" si="19"/>
        <v>0</v>
      </c>
      <c r="D156">
        <f t="shared" si="20"/>
        <v>0</v>
      </c>
      <c r="E156" s="268" t="s">
        <v>146</v>
      </c>
      <c r="F156" s="248">
        <f>VLOOKUP($E156,'[3]Analysis Inputs'!$D$15:$U$75,10,FALSE)</f>
        <v>0</v>
      </c>
      <c r="G156" s="269">
        <f>VLOOKUP($E156,'[3]Analysis Inputs'!$D$15:$U$75,13,FALSE)</f>
        <v>0</v>
      </c>
      <c r="H156" s="269">
        <f t="shared" si="13"/>
        <v>0</v>
      </c>
      <c r="I156" s="248" t="str">
        <f>VLOOKUP($E156,'[3]Analysis Inputs'!$D$15:$U$75,14,FALSE)</f>
        <v>NA</v>
      </c>
      <c r="J156" s="248" t="str">
        <f t="shared" si="14"/>
        <v>NA</v>
      </c>
      <c r="K156" s="248">
        <f>VLOOKUP($E156,'[3]Analysis Inputs'!$D$15:$U$75,15,FALSE)</f>
        <v>0</v>
      </c>
      <c r="L156" s="248">
        <f t="shared" si="15"/>
        <v>0</v>
      </c>
      <c r="M156" s="248">
        <f>VLOOKUP($E156,'[3]Analysis Inputs'!$D$15:$U$75,16,FALSE)</f>
        <v>0</v>
      </c>
      <c r="N156" s="282">
        <f t="shared" si="16"/>
        <v>0</v>
      </c>
      <c r="O156" s="283">
        <f>VLOOKUP($E156,'[3]Analysis Inputs'!$D$15:$U$75,17,FALSE)</f>
        <v>0</v>
      </c>
      <c r="P156" s="284">
        <f t="shared" si="17"/>
        <v>0</v>
      </c>
      <c r="Q156" s="248">
        <f>VLOOKUP($E156,'[3]Analysis Inputs'!$D$15:$U$75,18,FALSE)</f>
        <v>0</v>
      </c>
      <c r="R156" s="281">
        <f t="shared" si="22"/>
        <v>0</v>
      </c>
      <c r="S156" s="271">
        <f t="shared" si="21"/>
        <v>0</v>
      </c>
    </row>
    <row r="157" spans="2:19" ht="12.75" customHeight="1" x14ac:dyDescent="0.2">
      <c r="B157" s="237">
        <f t="shared" si="18"/>
        <v>0</v>
      </c>
      <c r="C157" s="237">
        <f t="shared" si="19"/>
        <v>0</v>
      </c>
      <c r="D157">
        <f t="shared" si="20"/>
        <v>0</v>
      </c>
      <c r="E157" s="268" t="s">
        <v>147</v>
      </c>
      <c r="F157" s="248">
        <f>VLOOKUP($E157,'[3]Analysis Inputs'!$D$15:$U$75,10,FALSE)</f>
        <v>37150</v>
      </c>
      <c r="G157" s="269">
        <f>VLOOKUP($E157,'[3]Analysis Inputs'!$D$15:$U$75,13,FALSE)</f>
        <v>0</v>
      </c>
      <c r="H157" s="269">
        <f t="shared" si="13"/>
        <v>0</v>
      </c>
      <c r="I157" s="248" t="str">
        <f>VLOOKUP($E157,'[3]Analysis Inputs'!$D$15:$U$75,14,FALSE)</f>
        <v>NA</v>
      </c>
      <c r="J157" s="248" t="str">
        <f t="shared" si="14"/>
        <v>NA</v>
      </c>
      <c r="K157" s="248">
        <f>VLOOKUP($E157,'[3]Analysis Inputs'!$D$15:$U$75,15,FALSE)</f>
        <v>0</v>
      </c>
      <c r="L157" s="248">
        <f t="shared" si="15"/>
        <v>0</v>
      </c>
      <c r="M157" s="248">
        <f>VLOOKUP($E157,'[3]Analysis Inputs'!$D$15:$U$75,16,FALSE)</f>
        <v>0</v>
      </c>
      <c r="N157" s="282">
        <f t="shared" si="16"/>
        <v>0</v>
      </c>
      <c r="O157" s="283">
        <f>VLOOKUP($E157,'[3]Analysis Inputs'!$D$15:$U$75,17,FALSE)</f>
        <v>0</v>
      </c>
      <c r="P157" s="284">
        <f t="shared" si="17"/>
        <v>0</v>
      </c>
      <c r="Q157" s="248">
        <f>VLOOKUP($E157,'[3]Analysis Inputs'!$D$15:$U$75,18,FALSE)</f>
        <v>0</v>
      </c>
      <c r="R157" s="281">
        <f t="shared" si="22"/>
        <v>0</v>
      </c>
      <c r="S157" s="271">
        <f t="shared" si="21"/>
        <v>0</v>
      </c>
    </row>
    <row r="158" spans="2:19" ht="12.75" customHeight="1" x14ac:dyDescent="0.2">
      <c r="B158" s="237">
        <f t="shared" si="18"/>
        <v>0</v>
      </c>
      <c r="C158" s="237">
        <f t="shared" si="19"/>
        <v>0</v>
      </c>
      <c r="D158">
        <f t="shared" si="20"/>
        <v>0</v>
      </c>
      <c r="E158" s="268" t="s">
        <v>148</v>
      </c>
      <c r="F158" s="248">
        <f>VLOOKUP($E158,'[3]Analysis Inputs'!$D$15:$U$75,10,FALSE)</f>
        <v>0</v>
      </c>
      <c r="G158" s="269">
        <f>VLOOKUP($E158,'[3]Analysis Inputs'!$D$15:$U$75,13,FALSE)</f>
        <v>0</v>
      </c>
      <c r="H158" s="269">
        <f t="shared" si="13"/>
        <v>0</v>
      </c>
      <c r="I158" s="248" t="str">
        <f>VLOOKUP($E158,'[3]Analysis Inputs'!$D$15:$U$75,14,FALSE)</f>
        <v>NA</v>
      </c>
      <c r="J158" s="248" t="str">
        <f t="shared" si="14"/>
        <v>NA</v>
      </c>
      <c r="K158" s="248">
        <f>VLOOKUP($E158,'[3]Analysis Inputs'!$D$15:$U$75,15,FALSE)</f>
        <v>0</v>
      </c>
      <c r="L158" s="248">
        <f t="shared" si="15"/>
        <v>0</v>
      </c>
      <c r="M158" s="248">
        <f>VLOOKUP($E158,'[3]Analysis Inputs'!$D$15:$U$75,16,FALSE)</f>
        <v>0</v>
      </c>
      <c r="N158" s="282">
        <f t="shared" si="16"/>
        <v>0</v>
      </c>
      <c r="O158" s="283">
        <f>VLOOKUP($E158,'[3]Analysis Inputs'!$D$15:$U$75,17,FALSE)</f>
        <v>0</v>
      </c>
      <c r="P158" s="284">
        <f t="shared" si="17"/>
        <v>0</v>
      </c>
      <c r="Q158" s="248">
        <f>VLOOKUP($E158,'[3]Analysis Inputs'!$D$15:$U$75,18,FALSE)</f>
        <v>0</v>
      </c>
      <c r="R158" s="281">
        <f t="shared" si="22"/>
        <v>0</v>
      </c>
      <c r="S158" s="271">
        <f t="shared" si="21"/>
        <v>0</v>
      </c>
    </row>
    <row r="159" spans="2:19" ht="12.75" customHeight="1" x14ac:dyDescent="0.2">
      <c r="B159" s="237">
        <f t="shared" si="18"/>
        <v>0</v>
      </c>
      <c r="C159" s="237">
        <f t="shared" si="19"/>
        <v>0</v>
      </c>
      <c r="D159">
        <f t="shared" si="20"/>
        <v>0</v>
      </c>
      <c r="E159" s="268" t="s">
        <v>149</v>
      </c>
      <c r="F159" s="248">
        <f>VLOOKUP($E159,'[3]Analysis Inputs'!$D$15:$U$75,10,FALSE)</f>
        <v>0</v>
      </c>
      <c r="G159" s="269" t="str">
        <f>VLOOKUP($E159,'[3]Analysis Inputs'!$D$15:$U$75,13,FALSE)</f>
        <v>NA</v>
      </c>
      <c r="H159" s="269" t="str">
        <f t="shared" si="13"/>
        <v>NA</v>
      </c>
      <c r="I159" s="248" t="str">
        <f>VLOOKUP($E159,'[3]Analysis Inputs'!$D$15:$U$75,14,FALSE)</f>
        <v>NA</v>
      </c>
      <c r="J159" s="248" t="str">
        <f t="shared" si="14"/>
        <v>NA</v>
      </c>
      <c r="K159" s="248">
        <f>VLOOKUP($E159,'[3]Analysis Inputs'!$D$15:$U$75,15,FALSE)</f>
        <v>0</v>
      </c>
      <c r="L159" s="248">
        <f t="shared" si="15"/>
        <v>0</v>
      </c>
      <c r="M159" s="248">
        <f>VLOOKUP($E159,'[3]Analysis Inputs'!$D$15:$U$75,16,FALSE)</f>
        <v>0</v>
      </c>
      <c r="N159" s="282">
        <f t="shared" si="16"/>
        <v>0</v>
      </c>
      <c r="O159" s="283">
        <f>VLOOKUP($E159,'[3]Analysis Inputs'!$D$15:$U$75,17,FALSE)</f>
        <v>0</v>
      </c>
      <c r="P159" s="284">
        <f t="shared" si="17"/>
        <v>0</v>
      </c>
      <c r="Q159" s="248">
        <f>VLOOKUP($E159,'[3]Analysis Inputs'!$D$15:$U$75,18,FALSE)</f>
        <v>0</v>
      </c>
      <c r="R159" s="285">
        <f t="shared" si="22"/>
        <v>0</v>
      </c>
      <c r="S159" s="271">
        <f t="shared" si="21"/>
        <v>0</v>
      </c>
    </row>
    <row r="160" spans="2:19" ht="12.75" customHeight="1" x14ac:dyDescent="0.2">
      <c r="B160" s="237">
        <f t="shared" si="18"/>
        <v>0</v>
      </c>
      <c r="C160" s="237">
        <f t="shared" si="19"/>
        <v>0</v>
      </c>
      <c r="D160">
        <f t="shared" si="20"/>
        <v>0</v>
      </c>
      <c r="E160" s="268" t="s">
        <v>150</v>
      </c>
      <c r="F160" s="248">
        <f>VLOOKUP($E160,'[3]Analysis Inputs'!$D$15:$U$75,10,FALSE)</f>
        <v>700</v>
      </c>
      <c r="G160" s="269" t="str">
        <f>VLOOKUP($E160,'[3]Analysis Inputs'!$D$15:$U$75,13,FALSE)</f>
        <v>NA</v>
      </c>
      <c r="H160" s="269" t="str">
        <f t="shared" si="13"/>
        <v>NA</v>
      </c>
      <c r="I160" s="248" t="str">
        <f>VLOOKUP($E160,'[3]Analysis Inputs'!$D$15:$U$75,14,FALSE)</f>
        <v>NA</v>
      </c>
      <c r="J160" s="248" t="str">
        <f t="shared" si="14"/>
        <v>NA</v>
      </c>
      <c r="K160" s="248">
        <f>VLOOKUP($E160,'[3]Analysis Inputs'!$D$15:$U$75,15,FALSE)</f>
        <v>0</v>
      </c>
      <c r="L160" s="248">
        <f t="shared" si="15"/>
        <v>0</v>
      </c>
      <c r="M160" s="248">
        <f>VLOOKUP($E160,'[3]Analysis Inputs'!$D$15:$U$75,16,FALSE)</f>
        <v>0</v>
      </c>
      <c r="N160" s="282">
        <f t="shared" si="16"/>
        <v>0</v>
      </c>
      <c r="O160" s="283">
        <f>VLOOKUP($E160,'[3]Analysis Inputs'!$D$15:$U$75,17,FALSE)</f>
        <v>0</v>
      </c>
      <c r="P160" s="284">
        <f t="shared" si="17"/>
        <v>0</v>
      </c>
      <c r="Q160" s="248">
        <f>VLOOKUP($E160,'[3]Analysis Inputs'!$D$15:$U$75,18,FALSE)</f>
        <v>0</v>
      </c>
      <c r="R160" s="285">
        <f t="shared" si="22"/>
        <v>0</v>
      </c>
      <c r="S160" s="271">
        <f t="shared" si="21"/>
        <v>0</v>
      </c>
    </row>
    <row r="161" spans="2:19" ht="12.75" customHeight="1" x14ac:dyDescent="0.2">
      <c r="B161" s="237">
        <f t="shared" si="18"/>
        <v>0</v>
      </c>
      <c r="C161" s="237">
        <f t="shared" si="19"/>
        <v>0</v>
      </c>
      <c r="D161">
        <f t="shared" si="20"/>
        <v>0</v>
      </c>
      <c r="E161" s="268" t="s">
        <v>151</v>
      </c>
      <c r="F161" s="248">
        <f>VLOOKUP($E161,'[3]Analysis Inputs'!$D$15:$U$75,10,FALSE)</f>
        <v>0</v>
      </c>
      <c r="G161" s="269" t="str">
        <f>VLOOKUP($E161,'[3]Analysis Inputs'!$D$15:$U$75,13,FALSE)</f>
        <v>NA</v>
      </c>
      <c r="H161" s="269" t="str">
        <f t="shared" si="13"/>
        <v>NA</v>
      </c>
      <c r="I161" s="248" t="str">
        <f>VLOOKUP($E161,'[3]Analysis Inputs'!$D$15:$U$75,14,FALSE)</f>
        <v>NA</v>
      </c>
      <c r="J161" s="248" t="str">
        <f t="shared" si="14"/>
        <v>NA</v>
      </c>
      <c r="K161" s="248">
        <f>VLOOKUP($E161,'[3]Analysis Inputs'!$D$15:$U$75,15,FALSE)</f>
        <v>0</v>
      </c>
      <c r="L161" s="248">
        <f t="shared" si="15"/>
        <v>0</v>
      </c>
      <c r="M161" s="248">
        <f>VLOOKUP($E161,'[3]Analysis Inputs'!$D$15:$U$75,16,FALSE)</f>
        <v>0</v>
      </c>
      <c r="N161" s="282">
        <f t="shared" si="16"/>
        <v>0</v>
      </c>
      <c r="O161" s="283">
        <f>VLOOKUP($E161,'[3]Analysis Inputs'!$D$15:$U$75,17,FALSE)</f>
        <v>0</v>
      </c>
      <c r="P161" s="284">
        <f t="shared" si="17"/>
        <v>0</v>
      </c>
      <c r="Q161" s="248">
        <f>VLOOKUP($E161,'[3]Analysis Inputs'!$D$15:$U$75,18,FALSE)</f>
        <v>0</v>
      </c>
      <c r="R161" s="285">
        <f t="shared" si="22"/>
        <v>0</v>
      </c>
      <c r="S161" s="271">
        <f t="shared" si="21"/>
        <v>0</v>
      </c>
    </row>
    <row r="162" spans="2:19" ht="12.75" customHeight="1" x14ac:dyDescent="0.2">
      <c r="B162" s="237">
        <f t="shared" si="18"/>
        <v>0</v>
      </c>
      <c r="C162" s="237">
        <f t="shared" si="19"/>
        <v>0</v>
      </c>
      <c r="D162">
        <f t="shared" si="20"/>
        <v>0</v>
      </c>
      <c r="E162" s="268" t="s">
        <v>152</v>
      </c>
      <c r="F162" s="248">
        <f>VLOOKUP($E162,'[3]Analysis Inputs'!$D$15:$U$75,10,FALSE)</f>
        <v>0</v>
      </c>
      <c r="G162" s="269" t="str">
        <f>VLOOKUP($E162,'[3]Analysis Inputs'!$D$15:$U$75,13,FALSE)</f>
        <v>NA</v>
      </c>
      <c r="H162" s="269" t="str">
        <f t="shared" si="13"/>
        <v>NA</v>
      </c>
      <c r="I162" s="248" t="str">
        <f>VLOOKUP($E162,'[3]Analysis Inputs'!$D$15:$U$75,14,FALSE)</f>
        <v>NA</v>
      </c>
      <c r="J162" s="248" t="str">
        <f t="shared" si="14"/>
        <v>NA</v>
      </c>
      <c r="K162" s="248">
        <f>VLOOKUP($E162,'[3]Analysis Inputs'!$D$15:$U$75,15,FALSE)</f>
        <v>0</v>
      </c>
      <c r="L162" s="248">
        <f t="shared" si="15"/>
        <v>0</v>
      </c>
      <c r="M162" s="248">
        <f>VLOOKUP($E162,'[3]Analysis Inputs'!$D$15:$U$75,16,FALSE)</f>
        <v>0</v>
      </c>
      <c r="N162" s="282">
        <f t="shared" si="16"/>
        <v>0</v>
      </c>
      <c r="O162" s="283">
        <f>VLOOKUP($E162,'[3]Analysis Inputs'!$D$15:$U$75,17,FALSE)</f>
        <v>0</v>
      </c>
      <c r="P162" s="284">
        <f t="shared" si="17"/>
        <v>0</v>
      </c>
      <c r="Q162" s="248">
        <f>VLOOKUP($E162,'[3]Analysis Inputs'!$D$15:$U$75,18,FALSE)</f>
        <v>0</v>
      </c>
      <c r="R162" s="285">
        <f t="shared" si="22"/>
        <v>0</v>
      </c>
      <c r="S162" s="271">
        <f t="shared" si="21"/>
        <v>0</v>
      </c>
    </row>
    <row r="163" spans="2:19" ht="12.75" customHeight="1" x14ac:dyDescent="0.2">
      <c r="B163" s="237">
        <f t="shared" si="18"/>
        <v>0</v>
      </c>
      <c r="C163" s="237">
        <f t="shared" si="19"/>
        <v>0</v>
      </c>
      <c r="D163">
        <f t="shared" si="20"/>
        <v>0</v>
      </c>
      <c r="E163" s="268" t="s">
        <v>153</v>
      </c>
      <c r="F163" s="248">
        <f>VLOOKUP($E163,'[3]Analysis Inputs'!$D$15:$U$75,10,FALSE)</f>
        <v>0</v>
      </c>
      <c r="G163" s="269">
        <f>VLOOKUP($E163,'[3]Analysis Inputs'!$D$15:$U$75,13,FALSE)</f>
        <v>0</v>
      </c>
      <c r="H163" s="269">
        <f t="shared" si="13"/>
        <v>0</v>
      </c>
      <c r="I163" s="248">
        <f>VLOOKUP($E163,'[3]Analysis Inputs'!$D$15:$U$75,14,FALSE)</f>
        <v>0</v>
      </c>
      <c r="J163" s="248">
        <f t="shared" si="14"/>
        <v>0</v>
      </c>
      <c r="K163" s="248">
        <f>VLOOKUP($E163,'[3]Analysis Inputs'!$D$15:$U$75,15,FALSE)</f>
        <v>0</v>
      </c>
      <c r="L163" s="248">
        <f t="shared" si="15"/>
        <v>0</v>
      </c>
      <c r="M163" s="248">
        <f>VLOOKUP($E163,'[3]Analysis Inputs'!$D$15:$U$75,16,FALSE)</f>
        <v>0</v>
      </c>
      <c r="N163" s="282">
        <f t="shared" si="16"/>
        <v>0</v>
      </c>
      <c r="O163" s="283" t="str">
        <f>VLOOKUP($E163,'[3]Analysis Inputs'!$D$15:$U$75,17,FALSE)</f>
        <v>NA</v>
      </c>
      <c r="P163" s="284" t="str">
        <f t="shared" si="17"/>
        <v>NA</v>
      </c>
      <c r="Q163" s="248" t="str">
        <f>VLOOKUP($E163,'[3]Analysis Inputs'!$D$15:$U$75,18,FALSE)</f>
        <v>NA</v>
      </c>
      <c r="R163" s="285" t="s">
        <v>102</v>
      </c>
      <c r="S163" s="271">
        <f t="shared" si="21"/>
        <v>0</v>
      </c>
    </row>
    <row r="164" spans="2:19" ht="12.75" customHeight="1" x14ac:dyDescent="0.2">
      <c r="B164" s="237">
        <f t="shared" si="18"/>
        <v>0</v>
      </c>
      <c r="C164" s="237">
        <f t="shared" si="19"/>
        <v>0</v>
      </c>
      <c r="D164">
        <f t="shared" si="20"/>
        <v>0</v>
      </c>
      <c r="E164" s="268" t="s">
        <v>154</v>
      </c>
      <c r="F164" s="248">
        <f>VLOOKUP($E164,'[3]Analysis Inputs'!$D$15:$U$75,10,FALSE)</f>
        <v>0</v>
      </c>
      <c r="G164" s="269">
        <f>VLOOKUP($E164,'[3]Analysis Inputs'!$D$15:$U$75,13,FALSE)</f>
        <v>0</v>
      </c>
      <c r="H164" s="269">
        <f t="shared" si="13"/>
        <v>0</v>
      </c>
      <c r="I164" s="248" t="str">
        <f>VLOOKUP($E164,'[3]Analysis Inputs'!$D$15:$U$75,14,FALSE)</f>
        <v>NA</v>
      </c>
      <c r="J164" s="248" t="str">
        <f t="shared" si="14"/>
        <v>NA</v>
      </c>
      <c r="K164" s="248">
        <f>VLOOKUP($E164,'[3]Analysis Inputs'!$D$15:$U$75,15,FALSE)</f>
        <v>0</v>
      </c>
      <c r="L164" s="248">
        <f t="shared" si="15"/>
        <v>0</v>
      </c>
      <c r="M164" s="248">
        <f>VLOOKUP($E164,'[3]Analysis Inputs'!$D$15:$U$75,16,FALSE)</f>
        <v>0</v>
      </c>
      <c r="N164" s="282">
        <f t="shared" si="16"/>
        <v>0</v>
      </c>
      <c r="O164" s="283" t="str">
        <f>VLOOKUP($E164,'[3]Analysis Inputs'!$D$15:$U$75,17,FALSE)</f>
        <v>NA</v>
      </c>
      <c r="P164" s="284" t="str">
        <f t="shared" si="17"/>
        <v>NA</v>
      </c>
      <c r="Q164" s="248" t="str">
        <f>VLOOKUP($E164,'[3]Analysis Inputs'!$D$15:$U$75,18,FALSE)</f>
        <v>NA</v>
      </c>
      <c r="R164" s="285" t="s">
        <v>102</v>
      </c>
      <c r="S164" s="271">
        <f t="shared" si="21"/>
        <v>0</v>
      </c>
    </row>
    <row r="165" spans="2:19" ht="12.75" customHeight="1" x14ac:dyDescent="0.2">
      <c r="B165" s="237">
        <f t="shared" si="18"/>
        <v>0</v>
      </c>
      <c r="C165" s="237">
        <f t="shared" si="19"/>
        <v>0</v>
      </c>
      <c r="D165">
        <f t="shared" si="20"/>
        <v>0</v>
      </c>
      <c r="E165" s="268" t="s">
        <v>155</v>
      </c>
      <c r="F165" s="248">
        <f>VLOOKUP($E165,'[3]Analysis Inputs'!$D$15:$U$75,10,FALSE)</f>
        <v>0</v>
      </c>
      <c r="G165" s="269">
        <f>VLOOKUP($E165,'[3]Analysis Inputs'!$D$15:$U$75,13,FALSE)</f>
        <v>0</v>
      </c>
      <c r="H165" s="269">
        <f t="shared" si="13"/>
        <v>0</v>
      </c>
      <c r="I165" s="248">
        <f>VLOOKUP($E165,'[3]Analysis Inputs'!$D$15:$U$75,14,FALSE)</f>
        <v>0</v>
      </c>
      <c r="J165" s="248">
        <f t="shared" si="14"/>
        <v>0</v>
      </c>
      <c r="K165" s="248">
        <f>VLOOKUP($E165,'[3]Analysis Inputs'!$D$15:$U$75,15,FALSE)</f>
        <v>0</v>
      </c>
      <c r="L165" s="248">
        <f t="shared" si="15"/>
        <v>0</v>
      </c>
      <c r="M165" s="248">
        <f>VLOOKUP($E165,'[3]Analysis Inputs'!$D$15:$U$75,16,FALSE)</f>
        <v>0</v>
      </c>
      <c r="N165" s="282">
        <f t="shared" si="16"/>
        <v>0</v>
      </c>
      <c r="O165" s="283" t="str">
        <f>VLOOKUP($E165,'[3]Analysis Inputs'!$D$15:$U$75,17,FALSE)</f>
        <v>NA</v>
      </c>
      <c r="P165" s="284" t="str">
        <f t="shared" si="17"/>
        <v>NA</v>
      </c>
      <c r="Q165" s="248" t="str">
        <f>VLOOKUP($E165,'[3]Analysis Inputs'!$D$15:$U$75,18,FALSE)</f>
        <v>NA</v>
      </c>
      <c r="R165" s="285" t="s">
        <v>102</v>
      </c>
      <c r="S165" s="271">
        <f t="shared" si="21"/>
        <v>0</v>
      </c>
    </row>
    <row r="166" spans="2:19" ht="12.75" customHeight="1" x14ac:dyDescent="0.2">
      <c r="B166" s="237">
        <f t="shared" si="18"/>
        <v>0</v>
      </c>
      <c r="C166" s="237">
        <f t="shared" si="19"/>
        <v>0</v>
      </c>
      <c r="D166">
        <f t="shared" si="20"/>
        <v>0</v>
      </c>
      <c r="E166" s="268" t="s">
        <v>156</v>
      </c>
      <c r="F166" s="248">
        <f>VLOOKUP($E166,'[3]Analysis Inputs'!$D$15:$U$75,10,FALSE)</f>
        <v>0</v>
      </c>
      <c r="G166" s="269">
        <f>VLOOKUP($E166,'[3]Analysis Inputs'!$D$15:$U$75,13,FALSE)</f>
        <v>0</v>
      </c>
      <c r="H166" s="269">
        <f t="shared" si="13"/>
        <v>0</v>
      </c>
      <c r="I166" s="248" t="str">
        <f>VLOOKUP($E166,'[3]Analysis Inputs'!$D$15:$U$75,14,FALSE)</f>
        <v>NA</v>
      </c>
      <c r="J166" s="248" t="str">
        <f t="shared" si="14"/>
        <v>NA</v>
      </c>
      <c r="K166" s="248">
        <f>VLOOKUP($E166,'[3]Analysis Inputs'!$D$15:$U$75,15,FALSE)</f>
        <v>0</v>
      </c>
      <c r="L166" s="248">
        <f t="shared" si="15"/>
        <v>0</v>
      </c>
      <c r="M166" s="248">
        <f>VLOOKUP($E166,'[3]Analysis Inputs'!$D$15:$U$75,16,FALSE)</f>
        <v>0</v>
      </c>
      <c r="N166" s="282">
        <f t="shared" si="16"/>
        <v>0</v>
      </c>
      <c r="O166" s="283" t="str">
        <f>VLOOKUP($E166,'[3]Analysis Inputs'!$D$15:$U$75,17,FALSE)</f>
        <v>NA</v>
      </c>
      <c r="P166" s="284" t="str">
        <f t="shared" si="17"/>
        <v>NA</v>
      </c>
      <c r="Q166" s="248" t="str">
        <f>VLOOKUP($E166,'[3]Analysis Inputs'!$D$15:$U$75,18,FALSE)</f>
        <v>NA</v>
      </c>
      <c r="R166" s="285" t="s">
        <v>102</v>
      </c>
      <c r="S166" s="271">
        <f t="shared" si="21"/>
        <v>0</v>
      </c>
    </row>
    <row r="167" spans="2:19" ht="12.75" customHeight="1" x14ac:dyDescent="0.2">
      <c r="B167" s="237">
        <f t="shared" si="18"/>
        <v>0</v>
      </c>
      <c r="C167" s="237">
        <f t="shared" si="19"/>
        <v>0</v>
      </c>
      <c r="D167">
        <f t="shared" si="20"/>
        <v>0</v>
      </c>
      <c r="E167" s="268" t="s">
        <v>157</v>
      </c>
      <c r="F167" s="248">
        <f>VLOOKUP($E167,'[3]Analysis Inputs'!$D$15:$U$75,10,FALSE)</f>
        <v>0</v>
      </c>
      <c r="G167" s="269">
        <f>VLOOKUP($E167,'[3]Analysis Inputs'!$D$15:$U$75,13,FALSE)</f>
        <v>0</v>
      </c>
      <c r="H167" s="269">
        <f t="shared" si="13"/>
        <v>0</v>
      </c>
      <c r="I167" s="248">
        <f>VLOOKUP($E167,'[3]Analysis Inputs'!$D$15:$U$75,14,FALSE)</f>
        <v>0</v>
      </c>
      <c r="J167" s="248">
        <f t="shared" si="14"/>
        <v>0</v>
      </c>
      <c r="K167" s="248">
        <f>VLOOKUP($E167,'[3]Analysis Inputs'!$D$15:$U$75,15,FALSE)</f>
        <v>0</v>
      </c>
      <c r="L167" s="248">
        <f t="shared" si="15"/>
        <v>0</v>
      </c>
      <c r="M167" s="248">
        <f>VLOOKUP($E167,'[3]Analysis Inputs'!$D$15:$U$75,16,FALSE)</f>
        <v>0</v>
      </c>
      <c r="N167" s="282">
        <f t="shared" si="16"/>
        <v>0</v>
      </c>
      <c r="O167" s="283" t="str">
        <f>VLOOKUP($E167,'[3]Analysis Inputs'!$D$15:$U$75,17,FALSE)</f>
        <v>NA</v>
      </c>
      <c r="P167" s="284" t="str">
        <f t="shared" si="17"/>
        <v>NA</v>
      </c>
      <c r="Q167" s="248" t="str">
        <f>VLOOKUP($E167,'[3]Analysis Inputs'!$D$15:$U$75,18,FALSE)</f>
        <v>NA</v>
      </c>
      <c r="R167" s="285" t="s">
        <v>102</v>
      </c>
      <c r="S167" s="271">
        <f t="shared" si="21"/>
        <v>0</v>
      </c>
    </row>
    <row r="168" spans="2:19" ht="12.75" customHeight="1" x14ac:dyDescent="0.2">
      <c r="B168" s="237">
        <f t="shared" si="18"/>
        <v>0</v>
      </c>
      <c r="C168" s="237">
        <f t="shared" si="19"/>
        <v>0</v>
      </c>
      <c r="D168">
        <f t="shared" si="20"/>
        <v>0</v>
      </c>
      <c r="E168" s="268" t="s">
        <v>158</v>
      </c>
      <c r="F168" s="248">
        <f>VLOOKUP($E168,'[3]Analysis Inputs'!$D$15:$U$75,10,FALSE)</f>
        <v>0</v>
      </c>
      <c r="G168" s="269">
        <f>VLOOKUP($E168,'[3]Analysis Inputs'!$D$15:$U$75,13,FALSE)</f>
        <v>0</v>
      </c>
      <c r="H168" s="269">
        <f t="shared" si="13"/>
        <v>0</v>
      </c>
      <c r="I168" s="248" t="str">
        <f>VLOOKUP($E168,'[3]Analysis Inputs'!$D$15:$U$75,14,FALSE)</f>
        <v>NA</v>
      </c>
      <c r="J168" s="248" t="str">
        <f t="shared" si="14"/>
        <v>NA</v>
      </c>
      <c r="K168" s="248">
        <f>VLOOKUP($E168,'[3]Analysis Inputs'!$D$15:$U$75,15,FALSE)</f>
        <v>0</v>
      </c>
      <c r="L168" s="248">
        <f t="shared" si="15"/>
        <v>0</v>
      </c>
      <c r="M168" s="248">
        <f>VLOOKUP($E168,'[3]Analysis Inputs'!$D$15:$U$75,16,FALSE)</f>
        <v>0</v>
      </c>
      <c r="N168" s="282">
        <f t="shared" si="16"/>
        <v>0</v>
      </c>
      <c r="O168" s="283" t="str">
        <f>VLOOKUP($E168,'[3]Analysis Inputs'!$D$15:$U$75,17,FALSE)</f>
        <v>NA</v>
      </c>
      <c r="P168" s="284" t="str">
        <f t="shared" si="17"/>
        <v>NA</v>
      </c>
      <c r="Q168" s="248" t="str">
        <f>VLOOKUP($E168,'[3]Analysis Inputs'!$D$15:$U$75,18,FALSE)</f>
        <v>NA</v>
      </c>
      <c r="R168" s="285" t="s">
        <v>102</v>
      </c>
      <c r="S168" s="271">
        <f t="shared" si="21"/>
        <v>0</v>
      </c>
    </row>
    <row r="169" spans="2:19" ht="12.75" customHeight="1" x14ac:dyDescent="0.2">
      <c r="B169" s="237">
        <f t="shared" si="18"/>
        <v>0</v>
      </c>
      <c r="C169" s="237">
        <f t="shared" si="19"/>
        <v>0</v>
      </c>
      <c r="D169">
        <f t="shared" si="20"/>
        <v>0</v>
      </c>
      <c r="E169" s="268" t="s">
        <v>159</v>
      </c>
      <c r="F169" s="248">
        <f>VLOOKUP($E169,'[3]Analysis Inputs'!$D$15:$U$75,10,FALSE)</f>
        <v>0</v>
      </c>
      <c r="G169" s="269">
        <f>VLOOKUP($E169,'[3]Analysis Inputs'!$D$15:$U$75,13,FALSE)</f>
        <v>0</v>
      </c>
      <c r="H169" s="269">
        <f t="shared" si="13"/>
        <v>0</v>
      </c>
      <c r="I169" s="248" t="str">
        <f>VLOOKUP($E169,'[3]Analysis Inputs'!$D$15:$U$75,14,FALSE)</f>
        <v>NA</v>
      </c>
      <c r="J169" s="248" t="str">
        <f t="shared" si="14"/>
        <v>NA</v>
      </c>
      <c r="K169" s="248">
        <f>VLOOKUP($E169,'[3]Analysis Inputs'!$D$15:$U$75,15,FALSE)</f>
        <v>0</v>
      </c>
      <c r="L169" s="248">
        <f t="shared" si="15"/>
        <v>0</v>
      </c>
      <c r="M169" s="248">
        <f>VLOOKUP($E169,'[3]Analysis Inputs'!$D$15:$U$75,16,FALSE)</f>
        <v>0</v>
      </c>
      <c r="N169" s="282">
        <f t="shared" si="16"/>
        <v>0</v>
      </c>
      <c r="O169" s="283" t="str">
        <f>VLOOKUP($E169,'[3]Analysis Inputs'!$D$15:$U$75,17,FALSE)</f>
        <v>NA</v>
      </c>
      <c r="P169" s="284" t="str">
        <f t="shared" si="17"/>
        <v>NA</v>
      </c>
      <c r="Q169" s="248" t="str">
        <f>VLOOKUP($E169,'[3]Analysis Inputs'!$D$15:$U$75,18,FALSE)</f>
        <v>NA</v>
      </c>
      <c r="R169" s="285" t="s">
        <v>102</v>
      </c>
      <c r="S169" s="271">
        <f t="shared" si="21"/>
        <v>0</v>
      </c>
    </row>
    <row r="170" spans="2:19" ht="12.75" customHeight="1" x14ac:dyDescent="0.2">
      <c r="B170" s="237">
        <f t="shared" si="18"/>
        <v>0</v>
      </c>
      <c r="C170" s="237">
        <f t="shared" si="19"/>
        <v>0</v>
      </c>
      <c r="D170">
        <f t="shared" si="20"/>
        <v>0</v>
      </c>
      <c r="E170" s="268" t="s">
        <v>160</v>
      </c>
      <c r="F170" s="248">
        <f>VLOOKUP($E170,'[3]Analysis Inputs'!$D$15:$U$75,10,FALSE)</f>
        <v>0</v>
      </c>
      <c r="G170" s="269">
        <f>VLOOKUP($E170,'[3]Analysis Inputs'!$D$15:$U$75,13,FALSE)</f>
        <v>0</v>
      </c>
      <c r="H170" s="269">
        <f t="shared" si="13"/>
        <v>0</v>
      </c>
      <c r="I170" s="248">
        <f>VLOOKUP($E170,'[3]Analysis Inputs'!$D$15:$U$75,14,FALSE)</f>
        <v>0</v>
      </c>
      <c r="J170" s="248">
        <f t="shared" si="14"/>
        <v>0</v>
      </c>
      <c r="K170" s="248">
        <f>VLOOKUP($E170,'[3]Analysis Inputs'!$D$15:$U$75,15,FALSE)</f>
        <v>0</v>
      </c>
      <c r="L170" s="248">
        <f t="shared" si="15"/>
        <v>0</v>
      </c>
      <c r="M170" s="248">
        <f>VLOOKUP($E170,'[3]Analysis Inputs'!$D$15:$U$75,16,FALSE)</f>
        <v>0</v>
      </c>
      <c r="N170" s="282">
        <f t="shared" si="16"/>
        <v>0</v>
      </c>
      <c r="O170" s="283" t="str">
        <f>VLOOKUP($E170,'[3]Analysis Inputs'!$D$15:$U$75,17,FALSE)</f>
        <v>NA</v>
      </c>
      <c r="P170" s="284" t="str">
        <f t="shared" si="17"/>
        <v>NA</v>
      </c>
      <c r="Q170" s="248" t="str">
        <f>VLOOKUP($E170,'[3]Analysis Inputs'!$D$15:$U$75,18,FALSE)</f>
        <v>NA</v>
      </c>
      <c r="R170" s="285" t="s">
        <v>102</v>
      </c>
      <c r="S170" s="271">
        <f t="shared" si="21"/>
        <v>0</v>
      </c>
    </row>
    <row r="171" spans="2:19" ht="12.75" customHeight="1" x14ac:dyDescent="0.2">
      <c r="B171" s="237">
        <f t="shared" si="18"/>
        <v>0</v>
      </c>
      <c r="C171" s="237">
        <f t="shared" si="19"/>
        <v>0</v>
      </c>
      <c r="D171">
        <f t="shared" si="20"/>
        <v>0</v>
      </c>
      <c r="E171" s="268" t="s">
        <v>161</v>
      </c>
      <c r="F171" s="248">
        <f>VLOOKUP($E171,'[3]Analysis Inputs'!$D$15:$U$75,10,FALSE)</f>
        <v>0</v>
      </c>
      <c r="G171" s="269">
        <f>VLOOKUP($E171,'[3]Analysis Inputs'!$D$15:$U$75,13,FALSE)</f>
        <v>0</v>
      </c>
      <c r="H171" s="269">
        <f t="shared" si="13"/>
        <v>0</v>
      </c>
      <c r="I171" s="248" t="str">
        <f>VLOOKUP($E171,'[3]Analysis Inputs'!$D$15:$U$75,14,FALSE)</f>
        <v>NA</v>
      </c>
      <c r="J171" s="248" t="str">
        <f t="shared" si="14"/>
        <v>NA</v>
      </c>
      <c r="K171" s="248">
        <f>VLOOKUP($E171,'[3]Analysis Inputs'!$D$15:$U$75,15,FALSE)</f>
        <v>0</v>
      </c>
      <c r="L171" s="248">
        <f t="shared" si="15"/>
        <v>0</v>
      </c>
      <c r="M171" s="248">
        <f>VLOOKUP($E171,'[3]Analysis Inputs'!$D$15:$U$75,16,FALSE)</f>
        <v>0</v>
      </c>
      <c r="N171" s="282">
        <f t="shared" si="16"/>
        <v>0</v>
      </c>
      <c r="O171" s="283">
        <f>VLOOKUP($E171,'[3]Analysis Inputs'!$D$15:$U$75,17,FALSE)</f>
        <v>0</v>
      </c>
      <c r="P171" s="284">
        <f t="shared" si="17"/>
        <v>0</v>
      </c>
      <c r="Q171" s="248" t="str">
        <f>VLOOKUP($E171,'[3]Analysis Inputs'!$D$15:$U$75,18,FALSE)</f>
        <v>NA</v>
      </c>
      <c r="R171" s="285" t="s">
        <v>102</v>
      </c>
      <c r="S171" s="271">
        <f t="shared" si="21"/>
        <v>0</v>
      </c>
    </row>
    <row r="172" spans="2:19" ht="12.75" customHeight="1" x14ac:dyDescent="0.2">
      <c r="B172" s="237">
        <f t="shared" si="18"/>
        <v>0</v>
      </c>
      <c r="C172" s="237">
        <f t="shared" si="19"/>
        <v>0</v>
      </c>
      <c r="D172">
        <f t="shared" si="20"/>
        <v>0</v>
      </c>
      <c r="E172" s="268" t="s">
        <v>162</v>
      </c>
      <c r="F172" s="248">
        <f>VLOOKUP($E172,'[3]Analysis Inputs'!$D$15:$U$75,10,FALSE)</f>
        <v>0</v>
      </c>
      <c r="G172" s="269">
        <f>VLOOKUP($E172,'[3]Analysis Inputs'!$D$15:$U$75,13,FALSE)</f>
        <v>0</v>
      </c>
      <c r="H172" s="269">
        <f t="shared" si="13"/>
        <v>0</v>
      </c>
      <c r="I172" s="248">
        <f>VLOOKUP($E172,'[3]Analysis Inputs'!$D$15:$U$75,14,FALSE)</f>
        <v>0</v>
      </c>
      <c r="J172" s="248">
        <f t="shared" si="14"/>
        <v>0</v>
      </c>
      <c r="K172" s="248">
        <f>VLOOKUP($E172,'[3]Analysis Inputs'!$D$15:$U$75,15,FALSE)</f>
        <v>0</v>
      </c>
      <c r="L172" s="248">
        <f t="shared" si="15"/>
        <v>0</v>
      </c>
      <c r="M172" s="248">
        <f>VLOOKUP($E172,'[3]Analysis Inputs'!$D$15:$U$75,16,FALSE)</f>
        <v>0</v>
      </c>
      <c r="N172" s="282">
        <f t="shared" si="16"/>
        <v>0</v>
      </c>
      <c r="O172" s="283" t="str">
        <f>VLOOKUP($E172,'[3]Analysis Inputs'!$D$15:$U$75,17,FALSE)</f>
        <v>NA</v>
      </c>
      <c r="P172" s="284" t="str">
        <f t="shared" si="17"/>
        <v>NA</v>
      </c>
      <c r="Q172" s="248" t="str">
        <f>VLOOKUP($E172,'[3]Analysis Inputs'!$D$15:$U$75,18,FALSE)</f>
        <v>NA</v>
      </c>
      <c r="R172" s="285" t="s">
        <v>102</v>
      </c>
      <c r="S172" s="271">
        <f t="shared" si="21"/>
        <v>0</v>
      </c>
    </row>
    <row r="173" spans="2:19" ht="12.75" customHeight="1" x14ac:dyDescent="0.2">
      <c r="B173" s="237">
        <f t="shared" si="18"/>
        <v>0</v>
      </c>
      <c r="C173" s="237">
        <f t="shared" si="19"/>
        <v>0</v>
      </c>
      <c r="D173">
        <f t="shared" si="20"/>
        <v>0</v>
      </c>
      <c r="E173" s="268" t="s">
        <v>163</v>
      </c>
      <c r="F173" s="248">
        <f>VLOOKUP($E173,'[3]Analysis Inputs'!$D$15:$U$75,10,FALSE)</f>
        <v>0</v>
      </c>
      <c r="G173" s="269">
        <f>VLOOKUP($E173,'[3]Analysis Inputs'!$D$15:$U$75,13,FALSE)</f>
        <v>0</v>
      </c>
      <c r="H173" s="269">
        <f t="shared" si="13"/>
        <v>0</v>
      </c>
      <c r="I173" s="248">
        <f>VLOOKUP($E173,'[3]Analysis Inputs'!$D$15:$U$75,14,FALSE)</f>
        <v>0</v>
      </c>
      <c r="J173" s="248">
        <f t="shared" si="14"/>
        <v>0</v>
      </c>
      <c r="K173" s="248">
        <f>VLOOKUP($E173,'[3]Analysis Inputs'!$D$15:$U$75,15,FALSE)</f>
        <v>0</v>
      </c>
      <c r="L173" s="248">
        <f t="shared" si="15"/>
        <v>0</v>
      </c>
      <c r="M173" s="248">
        <f>VLOOKUP($E173,'[3]Analysis Inputs'!$D$15:$U$75,16,FALSE)</f>
        <v>0</v>
      </c>
      <c r="N173" s="282">
        <f t="shared" si="16"/>
        <v>0</v>
      </c>
      <c r="O173" s="283" t="str">
        <f>VLOOKUP($E173,'[3]Analysis Inputs'!$D$15:$U$75,17,FALSE)</f>
        <v>NA</v>
      </c>
      <c r="P173" s="284" t="str">
        <f t="shared" si="17"/>
        <v>NA</v>
      </c>
      <c r="Q173" s="248" t="str">
        <f>VLOOKUP($E173,'[3]Analysis Inputs'!$D$15:$U$75,18,FALSE)</f>
        <v>NA</v>
      </c>
      <c r="R173" s="285" t="s">
        <v>102</v>
      </c>
      <c r="S173" s="271">
        <f t="shared" si="21"/>
        <v>0</v>
      </c>
    </row>
    <row r="174" spans="2:19" ht="12.75" customHeight="1" x14ac:dyDescent="0.2">
      <c r="B174" s="237">
        <f t="shared" si="18"/>
        <v>0</v>
      </c>
      <c r="C174" s="237">
        <f t="shared" si="19"/>
        <v>0</v>
      </c>
      <c r="D174">
        <f t="shared" si="20"/>
        <v>0</v>
      </c>
      <c r="E174" s="268" t="s">
        <v>164</v>
      </c>
      <c r="F174" s="248">
        <f>VLOOKUP($E174,'[3]Analysis Inputs'!$D$15:$U$75,10,FALSE)</f>
        <v>0</v>
      </c>
      <c r="G174" s="269">
        <f>VLOOKUP($E174,'[3]Analysis Inputs'!$D$15:$U$75,13,FALSE)</f>
        <v>0</v>
      </c>
      <c r="H174" s="269">
        <f t="shared" si="13"/>
        <v>0</v>
      </c>
      <c r="I174" s="248">
        <f>VLOOKUP($E174,'[3]Analysis Inputs'!$D$15:$U$75,14,FALSE)</f>
        <v>0</v>
      </c>
      <c r="J174" s="248">
        <f t="shared" si="14"/>
        <v>0</v>
      </c>
      <c r="K174" s="248">
        <f>VLOOKUP($E174,'[3]Analysis Inputs'!$D$15:$U$75,15,FALSE)</f>
        <v>0</v>
      </c>
      <c r="L174" s="248">
        <f t="shared" si="15"/>
        <v>0</v>
      </c>
      <c r="M174" s="248">
        <f>VLOOKUP($E174,'[3]Analysis Inputs'!$D$15:$U$75,16,FALSE)</f>
        <v>0</v>
      </c>
      <c r="N174" s="282">
        <f t="shared" si="16"/>
        <v>0</v>
      </c>
      <c r="O174" s="283" t="str">
        <f>VLOOKUP($E174,'[3]Analysis Inputs'!$D$15:$U$75,17,FALSE)</f>
        <v>NA</v>
      </c>
      <c r="P174" s="284" t="str">
        <f t="shared" si="17"/>
        <v>NA</v>
      </c>
      <c r="Q174" s="248" t="str">
        <f>VLOOKUP($E174,'[3]Analysis Inputs'!$D$15:$U$75,18,FALSE)</f>
        <v>NA</v>
      </c>
      <c r="R174" s="285" t="s">
        <v>102</v>
      </c>
      <c r="S174" s="271">
        <f t="shared" si="21"/>
        <v>0</v>
      </c>
    </row>
    <row r="175" spans="2:19" ht="12.75" customHeight="1" x14ac:dyDescent="0.2">
      <c r="B175" s="237">
        <f t="shared" si="18"/>
        <v>0</v>
      </c>
      <c r="C175" s="237">
        <f t="shared" si="19"/>
        <v>0</v>
      </c>
      <c r="D175">
        <f t="shared" si="20"/>
        <v>0</v>
      </c>
      <c r="E175" s="268" t="s">
        <v>165</v>
      </c>
      <c r="F175" s="248">
        <f>VLOOKUP($E175,'[3]Analysis Inputs'!$D$15:$U$75,10,FALSE)</f>
        <v>0</v>
      </c>
      <c r="G175" s="269" t="str">
        <f>VLOOKUP($E175,'[3]Analysis Inputs'!$D$15:$U$75,13,FALSE)</f>
        <v>NA</v>
      </c>
      <c r="H175" s="269" t="str">
        <f t="shared" si="13"/>
        <v>NA</v>
      </c>
      <c r="I175" s="248">
        <f>VLOOKUP($E175,'[3]Analysis Inputs'!$D$15:$U$75,14,FALSE)</f>
        <v>0</v>
      </c>
      <c r="J175" s="248">
        <f t="shared" si="14"/>
        <v>0</v>
      </c>
      <c r="K175" s="248">
        <f>VLOOKUP($E175,'[3]Analysis Inputs'!$D$15:$U$75,15,FALSE)</f>
        <v>0</v>
      </c>
      <c r="L175" s="248">
        <f t="shared" si="15"/>
        <v>0</v>
      </c>
      <c r="M175" s="248">
        <f>VLOOKUP($E175,'[3]Analysis Inputs'!$D$15:$U$75,16,FALSE)</f>
        <v>0</v>
      </c>
      <c r="N175" s="282">
        <f t="shared" si="16"/>
        <v>0</v>
      </c>
      <c r="O175" s="283" t="str">
        <f>VLOOKUP($E175,'[3]Analysis Inputs'!$D$15:$U$75,17,FALSE)</f>
        <v>NA</v>
      </c>
      <c r="P175" s="284" t="str">
        <f t="shared" si="17"/>
        <v>NA</v>
      </c>
      <c r="Q175" s="248" t="str">
        <f>VLOOKUP($E175,'[3]Analysis Inputs'!$D$15:$U$75,18,FALSE)</f>
        <v>NA</v>
      </c>
      <c r="R175" s="285" t="s">
        <v>102</v>
      </c>
      <c r="S175" s="271">
        <f t="shared" si="21"/>
        <v>0</v>
      </c>
    </row>
    <row r="176" spans="2:19" ht="12.75" customHeight="1" x14ac:dyDescent="0.2">
      <c r="B176" s="237">
        <f t="shared" si="18"/>
        <v>0</v>
      </c>
      <c r="C176" s="237">
        <f t="shared" si="19"/>
        <v>0</v>
      </c>
      <c r="D176">
        <f t="shared" si="20"/>
        <v>0</v>
      </c>
      <c r="E176" s="268" t="s">
        <v>166</v>
      </c>
      <c r="F176" s="248">
        <f>VLOOKUP($E176,'[3]Analysis Inputs'!$D$15:$U$75,10,FALSE)</f>
        <v>0</v>
      </c>
      <c r="G176" s="269">
        <f>VLOOKUP($E176,'[3]Analysis Inputs'!$D$15:$U$75,13,FALSE)</f>
        <v>0</v>
      </c>
      <c r="H176" s="269">
        <f t="shared" si="13"/>
        <v>0</v>
      </c>
      <c r="I176" s="248">
        <f>VLOOKUP($E176,'[3]Analysis Inputs'!$D$15:$U$75,14,FALSE)</f>
        <v>0</v>
      </c>
      <c r="J176" s="248">
        <f t="shared" si="14"/>
        <v>0</v>
      </c>
      <c r="K176" s="248">
        <f>VLOOKUP($E176,'[3]Analysis Inputs'!$D$15:$U$75,15,FALSE)</f>
        <v>0</v>
      </c>
      <c r="L176" s="248">
        <f t="shared" si="15"/>
        <v>0</v>
      </c>
      <c r="M176" s="248">
        <f>VLOOKUP($E176,'[3]Analysis Inputs'!$D$15:$U$75,16,FALSE)</f>
        <v>0</v>
      </c>
      <c r="N176" s="282">
        <f t="shared" si="16"/>
        <v>0</v>
      </c>
      <c r="O176" s="283" t="str">
        <f>VLOOKUP($E176,'[3]Analysis Inputs'!$D$15:$U$75,17,FALSE)</f>
        <v>NA</v>
      </c>
      <c r="P176" s="284" t="str">
        <f t="shared" si="17"/>
        <v>NA</v>
      </c>
      <c r="Q176" s="248" t="str">
        <f>VLOOKUP($E176,'[3]Analysis Inputs'!$D$15:$U$75,18,FALSE)</f>
        <v>NA</v>
      </c>
      <c r="R176" s="285" t="s">
        <v>102</v>
      </c>
      <c r="S176" s="271">
        <f t="shared" si="21"/>
        <v>0</v>
      </c>
    </row>
    <row r="177" spans="2:19" ht="12.75" customHeight="1" x14ac:dyDescent="0.2">
      <c r="B177" s="237">
        <f t="shared" si="18"/>
        <v>0</v>
      </c>
      <c r="C177" s="237">
        <f t="shared" si="19"/>
        <v>0</v>
      </c>
      <c r="D177">
        <f t="shared" si="20"/>
        <v>0</v>
      </c>
      <c r="E177" s="268" t="s">
        <v>167</v>
      </c>
      <c r="F177" s="248">
        <f>VLOOKUP($E177,'[3]Analysis Inputs'!$D$15:$U$75,10,FALSE)</f>
        <v>0</v>
      </c>
      <c r="G177" s="269">
        <f>VLOOKUP($E177,'[3]Analysis Inputs'!$D$15:$U$75,13,FALSE)</f>
        <v>0</v>
      </c>
      <c r="H177" s="269">
        <f t="shared" si="13"/>
        <v>0</v>
      </c>
      <c r="I177" s="248">
        <f>VLOOKUP($E177,'[3]Analysis Inputs'!$D$15:$U$75,14,FALSE)</f>
        <v>0</v>
      </c>
      <c r="J177" s="248">
        <f t="shared" si="14"/>
        <v>0</v>
      </c>
      <c r="K177" s="248">
        <f>VLOOKUP($E177,'[3]Analysis Inputs'!$D$15:$U$75,15,FALSE)</f>
        <v>0</v>
      </c>
      <c r="L177" s="248">
        <f t="shared" si="15"/>
        <v>0</v>
      </c>
      <c r="M177" s="248">
        <f>VLOOKUP($E177,'[3]Analysis Inputs'!$D$15:$U$75,16,FALSE)</f>
        <v>0</v>
      </c>
      <c r="N177" s="282">
        <f t="shared" si="16"/>
        <v>0</v>
      </c>
      <c r="O177" s="283" t="str">
        <f>VLOOKUP($E177,'[3]Analysis Inputs'!$D$15:$U$75,17,FALSE)</f>
        <v>NA</v>
      </c>
      <c r="P177" s="284" t="str">
        <f t="shared" si="17"/>
        <v>NA</v>
      </c>
      <c r="Q177" s="248" t="str">
        <f>VLOOKUP($E177,'[3]Analysis Inputs'!$D$15:$U$75,18,FALSE)</f>
        <v>NA</v>
      </c>
      <c r="R177" s="285" t="s">
        <v>102</v>
      </c>
      <c r="S177" s="271">
        <f t="shared" si="21"/>
        <v>0</v>
      </c>
    </row>
    <row r="178" spans="2:19" ht="12.75" customHeight="1" x14ac:dyDescent="0.2">
      <c r="B178" s="237">
        <f t="shared" si="18"/>
        <v>0</v>
      </c>
      <c r="C178" s="237">
        <f t="shared" si="19"/>
        <v>0</v>
      </c>
      <c r="D178">
        <f t="shared" si="20"/>
        <v>0</v>
      </c>
      <c r="E178" s="268" t="s">
        <v>168</v>
      </c>
      <c r="F178" s="248">
        <f>VLOOKUP($E178,'[3]Analysis Inputs'!$D$15:$U$75,10,FALSE)</f>
        <v>0</v>
      </c>
      <c r="G178" s="269">
        <f>VLOOKUP($E178,'[3]Analysis Inputs'!$D$15:$U$75,13,FALSE)</f>
        <v>0</v>
      </c>
      <c r="H178" s="269">
        <f t="shared" si="13"/>
        <v>0</v>
      </c>
      <c r="I178" s="248">
        <f>VLOOKUP($E178,'[3]Analysis Inputs'!$D$15:$U$75,14,FALSE)</f>
        <v>0</v>
      </c>
      <c r="J178" s="248">
        <f t="shared" si="14"/>
        <v>0</v>
      </c>
      <c r="K178" s="248">
        <f>VLOOKUP($E178,'[3]Analysis Inputs'!$D$15:$U$75,15,FALSE)</f>
        <v>0</v>
      </c>
      <c r="L178" s="248">
        <f t="shared" si="15"/>
        <v>0</v>
      </c>
      <c r="M178" s="248">
        <f>VLOOKUP($E178,'[3]Analysis Inputs'!$D$15:$U$75,16,FALSE)</f>
        <v>0</v>
      </c>
      <c r="N178" s="282">
        <f t="shared" si="16"/>
        <v>0</v>
      </c>
      <c r="O178" s="283" t="str">
        <f>VLOOKUP($E178,'[3]Analysis Inputs'!$D$15:$U$75,17,FALSE)</f>
        <v>NA</v>
      </c>
      <c r="P178" s="284" t="str">
        <f t="shared" si="17"/>
        <v>NA</v>
      </c>
      <c r="Q178" s="248" t="str">
        <f>VLOOKUP($E178,'[3]Analysis Inputs'!$D$15:$U$75,18,FALSE)</f>
        <v>NA</v>
      </c>
      <c r="R178" s="285" t="s">
        <v>102</v>
      </c>
      <c r="S178" s="271">
        <f t="shared" si="21"/>
        <v>0</v>
      </c>
    </row>
    <row r="179" spans="2:19" ht="12.75" customHeight="1" x14ac:dyDescent="0.2">
      <c r="B179" s="237">
        <f t="shared" si="18"/>
        <v>0</v>
      </c>
      <c r="C179" s="237">
        <f t="shared" si="19"/>
        <v>0</v>
      </c>
      <c r="D179">
        <f t="shared" si="20"/>
        <v>0</v>
      </c>
      <c r="E179" s="268" t="s">
        <v>169</v>
      </c>
      <c r="F179" s="248">
        <f>VLOOKUP($E179,'[3]Analysis Inputs'!$D$15:$U$75,10,FALSE)</f>
        <v>0</v>
      </c>
      <c r="G179" s="269">
        <f>VLOOKUP($E179,'[3]Analysis Inputs'!$D$15:$U$75,13,FALSE)</f>
        <v>0</v>
      </c>
      <c r="H179" s="269">
        <f t="shared" si="13"/>
        <v>0</v>
      </c>
      <c r="I179" s="248">
        <f>VLOOKUP($E179,'[3]Analysis Inputs'!$D$15:$U$75,14,FALSE)</f>
        <v>0</v>
      </c>
      <c r="J179" s="248">
        <f t="shared" si="14"/>
        <v>0</v>
      </c>
      <c r="K179" s="248">
        <f>VLOOKUP($E179,'[3]Analysis Inputs'!$D$15:$U$75,15,FALSE)</f>
        <v>0</v>
      </c>
      <c r="L179" s="248">
        <f t="shared" si="15"/>
        <v>0</v>
      </c>
      <c r="M179" s="248">
        <f>VLOOKUP($E179,'[3]Analysis Inputs'!$D$15:$U$75,16,FALSE)</f>
        <v>0</v>
      </c>
      <c r="N179" s="282">
        <f t="shared" si="16"/>
        <v>0</v>
      </c>
      <c r="O179" s="283" t="str">
        <f>VLOOKUP($E179,'[3]Analysis Inputs'!$D$15:$U$75,17,FALSE)</f>
        <v>NA</v>
      </c>
      <c r="P179" s="284" t="str">
        <f t="shared" si="17"/>
        <v>NA</v>
      </c>
      <c r="Q179" s="248" t="str">
        <f>VLOOKUP($E179,'[3]Analysis Inputs'!$D$15:$U$75,18,FALSE)</f>
        <v>NA</v>
      </c>
      <c r="R179" s="285" t="s">
        <v>102</v>
      </c>
      <c r="S179" s="271">
        <f t="shared" si="21"/>
        <v>0</v>
      </c>
    </row>
    <row r="180" spans="2:19" ht="12.75" customHeight="1" x14ac:dyDescent="0.2">
      <c r="B180" s="237">
        <f t="shared" si="18"/>
        <v>0</v>
      </c>
      <c r="C180" s="237">
        <f t="shared" si="19"/>
        <v>0</v>
      </c>
      <c r="D180">
        <f t="shared" si="20"/>
        <v>0</v>
      </c>
      <c r="E180" s="268" t="s">
        <v>170</v>
      </c>
      <c r="F180" s="248">
        <f>VLOOKUP($E180,'[3]Analysis Inputs'!$D$15:$U$75,10,FALSE)</f>
        <v>0</v>
      </c>
      <c r="G180" s="269">
        <f>VLOOKUP($E180,'[3]Analysis Inputs'!$D$15:$U$75,13,FALSE)</f>
        <v>0</v>
      </c>
      <c r="H180" s="269">
        <f t="shared" si="13"/>
        <v>0</v>
      </c>
      <c r="I180" s="248">
        <f>VLOOKUP($E180,'[3]Analysis Inputs'!$D$15:$U$75,14,FALSE)</f>
        <v>0</v>
      </c>
      <c r="J180" s="248">
        <f t="shared" si="14"/>
        <v>0</v>
      </c>
      <c r="K180" s="248">
        <f>VLOOKUP($E180,'[3]Analysis Inputs'!$D$15:$U$75,15,FALSE)</f>
        <v>0</v>
      </c>
      <c r="L180" s="248">
        <f t="shared" si="15"/>
        <v>0</v>
      </c>
      <c r="M180" s="248">
        <f>VLOOKUP($E180,'[3]Analysis Inputs'!$D$15:$U$75,16,FALSE)</f>
        <v>0</v>
      </c>
      <c r="N180" s="282">
        <f t="shared" si="16"/>
        <v>0</v>
      </c>
      <c r="O180" s="283" t="str">
        <f>VLOOKUP($E180,'[3]Analysis Inputs'!$D$15:$U$75,17,FALSE)</f>
        <v>NA</v>
      </c>
      <c r="P180" s="284" t="str">
        <f t="shared" si="17"/>
        <v>NA</v>
      </c>
      <c r="Q180" s="248" t="str">
        <f>VLOOKUP($E180,'[3]Analysis Inputs'!$D$15:$U$75,18,FALSE)</f>
        <v>NA</v>
      </c>
      <c r="R180" s="285" t="s">
        <v>102</v>
      </c>
      <c r="S180" s="271">
        <f t="shared" si="21"/>
        <v>0</v>
      </c>
    </row>
    <row r="181" spans="2:19" ht="12.75" customHeight="1" x14ac:dyDescent="0.2">
      <c r="B181" s="237">
        <f t="shared" si="18"/>
        <v>0</v>
      </c>
      <c r="C181" s="237">
        <f t="shared" si="19"/>
        <v>0</v>
      </c>
      <c r="D181">
        <f t="shared" si="20"/>
        <v>0</v>
      </c>
      <c r="E181" s="268" t="s">
        <v>171</v>
      </c>
      <c r="F181" s="248">
        <f>VLOOKUP($E181,'[3]Analysis Inputs'!$D$15:$U$75,10,FALSE)</f>
        <v>0</v>
      </c>
      <c r="G181" s="269">
        <f>VLOOKUP($E181,'[3]Analysis Inputs'!$D$15:$U$75,13,FALSE)</f>
        <v>0</v>
      </c>
      <c r="H181" s="269">
        <f t="shared" si="13"/>
        <v>0</v>
      </c>
      <c r="I181" s="248">
        <f>VLOOKUP($E181,'[3]Analysis Inputs'!$D$15:$U$75,14,FALSE)</f>
        <v>0</v>
      </c>
      <c r="J181" s="248">
        <f t="shared" si="14"/>
        <v>0</v>
      </c>
      <c r="K181" s="248">
        <f>VLOOKUP($E181,'[3]Analysis Inputs'!$D$15:$U$75,15,FALSE)</f>
        <v>0</v>
      </c>
      <c r="L181" s="248">
        <f t="shared" si="15"/>
        <v>0</v>
      </c>
      <c r="M181" s="248">
        <f>VLOOKUP($E181,'[3]Analysis Inputs'!$D$15:$U$75,16,FALSE)</f>
        <v>0</v>
      </c>
      <c r="N181" s="282">
        <f t="shared" si="16"/>
        <v>0</v>
      </c>
      <c r="O181" s="283" t="str">
        <f>VLOOKUP($E181,'[3]Analysis Inputs'!$D$15:$U$75,17,FALSE)</f>
        <v>NA</v>
      </c>
      <c r="P181" s="284" t="str">
        <f t="shared" si="17"/>
        <v>NA</v>
      </c>
      <c r="Q181" s="248" t="str">
        <f>VLOOKUP($E181,'[3]Analysis Inputs'!$D$15:$U$75,18,FALSE)</f>
        <v>NA</v>
      </c>
      <c r="R181" s="285" t="s">
        <v>102</v>
      </c>
      <c r="S181" s="271">
        <f t="shared" si="21"/>
        <v>0</v>
      </c>
    </row>
    <row r="182" spans="2:19" ht="12.75" customHeight="1" x14ac:dyDescent="0.2">
      <c r="B182" s="237">
        <f t="shared" si="18"/>
        <v>0</v>
      </c>
      <c r="C182" s="237">
        <f t="shared" si="19"/>
        <v>0</v>
      </c>
      <c r="D182">
        <f t="shared" si="20"/>
        <v>0</v>
      </c>
      <c r="E182" s="268" t="s">
        <v>172</v>
      </c>
      <c r="F182" s="248">
        <f>VLOOKUP($E182,'[3]Analysis Inputs'!$D$15:$U$75,10,FALSE)</f>
        <v>0</v>
      </c>
      <c r="G182" s="269">
        <f>VLOOKUP($E182,'[3]Analysis Inputs'!$D$15:$U$75,13,FALSE)</f>
        <v>0</v>
      </c>
      <c r="H182" s="269">
        <f t="shared" si="13"/>
        <v>0</v>
      </c>
      <c r="I182" s="248">
        <f>VLOOKUP($E182,'[3]Analysis Inputs'!$D$15:$U$75,14,FALSE)</f>
        <v>0</v>
      </c>
      <c r="J182" s="248">
        <f t="shared" si="14"/>
        <v>0</v>
      </c>
      <c r="K182" s="248">
        <f>VLOOKUP($E182,'[3]Analysis Inputs'!$D$15:$U$75,15,FALSE)</f>
        <v>0</v>
      </c>
      <c r="L182" s="248">
        <f t="shared" si="15"/>
        <v>0</v>
      </c>
      <c r="M182" s="248">
        <f>VLOOKUP($E182,'[3]Analysis Inputs'!$D$15:$U$75,16,FALSE)</f>
        <v>0</v>
      </c>
      <c r="N182" s="282">
        <f t="shared" si="16"/>
        <v>0</v>
      </c>
      <c r="O182" s="283" t="str">
        <f>VLOOKUP($E182,'[3]Analysis Inputs'!$D$15:$U$75,17,FALSE)</f>
        <v>NA</v>
      </c>
      <c r="P182" s="284" t="str">
        <f t="shared" si="17"/>
        <v>NA</v>
      </c>
      <c r="Q182" s="248" t="str">
        <f>VLOOKUP($E182,'[3]Analysis Inputs'!$D$15:$U$75,18,FALSE)</f>
        <v>NA</v>
      </c>
      <c r="R182" s="285" t="s">
        <v>102</v>
      </c>
      <c r="S182" s="271">
        <f t="shared" si="21"/>
        <v>0</v>
      </c>
    </row>
    <row r="183" spans="2:19" ht="12.75" customHeight="1" x14ac:dyDescent="0.2">
      <c r="B183" s="237">
        <f t="shared" si="18"/>
        <v>0</v>
      </c>
      <c r="C183" s="237">
        <f t="shared" si="19"/>
        <v>0</v>
      </c>
      <c r="D183">
        <f t="shared" si="20"/>
        <v>0</v>
      </c>
      <c r="E183" s="268" t="s">
        <v>173</v>
      </c>
      <c r="F183" s="248">
        <f>VLOOKUP($E183,'[3]Analysis Inputs'!$D$15:$U$75,10,FALSE)</f>
        <v>0</v>
      </c>
      <c r="G183" s="269">
        <f>VLOOKUP($E183,'[3]Analysis Inputs'!$D$15:$U$75,13,FALSE)</f>
        <v>0</v>
      </c>
      <c r="H183" s="269">
        <f t="shared" si="13"/>
        <v>0</v>
      </c>
      <c r="I183" s="248">
        <f>VLOOKUP($E183,'[3]Analysis Inputs'!$D$15:$U$75,14,FALSE)</f>
        <v>0</v>
      </c>
      <c r="J183" s="248">
        <f t="shared" si="14"/>
        <v>0</v>
      </c>
      <c r="K183" s="248">
        <f>VLOOKUP($E183,'[3]Analysis Inputs'!$D$15:$U$75,15,FALSE)</f>
        <v>0</v>
      </c>
      <c r="L183" s="248">
        <f t="shared" si="15"/>
        <v>0</v>
      </c>
      <c r="M183" s="248">
        <f>VLOOKUP($E183,'[3]Analysis Inputs'!$D$15:$U$75,16,FALSE)</f>
        <v>0</v>
      </c>
      <c r="N183" s="282">
        <f t="shared" si="16"/>
        <v>0</v>
      </c>
      <c r="O183" s="283" t="str">
        <f>VLOOKUP($E183,'[3]Analysis Inputs'!$D$15:$U$75,17,FALSE)</f>
        <v>NA</v>
      </c>
      <c r="P183" s="284" t="str">
        <f t="shared" si="17"/>
        <v>NA</v>
      </c>
      <c r="Q183" s="248" t="str">
        <f>VLOOKUP($E183,'[3]Analysis Inputs'!$D$15:$U$75,18,FALSE)</f>
        <v>NA</v>
      </c>
      <c r="R183" s="285" t="s">
        <v>102</v>
      </c>
      <c r="S183" s="271">
        <f t="shared" si="21"/>
        <v>0</v>
      </c>
    </row>
    <row r="184" spans="2:19" ht="12.75" customHeight="1" x14ac:dyDescent="0.2">
      <c r="B184" s="237">
        <f t="shared" si="18"/>
        <v>0</v>
      </c>
      <c r="C184" s="237">
        <f t="shared" si="19"/>
        <v>0</v>
      </c>
      <c r="D184">
        <f t="shared" si="20"/>
        <v>0</v>
      </c>
      <c r="E184" s="268" t="s">
        <v>174</v>
      </c>
      <c r="F184" s="248">
        <f>VLOOKUP($E184,'[3]Analysis Inputs'!$D$15:$U$75,10,FALSE)</f>
        <v>0</v>
      </c>
      <c r="G184" s="269">
        <f>VLOOKUP($E184,'[3]Analysis Inputs'!$D$15:$U$75,13,FALSE)</f>
        <v>0</v>
      </c>
      <c r="H184" s="269">
        <f t="shared" si="13"/>
        <v>0</v>
      </c>
      <c r="I184" s="248">
        <f>VLOOKUP($E184,'[3]Analysis Inputs'!$D$15:$U$75,14,FALSE)</f>
        <v>0</v>
      </c>
      <c r="J184" s="248">
        <f t="shared" si="14"/>
        <v>0</v>
      </c>
      <c r="K184" s="248">
        <f>VLOOKUP($E184,'[3]Analysis Inputs'!$D$15:$U$75,15,FALSE)</f>
        <v>0</v>
      </c>
      <c r="L184" s="248">
        <f t="shared" si="15"/>
        <v>0</v>
      </c>
      <c r="M184" s="248">
        <f>VLOOKUP($E184,'[3]Analysis Inputs'!$D$15:$U$75,16,FALSE)</f>
        <v>0</v>
      </c>
      <c r="N184" s="282">
        <f t="shared" si="16"/>
        <v>0</v>
      </c>
      <c r="O184" s="283" t="str">
        <f>VLOOKUP($E184,'[3]Analysis Inputs'!$D$15:$U$75,17,FALSE)</f>
        <v>NA</v>
      </c>
      <c r="P184" s="284" t="str">
        <f t="shared" si="17"/>
        <v>NA</v>
      </c>
      <c r="Q184" s="248" t="str">
        <f>VLOOKUP($E184,'[3]Analysis Inputs'!$D$15:$U$75,18,FALSE)</f>
        <v>NA</v>
      </c>
      <c r="R184" s="285" t="s">
        <v>102</v>
      </c>
      <c r="S184" s="271">
        <f t="shared" si="21"/>
        <v>0</v>
      </c>
    </row>
    <row r="185" spans="2:19" ht="12.75" customHeight="1" x14ac:dyDescent="0.2">
      <c r="B185" s="237">
        <f t="shared" si="18"/>
        <v>0</v>
      </c>
      <c r="C185" s="237">
        <f t="shared" si="19"/>
        <v>0</v>
      </c>
      <c r="D185">
        <f t="shared" si="20"/>
        <v>0</v>
      </c>
      <c r="E185" s="268" t="s">
        <v>175</v>
      </c>
      <c r="F185" s="248">
        <f>VLOOKUP($E185,'[3]Analysis Inputs'!$D$15:$U$75,10,FALSE)</f>
        <v>0</v>
      </c>
      <c r="G185" s="269">
        <f>VLOOKUP($E185,'[3]Analysis Inputs'!$D$15:$U$75,13,FALSE)</f>
        <v>0</v>
      </c>
      <c r="H185" s="269">
        <f t="shared" si="13"/>
        <v>0</v>
      </c>
      <c r="I185" s="248">
        <f>VLOOKUP($E185,'[3]Analysis Inputs'!$D$15:$U$75,14,FALSE)</f>
        <v>0</v>
      </c>
      <c r="J185" s="248">
        <f t="shared" si="14"/>
        <v>0</v>
      </c>
      <c r="K185" s="248">
        <f>VLOOKUP($E185,'[3]Analysis Inputs'!$D$15:$U$75,15,FALSE)</f>
        <v>0</v>
      </c>
      <c r="L185" s="248">
        <f t="shared" si="15"/>
        <v>0</v>
      </c>
      <c r="M185" s="248" t="str">
        <f>VLOOKUP($E185,'[3]Analysis Inputs'!$D$15:$U$75,16,FALSE)</f>
        <v>NA</v>
      </c>
      <c r="N185" s="282" t="str">
        <f t="shared" si="16"/>
        <v>NA</v>
      </c>
      <c r="O185" s="283" t="str">
        <f>VLOOKUP($E185,'[3]Analysis Inputs'!$D$15:$U$75,17,FALSE)</f>
        <v>NA</v>
      </c>
      <c r="P185" s="284" t="str">
        <f t="shared" si="17"/>
        <v>NA</v>
      </c>
      <c r="Q185" s="248" t="str">
        <f>VLOOKUP($E185,'[3]Analysis Inputs'!$D$15:$U$75,18,FALSE)</f>
        <v>NA</v>
      </c>
      <c r="R185" s="285" t="s">
        <v>102</v>
      </c>
      <c r="S185" s="271">
        <f t="shared" si="21"/>
        <v>0</v>
      </c>
    </row>
    <row r="186" spans="2:19" ht="12.75" customHeight="1" x14ac:dyDescent="0.2">
      <c r="B186" s="237">
        <f t="shared" si="18"/>
        <v>0</v>
      </c>
      <c r="C186" s="237">
        <f t="shared" si="19"/>
        <v>0</v>
      </c>
      <c r="D186">
        <f t="shared" si="20"/>
        <v>0</v>
      </c>
      <c r="E186" s="268" t="s">
        <v>176</v>
      </c>
      <c r="F186" s="248">
        <f>VLOOKUP($E186,'[3]Analysis Inputs'!$D$15:$U$75,10,FALSE)</f>
        <v>0</v>
      </c>
      <c r="G186" s="269">
        <f>VLOOKUP($E186,'[3]Analysis Inputs'!$D$15:$U$75,13,FALSE)</f>
        <v>0</v>
      </c>
      <c r="H186" s="269">
        <f t="shared" si="13"/>
        <v>0</v>
      </c>
      <c r="I186" s="248">
        <f>VLOOKUP($E186,'[3]Analysis Inputs'!$D$15:$U$75,14,FALSE)</f>
        <v>0</v>
      </c>
      <c r="J186" s="248">
        <f t="shared" si="14"/>
        <v>0</v>
      </c>
      <c r="K186" s="248">
        <f>VLOOKUP($E186,'[3]Analysis Inputs'!$D$15:$U$75,15,FALSE)</f>
        <v>0</v>
      </c>
      <c r="L186" s="248">
        <f t="shared" si="15"/>
        <v>0</v>
      </c>
      <c r="M186" s="248">
        <f>VLOOKUP($E186,'[3]Analysis Inputs'!$D$15:$U$75,16,FALSE)</f>
        <v>0</v>
      </c>
      <c r="N186" s="282">
        <f t="shared" si="16"/>
        <v>0</v>
      </c>
      <c r="O186" s="283" t="str">
        <f>VLOOKUP($E186,'[3]Analysis Inputs'!$D$15:$U$75,17,FALSE)</f>
        <v>NA</v>
      </c>
      <c r="P186" s="284" t="str">
        <f t="shared" si="17"/>
        <v>NA</v>
      </c>
      <c r="Q186" s="248" t="str">
        <f>VLOOKUP($E186,'[3]Analysis Inputs'!$D$15:$U$75,18,FALSE)</f>
        <v>NA</v>
      </c>
      <c r="R186" s="285" t="s">
        <v>102</v>
      </c>
      <c r="S186" s="271">
        <f t="shared" si="21"/>
        <v>0</v>
      </c>
    </row>
    <row r="187" spans="2:19" ht="12.75" customHeight="1" x14ac:dyDescent="0.2">
      <c r="B187" s="237">
        <f t="shared" si="18"/>
        <v>0</v>
      </c>
      <c r="C187" s="237">
        <f t="shared" si="19"/>
        <v>0</v>
      </c>
      <c r="D187">
        <f t="shared" si="20"/>
        <v>0</v>
      </c>
      <c r="E187" s="268" t="s">
        <v>177</v>
      </c>
      <c r="F187" s="248">
        <f>VLOOKUP($E187,'[3]Analysis Inputs'!$D$15:$U$75,10,FALSE)</f>
        <v>0</v>
      </c>
      <c r="G187" s="269">
        <f>VLOOKUP($E187,'[3]Analysis Inputs'!$D$15:$U$75,13,FALSE)</f>
        <v>0</v>
      </c>
      <c r="H187" s="269">
        <f t="shared" si="13"/>
        <v>0</v>
      </c>
      <c r="I187" s="248">
        <f>VLOOKUP($E187,'[3]Analysis Inputs'!$D$15:$U$75,14,FALSE)</f>
        <v>0</v>
      </c>
      <c r="J187" s="248">
        <f t="shared" si="14"/>
        <v>0</v>
      </c>
      <c r="K187" s="248">
        <f>VLOOKUP($E187,'[3]Analysis Inputs'!$D$15:$U$75,15,FALSE)</f>
        <v>0</v>
      </c>
      <c r="L187" s="248">
        <f t="shared" si="15"/>
        <v>0</v>
      </c>
      <c r="M187" s="248">
        <f>VLOOKUP($E187,'[3]Analysis Inputs'!$D$15:$U$75,16,FALSE)</f>
        <v>0</v>
      </c>
      <c r="N187" s="282">
        <f t="shared" si="16"/>
        <v>0</v>
      </c>
      <c r="O187" s="283" t="str">
        <f>VLOOKUP($E187,'[3]Analysis Inputs'!$D$15:$U$75,17,FALSE)</f>
        <v>NA</v>
      </c>
      <c r="P187" s="284" t="str">
        <f t="shared" si="17"/>
        <v>NA</v>
      </c>
      <c r="Q187" s="248" t="str">
        <f>VLOOKUP($E187,'[3]Analysis Inputs'!$D$15:$U$75,18,FALSE)</f>
        <v>NA</v>
      </c>
      <c r="R187" s="285" t="s">
        <v>102</v>
      </c>
      <c r="S187" s="271">
        <f t="shared" si="21"/>
        <v>0</v>
      </c>
    </row>
    <row r="188" spans="2:19" ht="12.75" customHeight="1" x14ac:dyDescent="0.2">
      <c r="B188" s="237">
        <f t="shared" si="18"/>
        <v>0</v>
      </c>
      <c r="C188" s="237">
        <f t="shared" si="19"/>
        <v>0</v>
      </c>
      <c r="D188">
        <f t="shared" si="20"/>
        <v>0</v>
      </c>
      <c r="E188" s="268" t="s">
        <v>178</v>
      </c>
      <c r="F188" s="248">
        <f>VLOOKUP($E188,'[3]Analysis Inputs'!$D$15:$U$75,10,FALSE)</f>
        <v>0</v>
      </c>
      <c r="G188" s="269">
        <f>VLOOKUP($E188,'[3]Analysis Inputs'!$D$15:$U$75,13,FALSE)</f>
        <v>0</v>
      </c>
      <c r="H188" s="269">
        <f t="shared" si="13"/>
        <v>0</v>
      </c>
      <c r="I188" s="248" t="str">
        <f>VLOOKUP($E188,'[3]Analysis Inputs'!$D$15:$U$75,14,FALSE)</f>
        <v>NA</v>
      </c>
      <c r="J188" s="248" t="str">
        <f t="shared" si="14"/>
        <v>NA</v>
      </c>
      <c r="K188" s="248">
        <f>VLOOKUP($E188,'[3]Analysis Inputs'!$D$15:$U$75,15,FALSE)</f>
        <v>0</v>
      </c>
      <c r="L188" s="248">
        <f t="shared" si="15"/>
        <v>0</v>
      </c>
      <c r="M188" s="248" t="str">
        <f>VLOOKUP($E188,'[3]Analysis Inputs'!$D$15:$U$75,16,FALSE)</f>
        <v>NA</v>
      </c>
      <c r="N188" s="282" t="str">
        <f t="shared" si="16"/>
        <v>NA</v>
      </c>
      <c r="O188" s="283" t="str">
        <f>VLOOKUP($E188,'[3]Analysis Inputs'!$D$15:$U$75,17,FALSE)</f>
        <v>NA</v>
      </c>
      <c r="P188" s="284" t="str">
        <f t="shared" si="17"/>
        <v>NA</v>
      </c>
      <c r="Q188" s="248" t="str">
        <f>VLOOKUP($E188,'[3]Analysis Inputs'!$D$15:$U$75,18,FALSE)</f>
        <v>NA</v>
      </c>
      <c r="R188" s="285" t="s">
        <v>102</v>
      </c>
      <c r="S188" s="271">
        <f t="shared" si="21"/>
        <v>0</v>
      </c>
    </row>
    <row r="189" spans="2:19" ht="12.75" customHeight="1" x14ac:dyDescent="0.2">
      <c r="B189" s="237">
        <f t="shared" si="18"/>
        <v>0</v>
      </c>
      <c r="C189" s="237">
        <f t="shared" si="19"/>
        <v>0</v>
      </c>
      <c r="D189">
        <f t="shared" si="20"/>
        <v>0</v>
      </c>
      <c r="E189" s="268" t="s">
        <v>179</v>
      </c>
      <c r="F189" s="248">
        <f>VLOOKUP($E189,'[3]Analysis Inputs'!$D$15:$U$75,10,FALSE)</f>
        <v>0</v>
      </c>
      <c r="G189" s="269" t="str">
        <f>VLOOKUP($E189,'[3]Analysis Inputs'!$D$15:$U$75,13,FALSE)</f>
        <v>NA</v>
      </c>
      <c r="H189" s="269" t="str">
        <f t="shared" si="13"/>
        <v>NA</v>
      </c>
      <c r="I189" s="248">
        <f>VLOOKUP($E189,'[3]Analysis Inputs'!$D$15:$U$75,14,FALSE)</f>
        <v>0</v>
      </c>
      <c r="J189" s="248">
        <f t="shared" si="14"/>
        <v>0</v>
      </c>
      <c r="K189" s="248">
        <f>VLOOKUP($E189,'[3]Analysis Inputs'!$D$15:$U$75,15,FALSE)</f>
        <v>0</v>
      </c>
      <c r="L189" s="248">
        <f t="shared" si="15"/>
        <v>0</v>
      </c>
      <c r="M189" s="248" t="str">
        <f>VLOOKUP($E189,'[3]Analysis Inputs'!$D$15:$U$75,16,FALSE)</f>
        <v>NA</v>
      </c>
      <c r="N189" s="282" t="str">
        <f t="shared" si="16"/>
        <v>NA</v>
      </c>
      <c r="O189" s="283" t="str">
        <f>VLOOKUP($E189,'[3]Analysis Inputs'!$D$15:$U$75,17,FALSE)</f>
        <v>NA</v>
      </c>
      <c r="P189" s="284" t="str">
        <f t="shared" si="17"/>
        <v>NA</v>
      </c>
      <c r="Q189" s="248" t="str">
        <f>VLOOKUP($E189,'[3]Analysis Inputs'!$D$15:$U$75,18,FALSE)</f>
        <v>NA</v>
      </c>
      <c r="R189" s="285" t="s">
        <v>102</v>
      </c>
      <c r="S189" s="271">
        <f t="shared" si="21"/>
        <v>0</v>
      </c>
    </row>
    <row r="190" spans="2:19" ht="12.75" customHeight="1" x14ac:dyDescent="0.2">
      <c r="B190" s="237">
        <f t="shared" si="18"/>
        <v>0</v>
      </c>
      <c r="C190" s="237">
        <f t="shared" si="19"/>
        <v>0</v>
      </c>
      <c r="D190">
        <f t="shared" si="20"/>
        <v>0</v>
      </c>
      <c r="E190" s="268" t="s">
        <v>180</v>
      </c>
      <c r="F190" s="248">
        <f>VLOOKUP($E190,'[3]Analysis Inputs'!$D$15:$U$75,10,FALSE)</f>
        <v>0</v>
      </c>
      <c r="G190" s="269">
        <f>VLOOKUP($E190,'[3]Analysis Inputs'!$D$15:$U$75,13,FALSE)</f>
        <v>0</v>
      </c>
      <c r="H190" s="269">
        <f t="shared" si="13"/>
        <v>0</v>
      </c>
      <c r="I190" s="248">
        <f>VLOOKUP($E190,'[3]Analysis Inputs'!$D$15:$U$75,14,FALSE)</f>
        <v>0</v>
      </c>
      <c r="J190" s="248">
        <f t="shared" si="14"/>
        <v>0</v>
      </c>
      <c r="K190" s="248">
        <f>VLOOKUP($E190,'[3]Analysis Inputs'!$D$15:$U$75,15,FALSE)</f>
        <v>0</v>
      </c>
      <c r="L190" s="248">
        <f t="shared" si="15"/>
        <v>0</v>
      </c>
      <c r="M190" s="248">
        <f>VLOOKUP($E190,'[3]Analysis Inputs'!$D$15:$U$75,16,FALSE)</f>
        <v>0</v>
      </c>
      <c r="N190" s="282">
        <f t="shared" si="16"/>
        <v>0</v>
      </c>
      <c r="O190" s="283" t="str">
        <f>VLOOKUP($E190,'[3]Analysis Inputs'!$D$15:$U$75,17,FALSE)</f>
        <v>NA</v>
      </c>
      <c r="P190" s="284" t="str">
        <f t="shared" si="17"/>
        <v>NA</v>
      </c>
      <c r="Q190" s="248" t="str">
        <f>VLOOKUP($E190,'[3]Analysis Inputs'!$D$15:$U$75,18,FALSE)</f>
        <v>NA</v>
      </c>
      <c r="R190" s="285" t="s">
        <v>102</v>
      </c>
      <c r="S190" s="271">
        <f t="shared" si="21"/>
        <v>0</v>
      </c>
    </row>
    <row r="191" spans="2:19" ht="12.75" customHeight="1" x14ac:dyDescent="0.2">
      <c r="B191" s="237">
        <f t="shared" si="18"/>
        <v>0</v>
      </c>
      <c r="C191" s="237">
        <f t="shared" si="19"/>
        <v>0</v>
      </c>
      <c r="D191">
        <f t="shared" si="20"/>
        <v>0</v>
      </c>
      <c r="E191" s="246" t="s">
        <v>181</v>
      </c>
      <c r="F191" s="248">
        <f>VLOOKUP($E191,'[3]Analysis Inputs'!$D$15:$U$75,10,FALSE)</f>
        <v>0</v>
      </c>
      <c r="G191" s="269">
        <f>VLOOKUP($E191,'[3]Analysis Inputs'!$D$15:$U$75,13,FALSE)</f>
        <v>0</v>
      </c>
      <c r="H191" s="269">
        <f t="shared" si="13"/>
        <v>0</v>
      </c>
      <c r="I191" s="248">
        <f>VLOOKUP($E191,'[3]Analysis Inputs'!$D$15:$U$75,14,FALSE)</f>
        <v>0</v>
      </c>
      <c r="J191" s="248">
        <f t="shared" si="14"/>
        <v>0</v>
      </c>
      <c r="K191" s="248">
        <f>VLOOKUP($E191,'[3]Analysis Inputs'!$D$15:$U$75,15,FALSE)</f>
        <v>0</v>
      </c>
      <c r="L191" s="248">
        <f t="shared" si="15"/>
        <v>0</v>
      </c>
      <c r="M191" s="248" t="str">
        <f>VLOOKUP($E191,'[3]Analysis Inputs'!$D$15:$U$75,16,FALSE)</f>
        <v>NA</v>
      </c>
      <c r="N191" s="282" t="str">
        <f t="shared" si="16"/>
        <v>NA</v>
      </c>
      <c r="O191" s="283" t="str">
        <f>VLOOKUP($E191,'[3]Analysis Inputs'!$D$15:$U$75,17,FALSE)</f>
        <v>NA</v>
      </c>
      <c r="P191" s="284" t="str">
        <f t="shared" si="17"/>
        <v>NA</v>
      </c>
      <c r="Q191" s="248" t="str">
        <f>VLOOKUP($E191,'[3]Analysis Inputs'!$D$15:$U$75,18,FALSE)</f>
        <v>NA</v>
      </c>
      <c r="R191" s="285" t="s">
        <v>102</v>
      </c>
      <c r="S191" s="271">
        <f t="shared" si="21"/>
        <v>0</v>
      </c>
    </row>
    <row r="192" spans="2:19" ht="12.75" customHeight="1" x14ac:dyDescent="0.2">
      <c r="B192" s="237">
        <f t="shared" si="18"/>
        <v>0</v>
      </c>
      <c r="C192" s="237">
        <f t="shared" si="19"/>
        <v>0</v>
      </c>
      <c r="D192">
        <f t="shared" si="20"/>
        <v>0</v>
      </c>
      <c r="E192" s="246" t="s">
        <v>182</v>
      </c>
      <c r="F192" s="248">
        <f>VLOOKUP($E192,'[3]Analysis Inputs'!$D$15:$U$75,10,FALSE)</f>
        <v>0</v>
      </c>
      <c r="G192" s="269">
        <f>VLOOKUP($E192,'[3]Analysis Inputs'!$D$15:$U$75,13,FALSE)</f>
        <v>0</v>
      </c>
      <c r="H192" s="269">
        <f t="shared" si="13"/>
        <v>0</v>
      </c>
      <c r="I192" s="248" t="str">
        <f>VLOOKUP($E192,'[3]Analysis Inputs'!$D$15:$U$75,14,FALSE)</f>
        <v>NA</v>
      </c>
      <c r="J192" s="248" t="str">
        <f t="shared" si="14"/>
        <v>NA</v>
      </c>
      <c r="K192" s="248">
        <f>VLOOKUP($E192,'[3]Analysis Inputs'!$D$15:$U$75,15,FALSE)</f>
        <v>0</v>
      </c>
      <c r="L192" s="248">
        <f t="shared" si="15"/>
        <v>0</v>
      </c>
      <c r="M192" s="248" t="str">
        <f>VLOOKUP($E192,'[3]Analysis Inputs'!$D$15:$U$75,16,FALSE)</f>
        <v>NA</v>
      </c>
      <c r="N192" s="282" t="str">
        <f t="shared" si="16"/>
        <v>NA</v>
      </c>
      <c r="O192" s="283" t="str">
        <f>VLOOKUP($E192,'[3]Analysis Inputs'!$D$15:$U$75,17,FALSE)</f>
        <v>NA</v>
      </c>
      <c r="P192" s="284" t="str">
        <f t="shared" si="17"/>
        <v>NA</v>
      </c>
      <c r="Q192" s="248" t="str">
        <f>VLOOKUP($E192,'[3]Analysis Inputs'!$D$15:$U$75,18,FALSE)</f>
        <v>NA</v>
      </c>
      <c r="R192" s="285" t="s">
        <v>102</v>
      </c>
      <c r="S192" s="271">
        <f t="shared" si="21"/>
        <v>0</v>
      </c>
    </row>
    <row r="193" spans="2:19" ht="12.75" customHeight="1" x14ac:dyDescent="0.2">
      <c r="B193" s="237">
        <f t="shared" si="18"/>
        <v>0</v>
      </c>
      <c r="C193" s="237">
        <f t="shared" si="19"/>
        <v>0</v>
      </c>
      <c r="D193">
        <f t="shared" si="20"/>
        <v>0</v>
      </c>
      <c r="E193" s="246" t="s">
        <v>183</v>
      </c>
      <c r="F193" s="248">
        <f>VLOOKUP($E193,'[3]Analysis Inputs'!$D$15:$U$75,10,FALSE)</f>
        <v>0</v>
      </c>
      <c r="G193" s="269" t="str">
        <f>VLOOKUP($E193,'[3]Analysis Inputs'!$D$15:$U$75,13,FALSE)</f>
        <v>NA</v>
      </c>
      <c r="H193" s="269" t="str">
        <f t="shared" si="13"/>
        <v>NA</v>
      </c>
      <c r="I193" s="248">
        <f>VLOOKUP($E193,'[3]Analysis Inputs'!$D$15:$U$75,14,FALSE)</f>
        <v>0</v>
      </c>
      <c r="J193" s="248">
        <f t="shared" si="14"/>
        <v>0</v>
      </c>
      <c r="K193" s="248">
        <f>VLOOKUP($E193,'[3]Analysis Inputs'!$D$15:$U$75,15,FALSE)</f>
        <v>0</v>
      </c>
      <c r="L193" s="248">
        <f t="shared" si="15"/>
        <v>0</v>
      </c>
      <c r="M193" s="248" t="str">
        <f>VLOOKUP($E193,'[3]Analysis Inputs'!$D$15:$U$75,16,FALSE)</f>
        <v>NA</v>
      </c>
      <c r="N193" s="282" t="str">
        <f t="shared" si="16"/>
        <v>NA</v>
      </c>
      <c r="O193" s="283" t="str">
        <f>VLOOKUP($E193,'[3]Analysis Inputs'!$D$15:$U$75,17,FALSE)</f>
        <v>NA</v>
      </c>
      <c r="P193" s="284" t="str">
        <f t="shared" si="17"/>
        <v>NA</v>
      </c>
      <c r="Q193" s="248" t="str">
        <f>VLOOKUP($E193,'[3]Analysis Inputs'!$D$15:$U$75,18,FALSE)</f>
        <v>NA</v>
      </c>
      <c r="R193" s="285" t="s">
        <v>102</v>
      </c>
      <c r="S193" s="271">
        <f t="shared" si="21"/>
        <v>0</v>
      </c>
    </row>
    <row r="194" spans="2:19" ht="12.75" customHeight="1" x14ac:dyDescent="0.2">
      <c r="B194" s="237">
        <f t="shared" si="18"/>
        <v>0</v>
      </c>
      <c r="C194" s="237">
        <f t="shared" si="19"/>
        <v>0</v>
      </c>
      <c r="D194">
        <f t="shared" si="20"/>
        <v>0</v>
      </c>
      <c r="E194" s="246" t="s">
        <v>184</v>
      </c>
      <c r="F194" s="248">
        <f>VLOOKUP($E194,'[3]Analysis Inputs'!$D$15:$U$75,10,FALSE)</f>
        <v>0</v>
      </c>
      <c r="G194" s="269">
        <f>VLOOKUP($E194,'[3]Analysis Inputs'!$D$15:$U$75,13,FALSE)</f>
        <v>0</v>
      </c>
      <c r="H194" s="269">
        <f t="shared" si="13"/>
        <v>0</v>
      </c>
      <c r="I194" s="248" t="str">
        <f>VLOOKUP($E194,'[3]Analysis Inputs'!$D$15:$U$75,14,FALSE)</f>
        <v>NA</v>
      </c>
      <c r="J194" s="248" t="str">
        <f t="shared" si="14"/>
        <v>NA</v>
      </c>
      <c r="K194" s="248">
        <f>VLOOKUP($E194,'[3]Analysis Inputs'!$D$15:$U$75,15,FALSE)</f>
        <v>0</v>
      </c>
      <c r="L194" s="248">
        <f t="shared" si="15"/>
        <v>0</v>
      </c>
      <c r="M194" s="248">
        <f>VLOOKUP($E194,'[3]Analysis Inputs'!$D$15:$U$75,16,FALSE)</f>
        <v>0</v>
      </c>
      <c r="N194" s="282">
        <f t="shared" si="16"/>
        <v>0</v>
      </c>
      <c r="O194" s="283" t="str">
        <f>VLOOKUP($E194,'[3]Analysis Inputs'!$D$15:$U$75,17,FALSE)</f>
        <v>NA</v>
      </c>
      <c r="P194" s="284" t="str">
        <f t="shared" si="17"/>
        <v>NA</v>
      </c>
      <c r="Q194" s="248" t="str">
        <f>VLOOKUP($E194,'[3]Analysis Inputs'!$D$15:$U$75,18,FALSE)</f>
        <v>NA</v>
      </c>
      <c r="R194" s="285" t="s">
        <v>102</v>
      </c>
      <c r="S194" s="271">
        <f t="shared" si="21"/>
        <v>0</v>
      </c>
    </row>
    <row r="195" spans="2:19" ht="12.75" customHeight="1" x14ac:dyDescent="0.2">
      <c r="B195" s="237">
        <f>IF(SUM(G195,I195,K195,M195,O195,Q195)=0,0,1)</f>
        <v>0</v>
      </c>
      <c r="C195" s="237">
        <f>C194+B195</f>
        <v>0</v>
      </c>
      <c r="D195">
        <f>C195*B195</f>
        <v>0</v>
      </c>
      <c r="E195" s="246" t="s">
        <v>185</v>
      </c>
      <c r="F195" s="248">
        <f>VLOOKUP($E195,'[3]Analysis Inputs'!$D$15:$U$75,10,FALSE)</f>
        <v>0</v>
      </c>
      <c r="G195" s="269">
        <f>VLOOKUP($E195,'[3]Analysis Inputs'!$D$15:$U$75,13,FALSE)</f>
        <v>0</v>
      </c>
      <c r="H195" s="269">
        <f t="shared" si="13"/>
        <v>0</v>
      </c>
      <c r="I195" s="248">
        <f>VLOOKUP($E195,'[3]Analysis Inputs'!$D$15:$U$75,14,FALSE)</f>
        <v>0</v>
      </c>
      <c r="J195" s="248">
        <f t="shared" si="14"/>
        <v>0</v>
      </c>
      <c r="K195" s="248">
        <f>VLOOKUP($E195,'[3]Analysis Inputs'!$D$15:$U$75,15,FALSE)</f>
        <v>0</v>
      </c>
      <c r="L195" s="248">
        <f t="shared" si="15"/>
        <v>0</v>
      </c>
      <c r="M195" s="248" t="str">
        <f>VLOOKUP($E195,'[3]Analysis Inputs'!$D$15:$U$75,16,FALSE)</f>
        <v>NA</v>
      </c>
      <c r="N195" s="282" t="str">
        <f t="shared" si="16"/>
        <v>NA</v>
      </c>
      <c r="O195" s="283" t="str">
        <f>VLOOKUP($E195,'[3]Analysis Inputs'!$D$15:$U$75,17,FALSE)</f>
        <v>NA</v>
      </c>
      <c r="P195" s="284" t="str">
        <f t="shared" si="17"/>
        <v>NA</v>
      </c>
      <c r="Q195" s="248" t="str">
        <f>VLOOKUP($E195,'[3]Analysis Inputs'!$D$15:$U$75,18,FALSE)</f>
        <v>NA</v>
      </c>
      <c r="R195" s="285" t="s">
        <v>102</v>
      </c>
      <c r="S195" s="271">
        <f>IF(R195="INPUT ERROR","INPUT ERROR",SUM(H195,J195,L195,N195,P195,R195))</f>
        <v>0</v>
      </c>
    </row>
    <row r="196" spans="2:19" ht="12.75" customHeight="1" x14ac:dyDescent="0.2">
      <c r="B196" s="237">
        <f t="shared" si="18"/>
        <v>0</v>
      </c>
      <c r="C196" s="237">
        <f>C195+B196</f>
        <v>0</v>
      </c>
      <c r="D196">
        <f t="shared" si="20"/>
        <v>0</v>
      </c>
      <c r="E196" s="268" t="s">
        <v>186</v>
      </c>
      <c r="F196" s="248">
        <f>VLOOKUP($E196,'[3]Analysis Inputs'!$D$15:$U$75,10,FALSE)</f>
        <v>0</v>
      </c>
      <c r="G196" s="269">
        <f>VLOOKUP($E196,'[3]Analysis Inputs'!$D$15:$U$75,13,FALSE)</f>
        <v>0</v>
      </c>
      <c r="H196" s="269">
        <f t="shared" si="13"/>
        <v>0</v>
      </c>
      <c r="I196" s="248" t="str">
        <f>VLOOKUP($E196,'[3]Analysis Inputs'!$D$15:$U$75,14,FALSE)</f>
        <v>NA</v>
      </c>
      <c r="J196" s="248" t="str">
        <f t="shared" si="14"/>
        <v>NA</v>
      </c>
      <c r="K196" s="248">
        <f>VLOOKUP($E196,'[3]Analysis Inputs'!$D$15:$U$75,15,FALSE)</f>
        <v>0</v>
      </c>
      <c r="L196" s="248">
        <f t="shared" si="15"/>
        <v>0</v>
      </c>
      <c r="M196" s="248">
        <f>VLOOKUP($E196,'[3]Analysis Inputs'!$D$15:$U$75,16,FALSE)</f>
        <v>0</v>
      </c>
      <c r="N196" s="282">
        <f t="shared" si="16"/>
        <v>0</v>
      </c>
      <c r="O196" s="283" t="str">
        <f>VLOOKUP($E196,'[3]Analysis Inputs'!$D$15:$U$75,17,FALSE)</f>
        <v>NA</v>
      </c>
      <c r="P196" s="284" t="str">
        <f t="shared" si="17"/>
        <v>NA</v>
      </c>
      <c r="Q196" s="248" t="str">
        <f>VLOOKUP($E196,'[3]Analysis Inputs'!$D$15:$U$75,18,FALSE)</f>
        <v>NA</v>
      </c>
      <c r="R196" s="285" t="s">
        <v>102</v>
      </c>
      <c r="S196" s="271">
        <f t="shared" si="21"/>
        <v>0</v>
      </c>
    </row>
    <row r="197" spans="2:19" ht="12.75" customHeight="1" x14ac:dyDescent="0.2">
      <c r="B197" s="237">
        <f t="shared" si="18"/>
        <v>0</v>
      </c>
      <c r="C197" s="237">
        <f t="shared" si="19"/>
        <v>0</v>
      </c>
      <c r="D197">
        <f t="shared" si="20"/>
        <v>0</v>
      </c>
      <c r="E197" s="246" t="s">
        <v>187</v>
      </c>
      <c r="F197" s="248">
        <f>VLOOKUP($E197,'[3]Analysis Inputs'!$D$15:$U$75,10,FALSE)</f>
        <v>0</v>
      </c>
      <c r="G197" s="269">
        <f>VLOOKUP($E197,'[3]Analysis Inputs'!$D$15:$U$75,13,FALSE)</f>
        <v>0</v>
      </c>
      <c r="H197" s="269">
        <f t="shared" si="13"/>
        <v>0</v>
      </c>
      <c r="I197" s="248">
        <f>VLOOKUP($E197,'[3]Analysis Inputs'!$D$15:$U$75,14,FALSE)</f>
        <v>0</v>
      </c>
      <c r="J197" s="248">
        <f t="shared" si="14"/>
        <v>0</v>
      </c>
      <c r="K197" s="248">
        <f>VLOOKUP($E197,'[3]Analysis Inputs'!$D$15:$U$75,15,FALSE)</f>
        <v>0</v>
      </c>
      <c r="L197" s="248">
        <f t="shared" si="15"/>
        <v>0</v>
      </c>
      <c r="M197" s="248">
        <f>VLOOKUP($E197,'[3]Analysis Inputs'!$D$15:$U$75,16,FALSE)</f>
        <v>0</v>
      </c>
      <c r="N197" s="282">
        <f t="shared" si="16"/>
        <v>0</v>
      </c>
      <c r="O197" s="283" t="str">
        <f>VLOOKUP($E197,'[3]Analysis Inputs'!$D$15:$U$75,17,FALSE)</f>
        <v>NA</v>
      </c>
      <c r="P197" s="284" t="str">
        <f t="shared" si="17"/>
        <v>NA</v>
      </c>
      <c r="Q197" s="248" t="str">
        <f>VLOOKUP($E197,'[3]Analysis Inputs'!$D$15:$U$75,18,FALSE)</f>
        <v>NA</v>
      </c>
      <c r="R197" s="285" t="s">
        <v>102</v>
      </c>
      <c r="S197" s="271">
        <f t="shared" si="21"/>
        <v>0</v>
      </c>
    </row>
    <row r="198" spans="2:19" ht="12.75" customHeight="1" x14ac:dyDescent="0.2">
      <c r="B198" s="237">
        <f t="shared" si="18"/>
        <v>0</v>
      </c>
      <c r="C198" s="237">
        <f t="shared" si="19"/>
        <v>0</v>
      </c>
      <c r="D198">
        <f t="shared" si="20"/>
        <v>0</v>
      </c>
      <c r="E198" s="246" t="s">
        <v>188</v>
      </c>
      <c r="F198" s="248">
        <f>VLOOKUP($E198,'[3]Analysis Inputs'!$D$15:$U$75,10,FALSE)</f>
        <v>0</v>
      </c>
      <c r="G198" s="269">
        <f>VLOOKUP($E198,'[3]Analysis Inputs'!$D$15:$U$75,13,FALSE)</f>
        <v>0</v>
      </c>
      <c r="H198" s="269">
        <f t="shared" si="13"/>
        <v>0</v>
      </c>
      <c r="I198" s="248">
        <f>VLOOKUP($E198,'[3]Analysis Inputs'!$D$15:$U$75,14,FALSE)</f>
        <v>0</v>
      </c>
      <c r="J198" s="248">
        <f t="shared" si="14"/>
        <v>0</v>
      </c>
      <c r="K198" s="248">
        <f>VLOOKUP($E198,'[3]Analysis Inputs'!$D$15:$U$75,15,FALSE)</f>
        <v>0</v>
      </c>
      <c r="L198" s="248">
        <f t="shared" si="15"/>
        <v>0</v>
      </c>
      <c r="M198" s="248">
        <f>VLOOKUP($E198,'[3]Analysis Inputs'!$D$15:$U$75,16,FALSE)</f>
        <v>0</v>
      </c>
      <c r="N198" s="282">
        <f t="shared" si="16"/>
        <v>0</v>
      </c>
      <c r="O198" s="283" t="str">
        <f>VLOOKUP($E198,'[3]Analysis Inputs'!$D$15:$U$75,17,FALSE)</f>
        <v>NA</v>
      </c>
      <c r="P198" s="284" t="str">
        <f t="shared" si="17"/>
        <v>NA</v>
      </c>
      <c r="Q198" s="248" t="str">
        <f>VLOOKUP($E198,'[3]Analysis Inputs'!$D$15:$U$75,18,FALSE)</f>
        <v>NA</v>
      </c>
      <c r="R198" s="285" t="s">
        <v>102</v>
      </c>
      <c r="S198" s="271">
        <f t="shared" si="21"/>
        <v>0</v>
      </c>
    </row>
    <row r="199" spans="2:19" ht="12.75" customHeight="1" x14ac:dyDescent="0.2">
      <c r="B199" s="237">
        <f t="shared" si="18"/>
        <v>0</v>
      </c>
      <c r="C199" s="237">
        <f t="shared" si="19"/>
        <v>0</v>
      </c>
      <c r="D199">
        <f t="shared" si="20"/>
        <v>0</v>
      </c>
      <c r="E199" s="268" t="s">
        <v>189</v>
      </c>
      <c r="F199" s="248">
        <f>VLOOKUP($E199,'[3]Analysis Inputs'!$D$15:$U$75,10,FALSE)</f>
        <v>0</v>
      </c>
      <c r="G199" s="269" t="str">
        <f>VLOOKUP($E199,'[3]Analysis Inputs'!$D$15:$U$75,13,FALSE)</f>
        <v>NA</v>
      </c>
      <c r="H199" s="269" t="str">
        <f t="shared" si="13"/>
        <v>NA</v>
      </c>
      <c r="I199" s="248">
        <f>VLOOKUP($E199,'[3]Analysis Inputs'!$D$15:$U$75,14,FALSE)</f>
        <v>0</v>
      </c>
      <c r="J199" s="248">
        <f t="shared" si="14"/>
        <v>0</v>
      </c>
      <c r="K199" s="248">
        <f>VLOOKUP($E199,'[3]Analysis Inputs'!$D$15:$U$75,15,FALSE)</f>
        <v>0</v>
      </c>
      <c r="L199" s="248">
        <f t="shared" si="15"/>
        <v>0</v>
      </c>
      <c r="M199" s="248">
        <f>VLOOKUP($E199,'[3]Analysis Inputs'!$D$15:$U$75,16,FALSE)</f>
        <v>0</v>
      </c>
      <c r="N199" s="282">
        <f t="shared" si="16"/>
        <v>0</v>
      </c>
      <c r="O199" s="283" t="str">
        <f>VLOOKUP($E199,'[3]Analysis Inputs'!$D$15:$U$75,17,FALSE)</f>
        <v>NA</v>
      </c>
      <c r="P199" s="284" t="str">
        <f t="shared" si="17"/>
        <v>NA</v>
      </c>
      <c r="Q199" s="248" t="str">
        <f>VLOOKUP($E199,'[3]Analysis Inputs'!$D$15:$U$75,18,FALSE)</f>
        <v>NA</v>
      </c>
      <c r="R199" s="285" t="s">
        <v>102</v>
      </c>
      <c r="S199" s="271">
        <f t="shared" si="21"/>
        <v>0</v>
      </c>
    </row>
    <row r="200" spans="2:19" ht="12.75" customHeight="1" x14ac:dyDescent="0.2">
      <c r="B200" s="237">
        <f t="shared" si="18"/>
        <v>0</v>
      </c>
      <c r="C200" s="237">
        <f t="shared" si="19"/>
        <v>0</v>
      </c>
      <c r="D200">
        <f t="shared" si="20"/>
        <v>0</v>
      </c>
      <c r="E200" s="268" t="s">
        <v>190</v>
      </c>
      <c r="F200" s="248">
        <f>VLOOKUP($E200,'[3]Analysis Inputs'!$D$15:$U$75,10,FALSE)</f>
        <v>0</v>
      </c>
      <c r="G200" s="269" t="str">
        <f>VLOOKUP($E200,'[3]Analysis Inputs'!$D$15:$U$75,13,FALSE)</f>
        <v>NA</v>
      </c>
      <c r="H200" s="269" t="str">
        <f t="shared" si="13"/>
        <v>NA</v>
      </c>
      <c r="I200" s="248" t="str">
        <f>VLOOKUP($E200,'[3]Analysis Inputs'!$D$15:$U$75,14,FALSE)</f>
        <v>NA</v>
      </c>
      <c r="J200" s="248" t="str">
        <f t="shared" si="14"/>
        <v>NA</v>
      </c>
      <c r="K200" s="248">
        <f>VLOOKUP($E200,'[3]Analysis Inputs'!$D$15:$U$75,15,FALSE)</f>
        <v>0</v>
      </c>
      <c r="L200" s="248">
        <f t="shared" si="15"/>
        <v>0</v>
      </c>
      <c r="M200" s="248">
        <f>VLOOKUP($E200,'[3]Analysis Inputs'!$D$15:$U$75,16,FALSE)</f>
        <v>0</v>
      </c>
      <c r="N200" s="282">
        <f t="shared" si="16"/>
        <v>0</v>
      </c>
      <c r="O200" s="283">
        <f>VLOOKUP($E200,'[3]Analysis Inputs'!$D$15:$U$75,17,FALSE)</f>
        <v>0</v>
      </c>
      <c r="P200" s="284">
        <f t="shared" si="17"/>
        <v>0</v>
      </c>
      <c r="Q200" s="248">
        <f>VLOOKUP($E200,'[3]Analysis Inputs'!$D$15:$U$75,18,FALSE)</f>
        <v>0</v>
      </c>
      <c r="R200" s="285">
        <f>IF(AND(L71="NA",Q200&lt;&gt;0),"INPUT ERROR",IF(AND(L71="NA",Q200=0),"NA",+Q200*L71))</f>
        <v>0</v>
      </c>
      <c r="S200" s="271">
        <f t="shared" si="21"/>
        <v>0</v>
      </c>
    </row>
    <row r="201" spans="2:19" ht="12.75" customHeight="1" x14ac:dyDescent="0.2">
      <c r="B201" s="237">
        <f t="shared" si="18"/>
        <v>0</v>
      </c>
      <c r="C201" s="237">
        <f t="shared" si="19"/>
        <v>0</v>
      </c>
      <c r="D201">
        <f t="shared" si="20"/>
        <v>0</v>
      </c>
      <c r="E201" s="246" t="s">
        <v>191</v>
      </c>
      <c r="F201" s="248">
        <f>VLOOKUP($E201,'[3]Analysis Inputs'!$D$15:$U$75,10,FALSE)</f>
        <v>0</v>
      </c>
      <c r="G201" s="269" t="str">
        <f>VLOOKUP($E201,'[3]Analysis Inputs'!$D$15:$U$75,13,FALSE)</f>
        <v>NA</v>
      </c>
      <c r="H201" s="269" t="str">
        <f t="shared" si="13"/>
        <v>NA</v>
      </c>
      <c r="I201" s="248" t="str">
        <f>VLOOKUP($E201,'[3]Analysis Inputs'!$D$15:$U$75,14,FALSE)</f>
        <v>NA</v>
      </c>
      <c r="J201" s="248" t="str">
        <f t="shared" si="14"/>
        <v>NA</v>
      </c>
      <c r="K201" s="248">
        <f>VLOOKUP($E201,'[3]Analysis Inputs'!$D$15:$U$75,15,FALSE)</f>
        <v>0</v>
      </c>
      <c r="L201" s="248">
        <f t="shared" si="15"/>
        <v>0</v>
      </c>
      <c r="M201" s="248">
        <f>VLOOKUP($E201,'[3]Analysis Inputs'!$D$15:$U$75,16,FALSE)</f>
        <v>0</v>
      </c>
      <c r="N201" s="282">
        <f t="shared" si="16"/>
        <v>0</v>
      </c>
      <c r="O201" s="286" t="str">
        <f>VLOOKUP($E201,'[3]Analysis Inputs'!$D$15:$U$75,17,FALSE)</f>
        <v>NA</v>
      </c>
      <c r="P201" s="287" t="str">
        <f t="shared" si="17"/>
        <v>NA</v>
      </c>
      <c r="Q201" s="288" t="str">
        <f>VLOOKUP($E201,'[3]Analysis Inputs'!$D$15:$U$75,18,FALSE)</f>
        <v>NA</v>
      </c>
      <c r="R201" s="285" t="s">
        <v>102</v>
      </c>
      <c r="S201" s="289">
        <f>IF(R201="INPUT ERROR","INPUT ERROR",SUM(H201,J201,L201,N201,P201,R201))</f>
        <v>0</v>
      </c>
    </row>
    <row r="202" spans="2:19" ht="13.5" thickBot="1" x14ac:dyDescent="0.25">
      <c r="E202" s="275" t="s">
        <v>208</v>
      </c>
      <c r="F202" s="290">
        <f t="shared" ref="F202:P202" si="23">SUM(F141:F201)</f>
        <v>65300</v>
      </c>
      <c r="G202" s="290">
        <f t="shared" si="23"/>
        <v>0</v>
      </c>
      <c r="H202" s="290">
        <f t="shared" si="23"/>
        <v>0</v>
      </c>
      <c r="I202" s="290">
        <f t="shared" si="23"/>
        <v>0</v>
      </c>
      <c r="J202" s="290">
        <f t="shared" si="23"/>
        <v>0</v>
      </c>
      <c r="K202" s="290">
        <f t="shared" si="23"/>
        <v>0</v>
      </c>
      <c r="L202" s="290">
        <f t="shared" si="23"/>
        <v>0</v>
      </c>
      <c r="M202" s="290">
        <f t="shared" si="23"/>
        <v>0</v>
      </c>
      <c r="N202" s="290">
        <f t="shared" si="23"/>
        <v>0</v>
      </c>
      <c r="O202" s="291">
        <f t="shared" si="23"/>
        <v>0</v>
      </c>
      <c r="P202" s="292">
        <f t="shared" si="23"/>
        <v>0</v>
      </c>
      <c r="Q202" s="293">
        <f>SUM(Q141:Q201)</f>
        <v>0</v>
      </c>
      <c r="R202" s="276">
        <f>IF(AND('[3]Analysis Inputs'!$N$158=3,SUM(Q170:Q173,Q187)&lt;&gt;0),"INPUT ERROR",SUM(R141:R201))</f>
        <v>0</v>
      </c>
      <c r="S202" s="294">
        <f>IF(AND('[3]Analysis Inputs'!$N$158=3,SUM(Q170:Q173,Q187)&lt;&gt;0),"INPUT ERROR: Please select dry digestion",SUM(S141:S201))</f>
        <v>0</v>
      </c>
    </row>
    <row r="204" spans="2:19" ht="13.5" thickBot="1" x14ac:dyDescent="0.25">
      <c r="E204" s="262" t="s">
        <v>217</v>
      </c>
      <c r="F204" s="4"/>
      <c r="G204" s="4"/>
      <c r="H204" s="4"/>
      <c r="I204" s="4"/>
      <c r="J204" s="4"/>
      <c r="K204" s="4"/>
      <c r="L204" s="4"/>
      <c r="M204" s="4"/>
      <c r="N204" s="4"/>
      <c r="O204" s="4"/>
      <c r="P204" s="4"/>
    </row>
    <row r="205" spans="2:19" ht="63.75" x14ac:dyDescent="0.2">
      <c r="E205" s="264" t="s">
        <v>123</v>
      </c>
      <c r="F205" s="265" t="s">
        <v>218</v>
      </c>
      <c r="G205" s="244" t="s">
        <v>219</v>
      </c>
      <c r="H205" s="265" t="s">
        <v>220</v>
      </c>
      <c r="I205" s="244" t="s">
        <v>221</v>
      </c>
      <c r="J205" s="244" t="s">
        <v>222</v>
      </c>
      <c r="K205" s="244" t="s">
        <v>223</v>
      </c>
      <c r="L205" s="244" t="s">
        <v>224</v>
      </c>
      <c r="M205" s="244" t="s">
        <v>225</v>
      </c>
      <c r="N205" s="265" t="s">
        <v>226</v>
      </c>
      <c r="O205" s="244" t="s">
        <v>227</v>
      </c>
      <c r="P205" s="265" t="s">
        <v>228</v>
      </c>
      <c r="Q205" s="244" t="s">
        <v>229</v>
      </c>
      <c r="R205" s="267" t="s">
        <v>230</v>
      </c>
    </row>
    <row r="206" spans="2:19" ht="12.75" customHeight="1" x14ac:dyDescent="0.2">
      <c r="E206" s="268" t="s">
        <v>131</v>
      </c>
      <c r="F206" s="269">
        <f t="shared" ref="F206:G225" si="24">+G141</f>
        <v>0</v>
      </c>
      <c r="G206" s="269">
        <f t="shared" si="24"/>
        <v>0</v>
      </c>
      <c r="H206" s="248">
        <f t="shared" ref="H206:Q221" si="25">IFERROR(+I141-G76,"NA")</f>
        <v>0</v>
      </c>
      <c r="I206" s="248">
        <f t="shared" si="25"/>
        <v>0</v>
      </c>
      <c r="J206" s="248">
        <f t="shared" si="25"/>
        <v>0</v>
      </c>
      <c r="K206" s="248">
        <f t="shared" si="25"/>
        <v>0</v>
      </c>
      <c r="L206" s="248">
        <f t="shared" si="25"/>
        <v>0</v>
      </c>
      <c r="M206" s="248">
        <f t="shared" si="25"/>
        <v>0</v>
      </c>
      <c r="N206" s="248" t="str">
        <f t="shared" si="25"/>
        <v>NA</v>
      </c>
      <c r="O206" s="248" t="str">
        <f t="shared" si="25"/>
        <v>NA</v>
      </c>
      <c r="P206" s="248" t="str">
        <f t="shared" si="25"/>
        <v>NA</v>
      </c>
      <c r="Q206" s="248" t="str">
        <f t="shared" si="25"/>
        <v>NA</v>
      </c>
      <c r="R206" s="295">
        <f>IF(ROUND(SUM(F206,H206,J206,L206,N206,P206),8)&lt;&gt;0,"INPUT ERROR: Make sure tons managed equals tons generated",IF(Q206="INPUT ERROR","INPUT ERROR: Please select dry digestion",SUM(G206,I206,K206,M206,O206,Q206)))</f>
        <v>0</v>
      </c>
    </row>
    <row r="207" spans="2:19" ht="12.75" customHeight="1" x14ac:dyDescent="0.2">
      <c r="E207" s="268" t="s">
        <v>132</v>
      </c>
      <c r="F207" s="269">
        <f t="shared" si="24"/>
        <v>0</v>
      </c>
      <c r="G207" s="269">
        <f t="shared" si="24"/>
        <v>0</v>
      </c>
      <c r="H207" s="248">
        <f t="shared" si="25"/>
        <v>0</v>
      </c>
      <c r="I207" s="248">
        <f t="shared" si="25"/>
        <v>0</v>
      </c>
      <c r="J207" s="248">
        <f t="shared" si="25"/>
        <v>0</v>
      </c>
      <c r="K207" s="248">
        <f t="shared" si="25"/>
        <v>0</v>
      </c>
      <c r="L207" s="248">
        <f t="shared" si="25"/>
        <v>0</v>
      </c>
      <c r="M207" s="248">
        <f t="shared" si="25"/>
        <v>0</v>
      </c>
      <c r="N207" s="248" t="str">
        <f t="shared" si="25"/>
        <v>NA</v>
      </c>
      <c r="O207" s="248" t="str">
        <f t="shared" si="25"/>
        <v>NA</v>
      </c>
      <c r="P207" s="248" t="str">
        <f t="shared" si="25"/>
        <v>NA</v>
      </c>
      <c r="Q207" s="248" t="str">
        <f t="shared" si="25"/>
        <v>NA</v>
      </c>
      <c r="R207" s="295">
        <f t="shared" ref="R207:R266" si="26">IF(ROUND(SUM(F207,H207,J207,L207,N207,P207),8)&lt;&gt;0,"INPUT ERROR: Make sure tons managed equals tons generated",IF(Q207="INPUT ERROR","INPUT ERROR: Please select dry digestion",SUM(G207,I207,K207,M207,O207,Q207)))</f>
        <v>0</v>
      </c>
    </row>
    <row r="208" spans="2:19" ht="12.75" customHeight="1" x14ac:dyDescent="0.2">
      <c r="E208" s="268" t="s">
        <v>133</v>
      </c>
      <c r="F208" s="269">
        <f t="shared" si="24"/>
        <v>0</v>
      </c>
      <c r="G208" s="269">
        <f t="shared" si="24"/>
        <v>0</v>
      </c>
      <c r="H208" s="248">
        <f t="shared" si="25"/>
        <v>0</v>
      </c>
      <c r="I208" s="248">
        <f t="shared" si="25"/>
        <v>0</v>
      </c>
      <c r="J208" s="248">
        <f t="shared" si="25"/>
        <v>0</v>
      </c>
      <c r="K208" s="248">
        <f t="shared" si="25"/>
        <v>0</v>
      </c>
      <c r="L208" s="248">
        <f t="shared" si="25"/>
        <v>0</v>
      </c>
      <c r="M208" s="248">
        <f t="shared" si="25"/>
        <v>0</v>
      </c>
      <c r="N208" s="248" t="str">
        <f t="shared" si="25"/>
        <v>NA</v>
      </c>
      <c r="O208" s="248" t="str">
        <f t="shared" si="25"/>
        <v>NA</v>
      </c>
      <c r="P208" s="248" t="str">
        <f t="shared" si="25"/>
        <v>NA</v>
      </c>
      <c r="Q208" s="248" t="str">
        <f t="shared" si="25"/>
        <v>NA</v>
      </c>
      <c r="R208" s="295">
        <f t="shared" si="26"/>
        <v>0</v>
      </c>
    </row>
    <row r="209" spans="5:18" ht="12.75" customHeight="1" x14ac:dyDescent="0.2">
      <c r="E209" s="268" t="s">
        <v>134</v>
      </c>
      <c r="F209" s="269">
        <f t="shared" si="24"/>
        <v>0</v>
      </c>
      <c r="G209" s="269">
        <f t="shared" si="24"/>
        <v>0</v>
      </c>
      <c r="H209" s="248">
        <f t="shared" si="25"/>
        <v>0</v>
      </c>
      <c r="I209" s="248">
        <f t="shared" si="25"/>
        <v>0</v>
      </c>
      <c r="J209" s="248">
        <f t="shared" si="25"/>
        <v>0</v>
      </c>
      <c r="K209" s="248">
        <f t="shared" si="25"/>
        <v>0</v>
      </c>
      <c r="L209" s="248">
        <f t="shared" si="25"/>
        <v>0</v>
      </c>
      <c r="M209" s="248">
        <f t="shared" si="25"/>
        <v>0</v>
      </c>
      <c r="N209" s="248" t="str">
        <f t="shared" si="25"/>
        <v>NA</v>
      </c>
      <c r="O209" s="248" t="str">
        <f t="shared" si="25"/>
        <v>NA</v>
      </c>
      <c r="P209" s="248" t="str">
        <f t="shared" si="25"/>
        <v>NA</v>
      </c>
      <c r="Q209" s="248" t="str">
        <f t="shared" si="25"/>
        <v>NA</v>
      </c>
      <c r="R209" s="295">
        <f t="shared" si="26"/>
        <v>0</v>
      </c>
    </row>
    <row r="210" spans="5:18" ht="12.75" customHeight="1" x14ac:dyDescent="0.2">
      <c r="E210" s="268" t="s">
        <v>135</v>
      </c>
      <c r="F210" s="269">
        <f t="shared" si="24"/>
        <v>0</v>
      </c>
      <c r="G210" s="269">
        <f t="shared" si="24"/>
        <v>0</v>
      </c>
      <c r="H210" s="248">
        <f t="shared" si="25"/>
        <v>0</v>
      </c>
      <c r="I210" s="248">
        <f t="shared" si="25"/>
        <v>0</v>
      </c>
      <c r="J210" s="248">
        <f t="shared" si="25"/>
        <v>0</v>
      </c>
      <c r="K210" s="248">
        <f t="shared" si="25"/>
        <v>0</v>
      </c>
      <c r="L210" s="248">
        <f t="shared" si="25"/>
        <v>0</v>
      </c>
      <c r="M210" s="248">
        <f t="shared" si="25"/>
        <v>0</v>
      </c>
      <c r="N210" s="248" t="str">
        <f t="shared" si="25"/>
        <v>NA</v>
      </c>
      <c r="O210" s="248" t="str">
        <f t="shared" si="25"/>
        <v>NA</v>
      </c>
      <c r="P210" s="248" t="str">
        <f t="shared" si="25"/>
        <v>NA</v>
      </c>
      <c r="Q210" s="248" t="str">
        <f t="shared" si="25"/>
        <v>NA</v>
      </c>
      <c r="R210" s="295">
        <f>IF(ROUND(SUM(F210,H210,J210,L210,N210,P210),8)&lt;&gt;0,"INPUT ERROR: Make sure tons managed equals tons generated",IF(Q210="INPUT ERROR","INPUT ERROR: Please select dry digestion",SUM(G210,I210,K210,M210,O210,Q210)))</f>
        <v>0</v>
      </c>
    </row>
    <row r="211" spans="5:18" ht="12.75" customHeight="1" x14ac:dyDescent="0.2">
      <c r="E211" s="268" t="s">
        <v>136</v>
      </c>
      <c r="F211" s="269">
        <f t="shared" si="24"/>
        <v>0</v>
      </c>
      <c r="G211" s="269">
        <f t="shared" si="24"/>
        <v>0</v>
      </c>
      <c r="H211" s="248">
        <f t="shared" si="25"/>
        <v>0</v>
      </c>
      <c r="I211" s="248">
        <f t="shared" si="25"/>
        <v>0</v>
      </c>
      <c r="J211" s="248">
        <f t="shared" si="25"/>
        <v>0</v>
      </c>
      <c r="K211" s="248">
        <f t="shared" si="25"/>
        <v>0</v>
      </c>
      <c r="L211" s="248">
        <f t="shared" si="25"/>
        <v>0</v>
      </c>
      <c r="M211" s="248">
        <f t="shared" si="25"/>
        <v>0</v>
      </c>
      <c r="N211" s="248" t="str">
        <f t="shared" si="25"/>
        <v>NA</v>
      </c>
      <c r="O211" s="248" t="str">
        <f t="shared" si="25"/>
        <v>NA</v>
      </c>
      <c r="P211" s="248" t="str">
        <f t="shared" si="25"/>
        <v>NA</v>
      </c>
      <c r="Q211" s="248" t="str">
        <f t="shared" si="25"/>
        <v>NA</v>
      </c>
      <c r="R211" s="295">
        <f t="shared" si="26"/>
        <v>0</v>
      </c>
    </row>
    <row r="212" spans="5:18" ht="12.75" customHeight="1" x14ac:dyDescent="0.2">
      <c r="E212" s="268" t="s">
        <v>137</v>
      </c>
      <c r="F212" s="269">
        <f t="shared" si="24"/>
        <v>0</v>
      </c>
      <c r="G212" s="269">
        <f t="shared" si="24"/>
        <v>0</v>
      </c>
      <c r="H212" s="248">
        <f t="shared" si="25"/>
        <v>0</v>
      </c>
      <c r="I212" s="248">
        <f t="shared" si="25"/>
        <v>0</v>
      </c>
      <c r="J212" s="248">
        <f t="shared" si="25"/>
        <v>0</v>
      </c>
      <c r="K212" s="248">
        <f t="shared" si="25"/>
        <v>0</v>
      </c>
      <c r="L212" s="248">
        <f t="shared" si="25"/>
        <v>0</v>
      </c>
      <c r="M212" s="248">
        <f t="shared" si="25"/>
        <v>0</v>
      </c>
      <c r="N212" s="248" t="str">
        <f t="shared" si="25"/>
        <v>NA</v>
      </c>
      <c r="O212" s="248" t="str">
        <f t="shared" si="25"/>
        <v>NA</v>
      </c>
      <c r="P212" s="248" t="str">
        <f t="shared" si="25"/>
        <v>NA</v>
      </c>
      <c r="Q212" s="248" t="str">
        <f t="shared" si="25"/>
        <v>NA</v>
      </c>
      <c r="R212" s="295">
        <f t="shared" si="26"/>
        <v>0</v>
      </c>
    </row>
    <row r="213" spans="5:18" ht="12.75" customHeight="1" x14ac:dyDescent="0.2">
      <c r="E213" s="268" t="s">
        <v>138</v>
      </c>
      <c r="F213" s="269">
        <f t="shared" si="24"/>
        <v>0</v>
      </c>
      <c r="G213" s="269">
        <f t="shared" si="24"/>
        <v>0</v>
      </c>
      <c r="H213" s="248">
        <f t="shared" si="25"/>
        <v>0</v>
      </c>
      <c r="I213" s="248">
        <f t="shared" si="25"/>
        <v>0</v>
      </c>
      <c r="J213" s="248">
        <f t="shared" si="25"/>
        <v>0</v>
      </c>
      <c r="K213" s="248">
        <f t="shared" si="25"/>
        <v>0</v>
      </c>
      <c r="L213" s="248">
        <f t="shared" si="25"/>
        <v>0</v>
      </c>
      <c r="M213" s="248">
        <f t="shared" si="25"/>
        <v>0</v>
      </c>
      <c r="N213" s="248" t="str">
        <f t="shared" si="25"/>
        <v>NA</v>
      </c>
      <c r="O213" s="248" t="str">
        <f t="shared" si="25"/>
        <v>NA</v>
      </c>
      <c r="P213" s="248" t="str">
        <f t="shared" si="25"/>
        <v>NA</v>
      </c>
      <c r="Q213" s="248" t="str">
        <f t="shared" si="25"/>
        <v>NA</v>
      </c>
      <c r="R213" s="295">
        <f t="shared" si="26"/>
        <v>0</v>
      </c>
    </row>
    <row r="214" spans="5:18" ht="12.75" customHeight="1" x14ac:dyDescent="0.2">
      <c r="E214" s="268" t="s">
        <v>139</v>
      </c>
      <c r="F214" s="269">
        <f t="shared" si="24"/>
        <v>0</v>
      </c>
      <c r="G214" s="269">
        <f t="shared" si="24"/>
        <v>0</v>
      </c>
      <c r="H214" s="248">
        <f t="shared" si="25"/>
        <v>0</v>
      </c>
      <c r="I214" s="248">
        <f t="shared" si="25"/>
        <v>0</v>
      </c>
      <c r="J214" s="248">
        <f t="shared" si="25"/>
        <v>0</v>
      </c>
      <c r="K214" s="248">
        <f t="shared" si="25"/>
        <v>0</v>
      </c>
      <c r="L214" s="248">
        <f t="shared" si="25"/>
        <v>0</v>
      </c>
      <c r="M214" s="248">
        <f t="shared" si="25"/>
        <v>0</v>
      </c>
      <c r="N214" s="248" t="str">
        <f t="shared" si="25"/>
        <v>NA</v>
      </c>
      <c r="O214" s="248" t="str">
        <f t="shared" si="25"/>
        <v>NA</v>
      </c>
      <c r="P214" s="248" t="str">
        <f t="shared" si="25"/>
        <v>NA</v>
      </c>
      <c r="Q214" s="248" t="str">
        <f t="shared" si="25"/>
        <v>NA</v>
      </c>
      <c r="R214" s="295">
        <f t="shared" si="26"/>
        <v>0</v>
      </c>
    </row>
    <row r="215" spans="5:18" ht="12.75" customHeight="1" x14ac:dyDescent="0.2">
      <c r="E215" s="268" t="s">
        <v>140</v>
      </c>
      <c r="F215" s="269">
        <f t="shared" si="24"/>
        <v>0</v>
      </c>
      <c r="G215" s="269">
        <f t="shared" si="24"/>
        <v>0</v>
      </c>
      <c r="H215" s="248" t="str">
        <f t="shared" si="25"/>
        <v>NA</v>
      </c>
      <c r="I215" s="248" t="str">
        <f t="shared" si="25"/>
        <v>NA</v>
      </c>
      <c r="J215" s="248">
        <f t="shared" si="25"/>
        <v>0</v>
      </c>
      <c r="K215" s="248">
        <f t="shared" si="25"/>
        <v>0</v>
      </c>
      <c r="L215" s="248">
        <f t="shared" si="25"/>
        <v>0</v>
      </c>
      <c r="M215" s="248">
        <f t="shared" si="25"/>
        <v>0</v>
      </c>
      <c r="N215" s="248">
        <f t="shared" si="25"/>
        <v>0</v>
      </c>
      <c r="O215" s="248">
        <f t="shared" si="25"/>
        <v>0</v>
      </c>
      <c r="P215" s="248">
        <f t="shared" si="25"/>
        <v>-7800</v>
      </c>
      <c r="Q215" s="248">
        <f t="shared" si="25"/>
        <v>325.00313119570006</v>
      </c>
      <c r="R215" s="295" t="str">
        <f t="shared" si="26"/>
        <v>INPUT ERROR: Make sure tons managed equals tons generated</v>
      </c>
    </row>
    <row r="216" spans="5:18" ht="12.75" customHeight="1" x14ac:dyDescent="0.2">
      <c r="E216" s="268" t="s">
        <v>141</v>
      </c>
      <c r="F216" s="269">
        <f t="shared" si="24"/>
        <v>0</v>
      </c>
      <c r="G216" s="269">
        <f t="shared" si="24"/>
        <v>0</v>
      </c>
      <c r="H216" s="248" t="str">
        <f t="shared" si="25"/>
        <v>NA</v>
      </c>
      <c r="I216" s="248" t="str">
        <f t="shared" si="25"/>
        <v>NA</v>
      </c>
      <c r="J216" s="248">
        <f t="shared" si="25"/>
        <v>0</v>
      </c>
      <c r="K216" s="248">
        <f t="shared" si="25"/>
        <v>0</v>
      </c>
      <c r="L216" s="248">
        <f t="shared" si="25"/>
        <v>0</v>
      </c>
      <c r="M216" s="248">
        <f t="shared" si="25"/>
        <v>0</v>
      </c>
      <c r="N216" s="248">
        <f t="shared" si="25"/>
        <v>0</v>
      </c>
      <c r="O216" s="248">
        <f t="shared" si="25"/>
        <v>0</v>
      </c>
      <c r="P216" s="248">
        <f t="shared" si="25"/>
        <v>0</v>
      </c>
      <c r="Q216" s="248">
        <f t="shared" si="25"/>
        <v>0</v>
      </c>
      <c r="R216" s="295">
        <f t="shared" si="26"/>
        <v>0</v>
      </c>
    </row>
    <row r="217" spans="5:18" ht="12.75" customHeight="1" x14ac:dyDescent="0.2">
      <c r="E217" s="268" t="s">
        <v>142</v>
      </c>
      <c r="F217" s="269">
        <f t="shared" si="24"/>
        <v>0</v>
      </c>
      <c r="G217" s="269">
        <f t="shared" si="24"/>
        <v>0</v>
      </c>
      <c r="H217" s="248" t="str">
        <f t="shared" si="25"/>
        <v>NA</v>
      </c>
      <c r="I217" s="248" t="str">
        <f t="shared" si="25"/>
        <v>NA</v>
      </c>
      <c r="J217" s="248">
        <f t="shared" si="25"/>
        <v>0</v>
      </c>
      <c r="K217" s="248">
        <f t="shared" si="25"/>
        <v>0</v>
      </c>
      <c r="L217" s="248">
        <f t="shared" si="25"/>
        <v>0</v>
      </c>
      <c r="M217" s="248">
        <f t="shared" si="25"/>
        <v>0</v>
      </c>
      <c r="N217" s="248">
        <f t="shared" si="25"/>
        <v>0</v>
      </c>
      <c r="O217" s="248">
        <f t="shared" si="25"/>
        <v>0</v>
      </c>
      <c r="P217" s="248">
        <f t="shared" si="25"/>
        <v>-4000</v>
      </c>
      <c r="Q217" s="248">
        <f t="shared" si="25"/>
        <v>166.66827240805131</v>
      </c>
      <c r="R217" s="295" t="str">
        <f t="shared" si="26"/>
        <v>INPUT ERROR: Make sure tons managed equals tons generated</v>
      </c>
    </row>
    <row r="218" spans="5:18" ht="12.75" customHeight="1" x14ac:dyDescent="0.2">
      <c r="E218" s="268" t="s">
        <v>143</v>
      </c>
      <c r="F218" s="269">
        <f t="shared" si="24"/>
        <v>0</v>
      </c>
      <c r="G218" s="269">
        <f t="shared" si="24"/>
        <v>0</v>
      </c>
      <c r="H218" s="248" t="str">
        <f t="shared" si="25"/>
        <v>NA</v>
      </c>
      <c r="I218" s="248" t="str">
        <f t="shared" si="25"/>
        <v>NA</v>
      </c>
      <c r="J218" s="248">
        <f t="shared" si="25"/>
        <v>0</v>
      </c>
      <c r="K218" s="248">
        <f t="shared" si="25"/>
        <v>0</v>
      </c>
      <c r="L218" s="248">
        <f t="shared" si="25"/>
        <v>0</v>
      </c>
      <c r="M218" s="248">
        <f t="shared" si="25"/>
        <v>0</v>
      </c>
      <c r="N218" s="248">
        <f t="shared" si="25"/>
        <v>0</v>
      </c>
      <c r="O218" s="248">
        <f t="shared" si="25"/>
        <v>0</v>
      </c>
      <c r="P218" s="248">
        <f t="shared" si="25"/>
        <v>0</v>
      </c>
      <c r="Q218" s="248">
        <f t="shared" si="25"/>
        <v>0</v>
      </c>
      <c r="R218" s="295">
        <f t="shared" si="26"/>
        <v>0</v>
      </c>
    </row>
    <row r="219" spans="5:18" ht="12.75" customHeight="1" x14ac:dyDescent="0.2">
      <c r="E219" s="268" t="s">
        <v>144</v>
      </c>
      <c r="F219" s="269">
        <f t="shared" si="24"/>
        <v>0</v>
      </c>
      <c r="G219" s="269">
        <f t="shared" si="24"/>
        <v>0</v>
      </c>
      <c r="H219" s="248" t="str">
        <f t="shared" si="25"/>
        <v>NA</v>
      </c>
      <c r="I219" s="248" t="str">
        <f t="shared" si="25"/>
        <v>NA</v>
      </c>
      <c r="J219" s="248">
        <f t="shared" si="25"/>
        <v>0</v>
      </c>
      <c r="K219" s="248">
        <f t="shared" si="25"/>
        <v>0</v>
      </c>
      <c r="L219" s="248">
        <f t="shared" si="25"/>
        <v>0</v>
      </c>
      <c r="M219" s="248">
        <f t="shared" si="25"/>
        <v>0</v>
      </c>
      <c r="N219" s="248">
        <f t="shared" si="25"/>
        <v>0</v>
      </c>
      <c r="O219" s="248">
        <f t="shared" si="25"/>
        <v>0</v>
      </c>
      <c r="P219" s="248">
        <f t="shared" si="25"/>
        <v>0</v>
      </c>
      <c r="Q219" s="248">
        <f t="shared" si="25"/>
        <v>0</v>
      </c>
      <c r="R219" s="295">
        <f t="shared" si="26"/>
        <v>0</v>
      </c>
    </row>
    <row r="220" spans="5:18" ht="12.75" customHeight="1" x14ac:dyDescent="0.2">
      <c r="E220" s="268" t="s">
        <v>145</v>
      </c>
      <c r="F220" s="269">
        <f t="shared" si="24"/>
        <v>0</v>
      </c>
      <c r="G220" s="269">
        <f t="shared" si="24"/>
        <v>0</v>
      </c>
      <c r="H220" s="248" t="str">
        <f t="shared" si="25"/>
        <v>NA</v>
      </c>
      <c r="I220" s="248" t="str">
        <f t="shared" si="25"/>
        <v>NA</v>
      </c>
      <c r="J220" s="248">
        <f t="shared" si="25"/>
        <v>0</v>
      </c>
      <c r="K220" s="248">
        <f t="shared" si="25"/>
        <v>0</v>
      </c>
      <c r="L220" s="248">
        <f t="shared" si="25"/>
        <v>0</v>
      </c>
      <c r="M220" s="248">
        <f t="shared" si="25"/>
        <v>0</v>
      </c>
      <c r="N220" s="248">
        <f t="shared" si="25"/>
        <v>0</v>
      </c>
      <c r="O220" s="248">
        <f t="shared" si="25"/>
        <v>0</v>
      </c>
      <c r="P220" s="248">
        <f t="shared" si="25"/>
        <v>-15650</v>
      </c>
      <c r="Q220" s="248">
        <f t="shared" si="25"/>
        <v>652.08961579650077</v>
      </c>
      <c r="R220" s="295" t="str">
        <f t="shared" si="26"/>
        <v>INPUT ERROR: Make sure tons managed equals tons generated</v>
      </c>
    </row>
    <row r="221" spans="5:18" ht="12.75" customHeight="1" x14ac:dyDescent="0.2">
      <c r="E221" s="268" t="s">
        <v>146</v>
      </c>
      <c r="F221" s="269">
        <f t="shared" si="24"/>
        <v>0</v>
      </c>
      <c r="G221" s="269">
        <f t="shared" si="24"/>
        <v>0</v>
      </c>
      <c r="H221" s="248" t="str">
        <f t="shared" si="25"/>
        <v>NA</v>
      </c>
      <c r="I221" s="248" t="str">
        <f t="shared" si="25"/>
        <v>NA</v>
      </c>
      <c r="J221" s="248">
        <f t="shared" si="25"/>
        <v>0</v>
      </c>
      <c r="K221" s="248">
        <f t="shared" si="25"/>
        <v>0</v>
      </c>
      <c r="L221" s="248">
        <f t="shared" si="25"/>
        <v>0</v>
      </c>
      <c r="M221" s="248">
        <f t="shared" si="25"/>
        <v>0</v>
      </c>
      <c r="N221" s="248">
        <f t="shared" si="25"/>
        <v>0</v>
      </c>
      <c r="O221" s="248">
        <f t="shared" si="25"/>
        <v>0</v>
      </c>
      <c r="P221" s="248">
        <f t="shared" si="25"/>
        <v>0</v>
      </c>
      <c r="Q221" s="248">
        <f t="shared" si="25"/>
        <v>0</v>
      </c>
      <c r="R221" s="295">
        <f t="shared" si="26"/>
        <v>0</v>
      </c>
    </row>
    <row r="222" spans="5:18" ht="12.75" customHeight="1" x14ac:dyDescent="0.2">
      <c r="E222" s="268" t="s">
        <v>147</v>
      </c>
      <c r="F222" s="269">
        <f t="shared" si="24"/>
        <v>0</v>
      </c>
      <c r="G222" s="269">
        <f t="shared" si="24"/>
        <v>0</v>
      </c>
      <c r="H222" s="248" t="str">
        <f t="shared" ref="H222:Q237" si="27">IFERROR(+I157-G92,"NA")</f>
        <v>NA</v>
      </c>
      <c r="I222" s="248" t="str">
        <f t="shared" si="27"/>
        <v>NA</v>
      </c>
      <c r="J222" s="248">
        <f t="shared" si="27"/>
        <v>0</v>
      </c>
      <c r="K222" s="248">
        <f t="shared" si="27"/>
        <v>0</v>
      </c>
      <c r="L222" s="248">
        <f t="shared" si="27"/>
        <v>0</v>
      </c>
      <c r="M222" s="248">
        <f t="shared" si="27"/>
        <v>0</v>
      </c>
      <c r="N222" s="248">
        <f t="shared" si="27"/>
        <v>0</v>
      </c>
      <c r="O222" s="248">
        <f t="shared" si="27"/>
        <v>0</v>
      </c>
      <c r="P222" s="248">
        <f t="shared" si="27"/>
        <v>-37150</v>
      </c>
      <c r="Q222" s="248">
        <f t="shared" si="27"/>
        <v>1547.9315799897765</v>
      </c>
      <c r="R222" s="295" t="str">
        <f t="shared" si="26"/>
        <v>INPUT ERROR: Make sure tons managed equals tons generated</v>
      </c>
    </row>
    <row r="223" spans="5:18" ht="12.75" customHeight="1" x14ac:dyDescent="0.2">
      <c r="E223" s="268" t="s">
        <v>148</v>
      </c>
      <c r="F223" s="269">
        <f t="shared" si="24"/>
        <v>0</v>
      </c>
      <c r="G223" s="269">
        <f t="shared" si="24"/>
        <v>0</v>
      </c>
      <c r="H223" s="248" t="str">
        <f t="shared" si="27"/>
        <v>NA</v>
      </c>
      <c r="I223" s="248" t="str">
        <f t="shared" si="27"/>
        <v>NA</v>
      </c>
      <c r="J223" s="248">
        <f t="shared" si="27"/>
        <v>0</v>
      </c>
      <c r="K223" s="248">
        <f t="shared" si="27"/>
        <v>0</v>
      </c>
      <c r="L223" s="248">
        <f t="shared" si="27"/>
        <v>0</v>
      </c>
      <c r="M223" s="248">
        <f t="shared" si="27"/>
        <v>0</v>
      </c>
      <c r="N223" s="248">
        <f t="shared" si="27"/>
        <v>0</v>
      </c>
      <c r="O223" s="248">
        <f t="shared" si="27"/>
        <v>0</v>
      </c>
      <c r="P223" s="248">
        <f t="shared" si="27"/>
        <v>0</v>
      </c>
      <c r="Q223" s="248">
        <f t="shared" si="27"/>
        <v>0</v>
      </c>
      <c r="R223" s="295">
        <f t="shared" si="26"/>
        <v>0</v>
      </c>
    </row>
    <row r="224" spans="5:18" ht="12.75" customHeight="1" x14ac:dyDescent="0.2">
      <c r="E224" s="268" t="s">
        <v>149</v>
      </c>
      <c r="F224" s="269" t="str">
        <f t="shared" si="24"/>
        <v>NA</v>
      </c>
      <c r="G224" s="269" t="str">
        <f t="shared" si="24"/>
        <v>NA</v>
      </c>
      <c r="H224" s="248" t="str">
        <f t="shared" si="27"/>
        <v>NA</v>
      </c>
      <c r="I224" s="248" t="str">
        <f t="shared" si="27"/>
        <v>NA</v>
      </c>
      <c r="J224" s="248">
        <f t="shared" si="27"/>
        <v>0</v>
      </c>
      <c r="K224" s="248">
        <f t="shared" si="27"/>
        <v>0</v>
      </c>
      <c r="L224" s="248">
        <f t="shared" si="27"/>
        <v>0</v>
      </c>
      <c r="M224" s="248">
        <f t="shared" si="27"/>
        <v>0</v>
      </c>
      <c r="N224" s="248">
        <f t="shared" si="27"/>
        <v>0</v>
      </c>
      <c r="O224" s="248">
        <f t="shared" si="27"/>
        <v>0</v>
      </c>
      <c r="P224" s="248">
        <f t="shared" si="27"/>
        <v>0</v>
      </c>
      <c r="Q224" s="248">
        <f t="shared" si="27"/>
        <v>0</v>
      </c>
      <c r="R224" s="295">
        <f t="shared" si="26"/>
        <v>0</v>
      </c>
    </row>
    <row r="225" spans="5:18" ht="12.75" customHeight="1" x14ac:dyDescent="0.2">
      <c r="E225" s="268" t="s">
        <v>150</v>
      </c>
      <c r="F225" s="269" t="str">
        <f t="shared" si="24"/>
        <v>NA</v>
      </c>
      <c r="G225" s="269" t="str">
        <f t="shared" si="24"/>
        <v>NA</v>
      </c>
      <c r="H225" s="248" t="str">
        <f t="shared" si="27"/>
        <v>NA</v>
      </c>
      <c r="I225" s="248" t="str">
        <f t="shared" si="27"/>
        <v>NA</v>
      </c>
      <c r="J225" s="248">
        <f t="shared" si="27"/>
        <v>0</v>
      </c>
      <c r="K225" s="248">
        <f t="shared" si="27"/>
        <v>0</v>
      </c>
      <c r="L225" s="248">
        <f t="shared" si="27"/>
        <v>0</v>
      </c>
      <c r="M225" s="248">
        <f t="shared" si="27"/>
        <v>0</v>
      </c>
      <c r="N225" s="248">
        <f t="shared" si="27"/>
        <v>0</v>
      </c>
      <c r="O225" s="248">
        <f t="shared" si="27"/>
        <v>0</v>
      </c>
      <c r="P225" s="248">
        <f t="shared" si="27"/>
        <v>-700</v>
      </c>
      <c r="Q225" s="248">
        <f t="shared" si="27"/>
        <v>-3.2184251763175644</v>
      </c>
      <c r="R225" s="295" t="str">
        <f t="shared" si="26"/>
        <v>INPUT ERROR: Make sure tons managed equals tons generated</v>
      </c>
    </row>
    <row r="226" spans="5:18" ht="12.75" customHeight="1" x14ac:dyDescent="0.2">
      <c r="E226" s="268" t="s">
        <v>151</v>
      </c>
      <c r="F226" s="269" t="str">
        <f t="shared" ref="F226:G245" si="28">+G161</f>
        <v>NA</v>
      </c>
      <c r="G226" s="269" t="str">
        <f t="shared" si="28"/>
        <v>NA</v>
      </c>
      <c r="H226" s="248" t="str">
        <f t="shared" si="27"/>
        <v>NA</v>
      </c>
      <c r="I226" s="248" t="str">
        <f t="shared" si="27"/>
        <v>NA</v>
      </c>
      <c r="J226" s="248">
        <f t="shared" si="27"/>
        <v>0</v>
      </c>
      <c r="K226" s="248">
        <f t="shared" si="27"/>
        <v>0</v>
      </c>
      <c r="L226" s="248">
        <f t="shared" si="27"/>
        <v>0</v>
      </c>
      <c r="M226" s="248">
        <f t="shared" si="27"/>
        <v>0</v>
      </c>
      <c r="N226" s="248">
        <f t="shared" si="27"/>
        <v>0</v>
      </c>
      <c r="O226" s="248">
        <f t="shared" si="27"/>
        <v>0</v>
      </c>
      <c r="P226" s="248">
        <f t="shared" si="27"/>
        <v>0</v>
      </c>
      <c r="Q226" s="248">
        <f t="shared" si="27"/>
        <v>0</v>
      </c>
      <c r="R226" s="295">
        <f t="shared" si="26"/>
        <v>0</v>
      </c>
    </row>
    <row r="227" spans="5:18" ht="12.75" customHeight="1" x14ac:dyDescent="0.2">
      <c r="E227" s="268" t="s">
        <v>152</v>
      </c>
      <c r="F227" s="269" t="str">
        <f t="shared" si="28"/>
        <v>NA</v>
      </c>
      <c r="G227" s="269" t="str">
        <f t="shared" si="28"/>
        <v>NA</v>
      </c>
      <c r="H227" s="248" t="str">
        <f t="shared" si="27"/>
        <v>NA</v>
      </c>
      <c r="I227" s="248" t="str">
        <f t="shared" si="27"/>
        <v>NA</v>
      </c>
      <c r="J227" s="248">
        <f t="shared" si="27"/>
        <v>0</v>
      </c>
      <c r="K227" s="248">
        <f t="shared" si="27"/>
        <v>0</v>
      </c>
      <c r="L227" s="248">
        <f t="shared" si="27"/>
        <v>0</v>
      </c>
      <c r="M227" s="248">
        <f t="shared" si="27"/>
        <v>0</v>
      </c>
      <c r="N227" s="248">
        <f t="shared" si="27"/>
        <v>0</v>
      </c>
      <c r="O227" s="248">
        <f t="shared" si="27"/>
        <v>0</v>
      </c>
      <c r="P227" s="248">
        <f t="shared" si="27"/>
        <v>0</v>
      </c>
      <c r="Q227" s="248">
        <f t="shared" si="27"/>
        <v>0</v>
      </c>
      <c r="R227" s="295">
        <f t="shared" si="26"/>
        <v>0</v>
      </c>
    </row>
    <row r="228" spans="5:18" ht="12.75" customHeight="1" x14ac:dyDescent="0.2">
      <c r="E228" s="268" t="s">
        <v>153</v>
      </c>
      <c r="F228" s="269">
        <f t="shared" si="28"/>
        <v>0</v>
      </c>
      <c r="G228" s="269">
        <f t="shared" si="28"/>
        <v>0</v>
      </c>
      <c r="H228" s="248">
        <f t="shared" si="27"/>
        <v>0</v>
      </c>
      <c r="I228" s="248">
        <f t="shared" si="27"/>
        <v>0</v>
      </c>
      <c r="J228" s="248">
        <f t="shared" si="27"/>
        <v>0</v>
      </c>
      <c r="K228" s="248">
        <f t="shared" si="27"/>
        <v>0</v>
      </c>
      <c r="L228" s="248">
        <f t="shared" si="27"/>
        <v>0</v>
      </c>
      <c r="M228" s="248">
        <f t="shared" si="27"/>
        <v>0</v>
      </c>
      <c r="N228" s="248" t="str">
        <f t="shared" si="27"/>
        <v>NA</v>
      </c>
      <c r="O228" s="248" t="str">
        <f t="shared" si="27"/>
        <v>NA</v>
      </c>
      <c r="P228" s="248" t="str">
        <f t="shared" si="27"/>
        <v>NA</v>
      </c>
      <c r="Q228" s="248" t="str">
        <f t="shared" si="27"/>
        <v>NA</v>
      </c>
      <c r="R228" s="295">
        <f t="shared" si="26"/>
        <v>0</v>
      </c>
    </row>
    <row r="229" spans="5:18" ht="12.75" customHeight="1" x14ac:dyDescent="0.2">
      <c r="E229" s="268" t="s">
        <v>154</v>
      </c>
      <c r="F229" s="269">
        <f t="shared" si="28"/>
        <v>0</v>
      </c>
      <c r="G229" s="269">
        <f t="shared" si="28"/>
        <v>0</v>
      </c>
      <c r="H229" s="248" t="str">
        <f t="shared" si="27"/>
        <v>NA</v>
      </c>
      <c r="I229" s="248" t="str">
        <f t="shared" si="27"/>
        <v>NA</v>
      </c>
      <c r="J229" s="248">
        <f t="shared" si="27"/>
        <v>0</v>
      </c>
      <c r="K229" s="248">
        <f t="shared" si="27"/>
        <v>0</v>
      </c>
      <c r="L229" s="248">
        <f t="shared" si="27"/>
        <v>0</v>
      </c>
      <c r="M229" s="248">
        <f t="shared" si="27"/>
        <v>0</v>
      </c>
      <c r="N229" s="248" t="str">
        <f t="shared" si="27"/>
        <v>NA</v>
      </c>
      <c r="O229" s="248" t="str">
        <f t="shared" si="27"/>
        <v>NA</v>
      </c>
      <c r="P229" s="248" t="str">
        <f t="shared" si="27"/>
        <v>NA</v>
      </c>
      <c r="Q229" s="248" t="str">
        <f t="shared" si="27"/>
        <v>NA</v>
      </c>
      <c r="R229" s="295">
        <f t="shared" si="26"/>
        <v>0</v>
      </c>
    </row>
    <row r="230" spans="5:18" ht="12.75" customHeight="1" x14ac:dyDescent="0.2">
      <c r="E230" s="268" t="s">
        <v>155</v>
      </c>
      <c r="F230" s="269">
        <f t="shared" si="28"/>
        <v>0</v>
      </c>
      <c r="G230" s="269">
        <f t="shared" si="28"/>
        <v>0</v>
      </c>
      <c r="H230" s="248">
        <f t="shared" si="27"/>
        <v>0</v>
      </c>
      <c r="I230" s="248">
        <f t="shared" si="27"/>
        <v>0</v>
      </c>
      <c r="J230" s="248">
        <f t="shared" si="27"/>
        <v>0</v>
      </c>
      <c r="K230" s="248">
        <f t="shared" si="27"/>
        <v>0</v>
      </c>
      <c r="L230" s="248">
        <f t="shared" si="27"/>
        <v>0</v>
      </c>
      <c r="M230" s="248">
        <f t="shared" si="27"/>
        <v>0</v>
      </c>
      <c r="N230" s="248" t="str">
        <f t="shared" si="27"/>
        <v>NA</v>
      </c>
      <c r="O230" s="248" t="str">
        <f t="shared" si="27"/>
        <v>NA</v>
      </c>
      <c r="P230" s="248" t="str">
        <f t="shared" si="27"/>
        <v>NA</v>
      </c>
      <c r="Q230" s="248" t="str">
        <f t="shared" si="27"/>
        <v>NA</v>
      </c>
      <c r="R230" s="295">
        <f t="shared" si="26"/>
        <v>0</v>
      </c>
    </row>
    <row r="231" spans="5:18" ht="12.75" customHeight="1" x14ac:dyDescent="0.2">
      <c r="E231" s="268" t="s">
        <v>156</v>
      </c>
      <c r="F231" s="269">
        <f t="shared" si="28"/>
        <v>0</v>
      </c>
      <c r="G231" s="269">
        <f t="shared" si="28"/>
        <v>0</v>
      </c>
      <c r="H231" s="248" t="str">
        <f t="shared" si="27"/>
        <v>NA</v>
      </c>
      <c r="I231" s="248" t="str">
        <f t="shared" si="27"/>
        <v>NA</v>
      </c>
      <c r="J231" s="248">
        <f t="shared" si="27"/>
        <v>0</v>
      </c>
      <c r="K231" s="248">
        <f t="shared" si="27"/>
        <v>0</v>
      </c>
      <c r="L231" s="248">
        <f t="shared" si="27"/>
        <v>0</v>
      </c>
      <c r="M231" s="248">
        <f t="shared" si="27"/>
        <v>0</v>
      </c>
      <c r="N231" s="248" t="str">
        <f t="shared" si="27"/>
        <v>NA</v>
      </c>
      <c r="O231" s="248" t="str">
        <f t="shared" si="27"/>
        <v>NA</v>
      </c>
      <c r="P231" s="248" t="str">
        <f t="shared" si="27"/>
        <v>NA</v>
      </c>
      <c r="Q231" s="248" t="str">
        <f t="shared" si="27"/>
        <v>NA</v>
      </c>
      <c r="R231" s="295">
        <f t="shared" si="26"/>
        <v>0</v>
      </c>
    </row>
    <row r="232" spans="5:18" ht="12.75" customHeight="1" x14ac:dyDescent="0.2">
      <c r="E232" s="268" t="s">
        <v>157</v>
      </c>
      <c r="F232" s="269">
        <f t="shared" si="28"/>
        <v>0</v>
      </c>
      <c r="G232" s="269">
        <f t="shared" si="28"/>
        <v>0</v>
      </c>
      <c r="H232" s="248">
        <f t="shared" si="27"/>
        <v>0</v>
      </c>
      <c r="I232" s="248">
        <f t="shared" si="27"/>
        <v>0</v>
      </c>
      <c r="J232" s="248">
        <f t="shared" si="27"/>
        <v>0</v>
      </c>
      <c r="K232" s="248">
        <f t="shared" si="27"/>
        <v>0</v>
      </c>
      <c r="L232" s="248">
        <f t="shared" si="27"/>
        <v>0</v>
      </c>
      <c r="M232" s="248">
        <f t="shared" si="27"/>
        <v>0</v>
      </c>
      <c r="N232" s="248" t="str">
        <f t="shared" si="27"/>
        <v>NA</v>
      </c>
      <c r="O232" s="248" t="str">
        <f t="shared" si="27"/>
        <v>NA</v>
      </c>
      <c r="P232" s="248" t="str">
        <f t="shared" si="27"/>
        <v>NA</v>
      </c>
      <c r="Q232" s="248" t="str">
        <f t="shared" si="27"/>
        <v>NA</v>
      </c>
      <c r="R232" s="295">
        <f t="shared" si="26"/>
        <v>0</v>
      </c>
    </row>
    <row r="233" spans="5:18" ht="12.75" customHeight="1" x14ac:dyDescent="0.2">
      <c r="E233" s="268" t="s">
        <v>158</v>
      </c>
      <c r="F233" s="269">
        <f t="shared" si="28"/>
        <v>0</v>
      </c>
      <c r="G233" s="269">
        <f t="shared" si="28"/>
        <v>0</v>
      </c>
      <c r="H233" s="248" t="str">
        <f t="shared" si="27"/>
        <v>NA</v>
      </c>
      <c r="I233" s="248" t="str">
        <f t="shared" si="27"/>
        <v>NA</v>
      </c>
      <c r="J233" s="248">
        <f t="shared" si="27"/>
        <v>0</v>
      </c>
      <c r="K233" s="248">
        <f t="shared" si="27"/>
        <v>0</v>
      </c>
      <c r="L233" s="248">
        <f t="shared" si="27"/>
        <v>0</v>
      </c>
      <c r="M233" s="248">
        <f t="shared" si="27"/>
        <v>0</v>
      </c>
      <c r="N233" s="248" t="str">
        <f t="shared" si="27"/>
        <v>NA</v>
      </c>
      <c r="O233" s="248" t="str">
        <f t="shared" si="27"/>
        <v>NA</v>
      </c>
      <c r="P233" s="248" t="str">
        <f t="shared" si="27"/>
        <v>NA</v>
      </c>
      <c r="Q233" s="248" t="str">
        <f t="shared" si="27"/>
        <v>NA</v>
      </c>
      <c r="R233" s="295">
        <f t="shared" si="26"/>
        <v>0</v>
      </c>
    </row>
    <row r="234" spans="5:18" ht="12.75" customHeight="1" x14ac:dyDescent="0.2">
      <c r="E234" s="268" t="s">
        <v>159</v>
      </c>
      <c r="F234" s="269">
        <f t="shared" si="28"/>
        <v>0</v>
      </c>
      <c r="G234" s="269">
        <f t="shared" si="28"/>
        <v>0</v>
      </c>
      <c r="H234" s="248" t="str">
        <f t="shared" si="27"/>
        <v>NA</v>
      </c>
      <c r="I234" s="248" t="str">
        <f t="shared" si="27"/>
        <v>NA</v>
      </c>
      <c r="J234" s="248">
        <f t="shared" si="27"/>
        <v>0</v>
      </c>
      <c r="K234" s="248">
        <f t="shared" si="27"/>
        <v>0</v>
      </c>
      <c r="L234" s="248">
        <f t="shared" si="27"/>
        <v>0</v>
      </c>
      <c r="M234" s="248">
        <f t="shared" si="27"/>
        <v>0</v>
      </c>
      <c r="N234" s="248" t="str">
        <f t="shared" si="27"/>
        <v>NA</v>
      </c>
      <c r="O234" s="248" t="str">
        <f t="shared" si="27"/>
        <v>NA</v>
      </c>
      <c r="P234" s="248" t="str">
        <f t="shared" si="27"/>
        <v>NA</v>
      </c>
      <c r="Q234" s="248" t="str">
        <f t="shared" si="27"/>
        <v>NA</v>
      </c>
      <c r="R234" s="295">
        <f t="shared" si="26"/>
        <v>0</v>
      </c>
    </row>
    <row r="235" spans="5:18" ht="12.75" customHeight="1" x14ac:dyDescent="0.2">
      <c r="E235" s="268" t="s">
        <v>160</v>
      </c>
      <c r="F235" s="269">
        <f t="shared" si="28"/>
        <v>0</v>
      </c>
      <c r="G235" s="269">
        <f t="shared" si="28"/>
        <v>0</v>
      </c>
      <c r="H235" s="248">
        <f t="shared" si="27"/>
        <v>0</v>
      </c>
      <c r="I235" s="248">
        <f t="shared" si="27"/>
        <v>0</v>
      </c>
      <c r="J235" s="248">
        <f t="shared" si="27"/>
        <v>0</v>
      </c>
      <c r="K235" s="248">
        <f t="shared" si="27"/>
        <v>0</v>
      </c>
      <c r="L235" s="248">
        <f t="shared" si="27"/>
        <v>0</v>
      </c>
      <c r="M235" s="248">
        <f t="shared" si="27"/>
        <v>0</v>
      </c>
      <c r="N235" s="248" t="str">
        <f t="shared" si="27"/>
        <v>NA</v>
      </c>
      <c r="O235" s="248" t="str">
        <f t="shared" si="27"/>
        <v>NA</v>
      </c>
      <c r="P235" s="248" t="str">
        <f t="shared" si="27"/>
        <v>NA</v>
      </c>
      <c r="Q235" s="248" t="str">
        <f t="shared" si="27"/>
        <v>NA</v>
      </c>
      <c r="R235" s="295">
        <f t="shared" si="26"/>
        <v>0</v>
      </c>
    </row>
    <row r="236" spans="5:18" ht="12.75" customHeight="1" x14ac:dyDescent="0.2">
      <c r="E236" s="268" t="s">
        <v>161</v>
      </c>
      <c r="F236" s="269">
        <f t="shared" si="28"/>
        <v>0</v>
      </c>
      <c r="G236" s="269">
        <f t="shared" si="28"/>
        <v>0</v>
      </c>
      <c r="H236" s="248" t="str">
        <f t="shared" si="27"/>
        <v>NA</v>
      </c>
      <c r="I236" s="248" t="str">
        <f t="shared" si="27"/>
        <v>NA</v>
      </c>
      <c r="J236" s="248">
        <f t="shared" si="27"/>
        <v>0</v>
      </c>
      <c r="K236" s="248">
        <f t="shared" si="27"/>
        <v>0</v>
      </c>
      <c r="L236" s="248">
        <f t="shared" si="27"/>
        <v>0</v>
      </c>
      <c r="M236" s="248">
        <f t="shared" si="27"/>
        <v>0</v>
      </c>
      <c r="N236" s="248">
        <f t="shared" si="27"/>
        <v>0</v>
      </c>
      <c r="O236" s="248">
        <f t="shared" si="27"/>
        <v>0</v>
      </c>
      <c r="P236" s="248" t="str">
        <f t="shared" si="27"/>
        <v>NA</v>
      </c>
      <c r="Q236" s="248" t="str">
        <f t="shared" si="27"/>
        <v>NA</v>
      </c>
      <c r="R236" s="295">
        <f t="shared" si="26"/>
        <v>0</v>
      </c>
    </row>
    <row r="237" spans="5:18" ht="12.75" customHeight="1" x14ac:dyDescent="0.2">
      <c r="E237" s="268" t="s">
        <v>162</v>
      </c>
      <c r="F237" s="269">
        <f t="shared" si="28"/>
        <v>0</v>
      </c>
      <c r="G237" s="269">
        <f t="shared" si="28"/>
        <v>0</v>
      </c>
      <c r="H237" s="248">
        <f t="shared" si="27"/>
        <v>0</v>
      </c>
      <c r="I237" s="248">
        <f t="shared" si="27"/>
        <v>0</v>
      </c>
      <c r="J237" s="248">
        <f t="shared" si="27"/>
        <v>0</v>
      </c>
      <c r="K237" s="248">
        <f t="shared" si="27"/>
        <v>0</v>
      </c>
      <c r="L237" s="248">
        <f t="shared" si="27"/>
        <v>0</v>
      </c>
      <c r="M237" s="248">
        <f t="shared" si="27"/>
        <v>0</v>
      </c>
      <c r="N237" s="248" t="str">
        <f t="shared" si="27"/>
        <v>NA</v>
      </c>
      <c r="O237" s="248" t="str">
        <f t="shared" si="27"/>
        <v>NA</v>
      </c>
      <c r="P237" s="248" t="str">
        <f t="shared" si="27"/>
        <v>NA</v>
      </c>
      <c r="Q237" s="248" t="str">
        <f t="shared" si="27"/>
        <v>NA</v>
      </c>
      <c r="R237" s="295">
        <f t="shared" si="26"/>
        <v>0</v>
      </c>
    </row>
    <row r="238" spans="5:18" ht="12.75" customHeight="1" x14ac:dyDescent="0.2">
      <c r="E238" s="268" t="s">
        <v>163</v>
      </c>
      <c r="F238" s="269">
        <f t="shared" si="28"/>
        <v>0</v>
      </c>
      <c r="G238" s="269">
        <f t="shared" si="28"/>
        <v>0</v>
      </c>
      <c r="H238" s="248">
        <f t="shared" ref="H238:Q253" si="29">IFERROR(+I173-G108,"NA")</f>
        <v>0</v>
      </c>
      <c r="I238" s="248">
        <f t="shared" si="29"/>
        <v>0</v>
      </c>
      <c r="J238" s="248">
        <f t="shared" si="29"/>
        <v>0</v>
      </c>
      <c r="K238" s="248">
        <f t="shared" si="29"/>
        <v>0</v>
      </c>
      <c r="L238" s="248">
        <f t="shared" si="29"/>
        <v>0</v>
      </c>
      <c r="M238" s="248">
        <f t="shared" si="29"/>
        <v>0</v>
      </c>
      <c r="N238" s="248" t="str">
        <f t="shared" si="29"/>
        <v>NA</v>
      </c>
      <c r="O238" s="248" t="str">
        <f t="shared" si="29"/>
        <v>NA</v>
      </c>
      <c r="P238" s="248" t="str">
        <f t="shared" si="29"/>
        <v>NA</v>
      </c>
      <c r="Q238" s="248" t="str">
        <f t="shared" si="29"/>
        <v>NA</v>
      </c>
      <c r="R238" s="295">
        <f t="shared" si="26"/>
        <v>0</v>
      </c>
    </row>
    <row r="239" spans="5:18" ht="12.75" customHeight="1" x14ac:dyDescent="0.2">
      <c r="E239" s="268" t="s">
        <v>164</v>
      </c>
      <c r="F239" s="269">
        <f t="shared" si="28"/>
        <v>0</v>
      </c>
      <c r="G239" s="269">
        <f t="shared" si="28"/>
        <v>0</v>
      </c>
      <c r="H239" s="248">
        <f t="shared" si="29"/>
        <v>0</v>
      </c>
      <c r="I239" s="248">
        <f t="shared" si="29"/>
        <v>0</v>
      </c>
      <c r="J239" s="248">
        <f t="shared" si="29"/>
        <v>0</v>
      </c>
      <c r="K239" s="248">
        <f t="shared" si="29"/>
        <v>0</v>
      </c>
      <c r="L239" s="248">
        <f t="shared" si="29"/>
        <v>0</v>
      </c>
      <c r="M239" s="248">
        <f t="shared" si="29"/>
        <v>0</v>
      </c>
      <c r="N239" s="248" t="str">
        <f t="shared" si="29"/>
        <v>NA</v>
      </c>
      <c r="O239" s="248" t="str">
        <f t="shared" si="29"/>
        <v>NA</v>
      </c>
      <c r="P239" s="248" t="str">
        <f t="shared" si="29"/>
        <v>NA</v>
      </c>
      <c r="Q239" s="248" t="str">
        <f t="shared" si="29"/>
        <v>NA</v>
      </c>
      <c r="R239" s="295">
        <f t="shared" si="26"/>
        <v>0</v>
      </c>
    </row>
    <row r="240" spans="5:18" ht="12.75" customHeight="1" x14ac:dyDescent="0.2">
      <c r="E240" s="268" t="s">
        <v>165</v>
      </c>
      <c r="F240" s="269" t="str">
        <f t="shared" si="28"/>
        <v>NA</v>
      </c>
      <c r="G240" s="269" t="str">
        <f t="shared" si="28"/>
        <v>NA</v>
      </c>
      <c r="H240" s="248">
        <f t="shared" si="29"/>
        <v>0</v>
      </c>
      <c r="I240" s="248">
        <f t="shared" si="29"/>
        <v>0</v>
      </c>
      <c r="J240" s="248">
        <f t="shared" si="29"/>
        <v>0</v>
      </c>
      <c r="K240" s="248">
        <f t="shared" si="29"/>
        <v>0</v>
      </c>
      <c r="L240" s="248">
        <f t="shared" si="29"/>
        <v>0</v>
      </c>
      <c r="M240" s="248">
        <f t="shared" si="29"/>
        <v>0</v>
      </c>
      <c r="N240" s="248" t="str">
        <f t="shared" si="29"/>
        <v>NA</v>
      </c>
      <c r="O240" s="248" t="str">
        <f t="shared" si="29"/>
        <v>NA</v>
      </c>
      <c r="P240" s="248" t="str">
        <f t="shared" si="29"/>
        <v>NA</v>
      </c>
      <c r="Q240" s="248" t="str">
        <f t="shared" si="29"/>
        <v>NA</v>
      </c>
      <c r="R240" s="295">
        <f t="shared" si="26"/>
        <v>0</v>
      </c>
    </row>
    <row r="241" spans="5:18" ht="12.75" customHeight="1" x14ac:dyDescent="0.2">
      <c r="E241" s="268" t="s">
        <v>166</v>
      </c>
      <c r="F241" s="269">
        <f t="shared" si="28"/>
        <v>0</v>
      </c>
      <c r="G241" s="269">
        <f t="shared" si="28"/>
        <v>0</v>
      </c>
      <c r="H241" s="248">
        <f t="shared" si="29"/>
        <v>0</v>
      </c>
      <c r="I241" s="248">
        <f t="shared" si="29"/>
        <v>0</v>
      </c>
      <c r="J241" s="248">
        <f t="shared" si="29"/>
        <v>0</v>
      </c>
      <c r="K241" s="248">
        <f t="shared" si="29"/>
        <v>0</v>
      </c>
      <c r="L241" s="248">
        <f t="shared" si="29"/>
        <v>0</v>
      </c>
      <c r="M241" s="248">
        <f t="shared" si="29"/>
        <v>0</v>
      </c>
      <c r="N241" s="248" t="str">
        <f t="shared" si="29"/>
        <v>NA</v>
      </c>
      <c r="O241" s="248" t="str">
        <f t="shared" si="29"/>
        <v>NA</v>
      </c>
      <c r="P241" s="248" t="str">
        <f t="shared" si="29"/>
        <v>NA</v>
      </c>
      <c r="Q241" s="248" t="str">
        <f t="shared" si="29"/>
        <v>NA</v>
      </c>
      <c r="R241" s="295">
        <f t="shared" si="26"/>
        <v>0</v>
      </c>
    </row>
    <row r="242" spans="5:18" ht="12.75" customHeight="1" x14ac:dyDescent="0.2">
      <c r="E242" s="268" t="s">
        <v>167</v>
      </c>
      <c r="F242" s="269">
        <f t="shared" si="28"/>
        <v>0</v>
      </c>
      <c r="G242" s="269">
        <f t="shared" si="28"/>
        <v>0</v>
      </c>
      <c r="H242" s="248">
        <f t="shared" si="29"/>
        <v>0</v>
      </c>
      <c r="I242" s="248">
        <f t="shared" si="29"/>
        <v>0</v>
      </c>
      <c r="J242" s="248">
        <f t="shared" si="29"/>
        <v>0</v>
      </c>
      <c r="K242" s="248">
        <f t="shared" si="29"/>
        <v>0</v>
      </c>
      <c r="L242" s="248">
        <f t="shared" si="29"/>
        <v>0</v>
      </c>
      <c r="M242" s="248">
        <f t="shared" si="29"/>
        <v>0</v>
      </c>
      <c r="N242" s="248" t="str">
        <f t="shared" si="29"/>
        <v>NA</v>
      </c>
      <c r="O242" s="248" t="str">
        <f t="shared" si="29"/>
        <v>NA</v>
      </c>
      <c r="P242" s="248" t="str">
        <f t="shared" si="29"/>
        <v>NA</v>
      </c>
      <c r="Q242" s="248" t="str">
        <f t="shared" si="29"/>
        <v>NA</v>
      </c>
      <c r="R242" s="295">
        <f t="shared" si="26"/>
        <v>0</v>
      </c>
    </row>
    <row r="243" spans="5:18" ht="12.75" customHeight="1" x14ac:dyDescent="0.2">
      <c r="E243" s="268" t="s">
        <v>168</v>
      </c>
      <c r="F243" s="269">
        <f t="shared" si="28"/>
        <v>0</v>
      </c>
      <c r="G243" s="269">
        <f t="shared" si="28"/>
        <v>0</v>
      </c>
      <c r="H243" s="248">
        <f t="shared" si="29"/>
        <v>0</v>
      </c>
      <c r="I243" s="248">
        <f t="shared" si="29"/>
        <v>0</v>
      </c>
      <c r="J243" s="248">
        <f t="shared" si="29"/>
        <v>0</v>
      </c>
      <c r="K243" s="248">
        <f t="shared" si="29"/>
        <v>0</v>
      </c>
      <c r="L243" s="248">
        <f t="shared" si="29"/>
        <v>0</v>
      </c>
      <c r="M243" s="248">
        <f t="shared" si="29"/>
        <v>0</v>
      </c>
      <c r="N243" s="248" t="str">
        <f t="shared" si="29"/>
        <v>NA</v>
      </c>
      <c r="O243" s="248" t="str">
        <f t="shared" si="29"/>
        <v>NA</v>
      </c>
      <c r="P243" s="248" t="str">
        <f t="shared" si="29"/>
        <v>NA</v>
      </c>
      <c r="Q243" s="248" t="str">
        <f t="shared" si="29"/>
        <v>NA</v>
      </c>
      <c r="R243" s="295">
        <f t="shared" si="26"/>
        <v>0</v>
      </c>
    </row>
    <row r="244" spans="5:18" ht="12.75" customHeight="1" x14ac:dyDescent="0.2">
      <c r="E244" s="268" t="s">
        <v>169</v>
      </c>
      <c r="F244" s="269">
        <f t="shared" si="28"/>
        <v>0</v>
      </c>
      <c r="G244" s="269">
        <f t="shared" si="28"/>
        <v>0</v>
      </c>
      <c r="H244" s="248">
        <f t="shared" si="29"/>
        <v>0</v>
      </c>
      <c r="I244" s="248">
        <f t="shared" si="29"/>
        <v>0</v>
      </c>
      <c r="J244" s="248">
        <f t="shared" si="29"/>
        <v>0</v>
      </c>
      <c r="K244" s="248">
        <f t="shared" si="29"/>
        <v>0</v>
      </c>
      <c r="L244" s="248">
        <f t="shared" si="29"/>
        <v>0</v>
      </c>
      <c r="M244" s="248">
        <f t="shared" si="29"/>
        <v>0</v>
      </c>
      <c r="N244" s="248" t="str">
        <f t="shared" si="29"/>
        <v>NA</v>
      </c>
      <c r="O244" s="248" t="str">
        <f t="shared" si="29"/>
        <v>NA</v>
      </c>
      <c r="P244" s="248" t="str">
        <f t="shared" si="29"/>
        <v>NA</v>
      </c>
      <c r="Q244" s="248" t="str">
        <f t="shared" si="29"/>
        <v>NA</v>
      </c>
      <c r="R244" s="295">
        <f t="shared" si="26"/>
        <v>0</v>
      </c>
    </row>
    <row r="245" spans="5:18" ht="12.75" customHeight="1" x14ac:dyDescent="0.2">
      <c r="E245" s="268" t="s">
        <v>170</v>
      </c>
      <c r="F245" s="269">
        <f t="shared" si="28"/>
        <v>0</v>
      </c>
      <c r="G245" s="269">
        <f t="shared" si="28"/>
        <v>0</v>
      </c>
      <c r="H245" s="248">
        <f t="shared" si="29"/>
        <v>0</v>
      </c>
      <c r="I245" s="248">
        <f t="shared" si="29"/>
        <v>0</v>
      </c>
      <c r="J245" s="248">
        <f t="shared" si="29"/>
        <v>0</v>
      </c>
      <c r="K245" s="248">
        <f t="shared" si="29"/>
        <v>0</v>
      </c>
      <c r="L245" s="248">
        <f t="shared" si="29"/>
        <v>0</v>
      </c>
      <c r="M245" s="248">
        <f t="shared" si="29"/>
        <v>0</v>
      </c>
      <c r="N245" s="248" t="str">
        <f t="shared" si="29"/>
        <v>NA</v>
      </c>
      <c r="O245" s="248" t="str">
        <f t="shared" si="29"/>
        <v>NA</v>
      </c>
      <c r="P245" s="248" t="str">
        <f t="shared" si="29"/>
        <v>NA</v>
      </c>
      <c r="Q245" s="248" t="str">
        <f t="shared" si="29"/>
        <v>NA</v>
      </c>
      <c r="R245" s="295">
        <f t="shared" si="26"/>
        <v>0</v>
      </c>
    </row>
    <row r="246" spans="5:18" ht="12.75" customHeight="1" x14ac:dyDescent="0.2">
      <c r="E246" s="268" t="s">
        <v>171</v>
      </c>
      <c r="F246" s="269">
        <f t="shared" ref="F246:G265" si="30">+G181</f>
        <v>0</v>
      </c>
      <c r="G246" s="269">
        <f t="shared" si="30"/>
        <v>0</v>
      </c>
      <c r="H246" s="248">
        <f t="shared" si="29"/>
        <v>0</v>
      </c>
      <c r="I246" s="248">
        <f t="shared" si="29"/>
        <v>0</v>
      </c>
      <c r="J246" s="248">
        <f t="shared" si="29"/>
        <v>0</v>
      </c>
      <c r="K246" s="248">
        <f t="shared" si="29"/>
        <v>0</v>
      </c>
      <c r="L246" s="248">
        <f t="shared" si="29"/>
        <v>0</v>
      </c>
      <c r="M246" s="248">
        <f t="shared" si="29"/>
        <v>0</v>
      </c>
      <c r="N246" s="248" t="str">
        <f t="shared" si="29"/>
        <v>NA</v>
      </c>
      <c r="O246" s="248" t="str">
        <f t="shared" si="29"/>
        <v>NA</v>
      </c>
      <c r="P246" s="248" t="str">
        <f t="shared" si="29"/>
        <v>NA</v>
      </c>
      <c r="Q246" s="248" t="str">
        <f t="shared" si="29"/>
        <v>NA</v>
      </c>
      <c r="R246" s="295">
        <f t="shared" si="26"/>
        <v>0</v>
      </c>
    </row>
    <row r="247" spans="5:18" ht="12.75" customHeight="1" x14ac:dyDescent="0.2">
      <c r="E247" s="268" t="s">
        <v>172</v>
      </c>
      <c r="F247" s="269">
        <f t="shared" si="30"/>
        <v>0</v>
      </c>
      <c r="G247" s="269">
        <f t="shared" si="30"/>
        <v>0</v>
      </c>
      <c r="H247" s="248">
        <f t="shared" si="29"/>
        <v>0</v>
      </c>
      <c r="I247" s="248">
        <f t="shared" si="29"/>
        <v>0</v>
      </c>
      <c r="J247" s="248">
        <f t="shared" si="29"/>
        <v>0</v>
      </c>
      <c r="K247" s="248">
        <f t="shared" si="29"/>
        <v>0</v>
      </c>
      <c r="L247" s="248">
        <f t="shared" si="29"/>
        <v>0</v>
      </c>
      <c r="M247" s="248">
        <f t="shared" si="29"/>
        <v>0</v>
      </c>
      <c r="N247" s="248" t="str">
        <f t="shared" si="29"/>
        <v>NA</v>
      </c>
      <c r="O247" s="248" t="str">
        <f t="shared" si="29"/>
        <v>NA</v>
      </c>
      <c r="P247" s="248" t="str">
        <f t="shared" si="29"/>
        <v>NA</v>
      </c>
      <c r="Q247" s="248" t="str">
        <f t="shared" si="29"/>
        <v>NA</v>
      </c>
      <c r="R247" s="295">
        <f t="shared" si="26"/>
        <v>0</v>
      </c>
    </row>
    <row r="248" spans="5:18" ht="12.75" customHeight="1" x14ac:dyDescent="0.2">
      <c r="E248" s="268" t="s">
        <v>173</v>
      </c>
      <c r="F248" s="269">
        <f t="shared" si="30"/>
        <v>0</v>
      </c>
      <c r="G248" s="269">
        <f t="shared" si="30"/>
        <v>0</v>
      </c>
      <c r="H248" s="248">
        <f t="shared" si="29"/>
        <v>0</v>
      </c>
      <c r="I248" s="248">
        <f t="shared" si="29"/>
        <v>0</v>
      </c>
      <c r="J248" s="248">
        <f t="shared" si="29"/>
        <v>0</v>
      </c>
      <c r="K248" s="248">
        <f t="shared" si="29"/>
        <v>0</v>
      </c>
      <c r="L248" s="248">
        <f t="shared" si="29"/>
        <v>0</v>
      </c>
      <c r="M248" s="248">
        <f t="shared" si="29"/>
        <v>0</v>
      </c>
      <c r="N248" s="248" t="str">
        <f t="shared" si="29"/>
        <v>NA</v>
      </c>
      <c r="O248" s="248" t="str">
        <f t="shared" si="29"/>
        <v>NA</v>
      </c>
      <c r="P248" s="248" t="str">
        <f t="shared" si="29"/>
        <v>NA</v>
      </c>
      <c r="Q248" s="248" t="str">
        <f t="shared" si="29"/>
        <v>NA</v>
      </c>
      <c r="R248" s="295">
        <f t="shared" si="26"/>
        <v>0</v>
      </c>
    </row>
    <row r="249" spans="5:18" ht="12.75" customHeight="1" x14ac:dyDescent="0.2">
      <c r="E249" s="268" t="s">
        <v>174</v>
      </c>
      <c r="F249" s="269">
        <f t="shared" si="30"/>
        <v>0</v>
      </c>
      <c r="G249" s="269">
        <f t="shared" si="30"/>
        <v>0</v>
      </c>
      <c r="H249" s="248">
        <f t="shared" si="29"/>
        <v>0</v>
      </c>
      <c r="I249" s="248">
        <f t="shared" si="29"/>
        <v>0</v>
      </c>
      <c r="J249" s="248">
        <f t="shared" si="29"/>
        <v>0</v>
      </c>
      <c r="K249" s="248">
        <f t="shared" si="29"/>
        <v>0</v>
      </c>
      <c r="L249" s="248">
        <f t="shared" si="29"/>
        <v>0</v>
      </c>
      <c r="M249" s="248">
        <f t="shared" si="29"/>
        <v>0</v>
      </c>
      <c r="N249" s="248" t="str">
        <f t="shared" si="29"/>
        <v>NA</v>
      </c>
      <c r="O249" s="248" t="str">
        <f t="shared" si="29"/>
        <v>NA</v>
      </c>
      <c r="P249" s="248" t="str">
        <f t="shared" si="29"/>
        <v>NA</v>
      </c>
      <c r="Q249" s="248" t="str">
        <f t="shared" si="29"/>
        <v>NA</v>
      </c>
      <c r="R249" s="295">
        <f t="shared" si="26"/>
        <v>0</v>
      </c>
    </row>
    <row r="250" spans="5:18" ht="12.75" customHeight="1" x14ac:dyDescent="0.2">
      <c r="E250" s="268" t="s">
        <v>175</v>
      </c>
      <c r="F250" s="269">
        <f t="shared" si="30"/>
        <v>0</v>
      </c>
      <c r="G250" s="269">
        <f t="shared" si="30"/>
        <v>0</v>
      </c>
      <c r="H250" s="248">
        <f t="shared" si="29"/>
        <v>0</v>
      </c>
      <c r="I250" s="248">
        <f t="shared" si="29"/>
        <v>0</v>
      </c>
      <c r="J250" s="248">
        <f t="shared" si="29"/>
        <v>0</v>
      </c>
      <c r="K250" s="248">
        <f t="shared" si="29"/>
        <v>0</v>
      </c>
      <c r="L250" s="248" t="str">
        <f t="shared" si="29"/>
        <v>NA</v>
      </c>
      <c r="M250" s="248" t="str">
        <f t="shared" si="29"/>
        <v>NA</v>
      </c>
      <c r="N250" s="248" t="str">
        <f t="shared" si="29"/>
        <v>NA</v>
      </c>
      <c r="O250" s="248" t="str">
        <f t="shared" si="29"/>
        <v>NA</v>
      </c>
      <c r="P250" s="248" t="str">
        <f t="shared" si="29"/>
        <v>NA</v>
      </c>
      <c r="Q250" s="248" t="str">
        <f t="shared" si="29"/>
        <v>NA</v>
      </c>
      <c r="R250" s="295">
        <f t="shared" si="26"/>
        <v>0</v>
      </c>
    </row>
    <row r="251" spans="5:18" ht="12.75" customHeight="1" x14ac:dyDescent="0.2">
      <c r="E251" s="268" t="s">
        <v>176</v>
      </c>
      <c r="F251" s="269">
        <f t="shared" si="30"/>
        <v>0</v>
      </c>
      <c r="G251" s="269">
        <f t="shared" si="30"/>
        <v>0</v>
      </c>
      <c r="H251" s="248">
        <f t="shared" si="29"/>
        <v>0</v>
      </c>
      <c r="I251" s="248">
        <f t="shared" si="29"/>
        <v>0</v>
      </c>
      <c r="J251" s="248">
        <f t="shared" si="29"/>
        <v>0</v>
      </c>
      <c r="K251" s="248">
        <f t="shared" si="29"/>
        <v>0</v>
      </c>
      <c r="L251" s="248">
        <f t="shared" si="29"/>
        <v>0</v>
      </c>
      <c r="M251" s="248">
        <f t="shared" si="29"/>
        <v>0</v>
      </c>
      <c r="N251" s="248" t="str">
        <f t="shared" si="29"/>
        <v>NA</v>
      </c>
      <c r="O251" s="248" t="str">
        <f t="shared" si="29"/>
        <v>NA</v>
      </c>
      <c r="P251" s="248" t="str">
        <f t="shared" si="29"/>
        <v>NA</v>
      </c>
      <c r="Q251" s="248" t="str">
        <f t="shared" si="29"/>
        <v>NA</v>
      </c>
      <c r="R251" s="295">
        <f t="shared" si="26"/>
        <v>0</v>
      </c>
    </row>
    <row r="252" spans="5:18" ht="12.75" customHeight="1" x14ac:dyDescent="0.2">
      <c r="E252" s="268" t="s">
        <v>177</v>
      </c>
      <c r="F252" s="269">
        <f t="shared" si="30"/>
        <v>0</v>
      </c>
      <c r="G252" s="269">
        <f t="shared" si="30"/>
        <v>0</v>
      </c>
      <c r="H252" s="248">
        <f t="shared" si="29"/>
        <v>0</v>
      </c>
      <c r="I252" s="248">
        <f t="shared" si="29"/>
        <v>0</v>
      </c>
      <c r="J252" s="248">
        <f t="shared" si="29"/>
        <v>0</v>
      </c>
      <c r="K252" s="248">
        <f t="shared" si="29"/>
        <v>0</v>
      </c>
      <c r="L252" s="248">
        <f t="shared" si="29"/>
        <v>0</v>
      </c>
      <c r="M252" s="248">
        <f t="shared" si="29"/>
        <v>0</v>
      </c>
      <c r="N252" s="248" t="str">
        <f t="shared" si="29"/>
        <v>NA</v>
      </c>
      <c r="O252" s="248" t="str">
        <f t="shared" si="29"/>
        <v>NA</v>
      </c>
      <c r="P252" s="248" t="str">
        <f t="shared" si="29"/>
        <v>NA</v>
      </c>
      <c r="Q252" s="248" t="str">
        <f t="shared" si="29"/>
        <v>NA</v>
      </c>
      <c r="R252" s="295">
        <f t="shared" si="26"/>
        <v>0</v>
      </c>
    </row>
    <row r="253" spans="5:18" ht="12.75" customHeight="1" x14ac:dyDescent="0.2">
      <c r="E253" s="268" t="s">
        <v>178</v>
      </c>
      <c r="F253" s="269">
        <f t="shared" si="30"/>
        <v>0</v>
      </c>
      <c r="G253" s="269">
        <f t="shared" si="30"/>
        <v>0</v>
      </c>
      <c r="H253" s="248" t="str">
        <f t="shared" si="29"/>
        <v>NA</v>
      </c>
      <c r="I253" s="248" t="str">
        <f t="shared" si="29"/>
        <v>NA</v>
      </c>
      <c r="J253" s="248">
        <f t="shared" si="29"/>
        <v>0</v>
      </c>
      <c r="K253" s="248">
        <f t="shared" si="29"/>
        <v>0</v>
      </c>
      <c r="L253" s="248" t="str">
        <f t="shared" si="29"/>
        <v>NA</v>
      </c>
      <c r="M253" s="248" t="str">
        <f t="shared" si="29"/>
        <v>NA</v>
      </c>
      <c r="N253" s="248" t="str">
        <f t="shared" si="29"/>
        <v>NA</v>
      </c>
      <c r="O253" s="248" t="str">
        <f t="shared" si="29"/>
        <v>NA</v>
      </c>
      <c r="P253" s="248" t="str">
        <f t="shared" si="29"/>
        <v>NA</v>
      </c>
      <c r="Q253" s="248" t="str">
        <f t="shared" si="29"/>
        <v>NA</v>
      </c>
      <c r="R253" s="295">
        <f t="shared" si="26"/>
        <v>0</v>
      </c>
    </row>
    <row r="254" spans="5:18" ht="12.75" customHeight="1" x14ac:dyDescent="0.2">
      <c r="E254" s="268" t="s">
        <v>179</v>
      </c>
      <c r="F254" s="269" t="str">
        <f t="shared" si="30"/>
        <v>NA</v>
      </c>
      <c r="G254" s="269" t="str">
        <f t="shared" si="30"/>
        <v>NA</v>
      </c>
      <c r="H254" s="248">
        <f t="shared" ref="H254:Q266" si="31">IFERROR(+I189-G124,"NA")</f>
        <v>0</v>
      </c>
      <c r="I254" s="248">
        <f t="shared" si="31"/>
        <v>0</v>
      </c>
      <c r="J254" s="248">
        <f t="shared" si="31"/>
        <v>0</v>
      </c>
      <c r="K254" s="248">
        <f t="shared" si="31"/>
        <v>0</v>
      </c>
      <c r="L254" s="248" t="str">
        <f t="shared" si="31"/>
        <v>NA</v>
      </c>
      <c r="M254" s="248" t="str">
        <f t="shared" si="31"/>
        <v>NA</v>
      </c>
      <c r="N254" s="248" t="str">
        <f t="shared" si="31"/>
        <v>NA</v>
      </c>
      <c r="O254" s="248" t="str">
        <f t="shared" si="31"/>
        <v>NA</v>
      </c>
      <c r="P254" s="248" t="str">
        <f t="shared" si="31"/>
        <v>NA</v>
      </c>
      <c r="Q254" s="248" t="str">
        <f t="shared" si="31"/>
        <v>NA</v>
      </c>
      <c r="R254" s="295">
        <f t="shared" si="26"/>
        <v>0</v>
      </c>
    </row>
    <row r="255" spans="5:18" ht="12.75" customHeight="1" x14ac:dyDescent="0.2">
      <c r="E255" s="268" t="s">
        <v>180</v>
      </c>
      <c r="F255" s="269">
        <f t="shared" si="30"/>
        <v>0</v>
      </c>
      <c r="G255" s="269">
        <f t="shared" si="30"/>
        <v>0</v>
      </c>
      <c r="H255" s="248">
        <f t="shared" si="31"/>
        <v>0</v>
      </c>
      <c r="I255" s="248">
        <f t="shared" si="31"/>
        <v>0</v>
      </c>
      <c r="J255" s="248">
        <f t="shared" si="31"/>
        <v>0</v>
      </c>
      <c r="K255" s="248">
        <f t="shared" si="31"/>
        <v>0</v>
      </c>
      <c r="L255" s="248">
        <f t="shared" si="31"/>
        <v>0</v>
      </c>
      <c r="M255" s="248">
        <f t="shared" si="31"/>
        <v>0</v>
      </c>
      <c r="N255" s="248" t="str">
        <f t="shared" si="31"/>
        <v>NA</v>
      </c>
      <c r="O255" s="248" t="str">
        <f t="shared" si="31"/>
        <v>NA</v>
      </c>
      <c r="P255" s="248" t="str">
        <f t="shared" si="31"/>
        <v>NA</v>
      </c>
      <c r="Q255" s="248" t="str">
        <f t="shared" si="31"/>
        <v>NA</v>
      </c>
      <c r="R255" s="295">
        <f t="shared" si="26"/>
        <v>0</v>
      </c>
    </row>
    <row r="256" spans="5:18" ht="12.75" customHeight="1" x14ac:dyDescent="0.2">
      <c r="E256" s="246" t="s">
        <v>181</v>
      </c>
      <c r="F256" s="269">
        <f t="shared" si="30"/>
        <v>0</v>
      </c>
      <c r="G256" s="269">
        <f t="shared" si="30"/>
        <v>0</v>
      </c>
      <c r="H256" s="248">
        <f t="shared" si="31"/>
        <v>0</v>
      </c>
      <c r="I256" s="248">
        <f t="shared" si="31"/>
        <v>0</v>
      </c>
      <c r="J256" s="248">
        <f t="shared" si="31"/>
        <v>0</v>
      </c>
      <c r="K256" s="248">
        <f t="shared" si="31"/>
        <v>0</v>
      </c>
      <c r="L256" s="248" t="str">
        <f t="shared" si="31"/>
        <v>NA</v>
      </c>
      <c r="M256" s="248" t="str">
        <f t="shared" si="31"/>
        <v>NA</v>
      </c>
      <c r="N256" s="248" t="str">
        <f t="shared" si="31"/>
        <v>NA</v>
      </c>
      <c r="O256" s="248" t="str">
        <f t="shared" si="31"/>
        <v>NA</v>
      </c>
      <c r="P256" s="248" t="str">
        <f t="shared" si="31"/>
        <v>NA</v>
      </c>
      <c r="Q256" s="248" t="str">
        <f t="shared" si="31"/>
        <v>NA</v>
      </c>
      <c r="R256" s="295">
        <f t="shared" si="26"/>
        <v>0</v>
      </c>
    </row>
    <row r="257" spans="4:18" ht="12.75" customHeight="1" x14ac:dyDescent="0.2">
      <c r="E257" s="246" t="s">
        <v>182</v>
      </c>
      <c r="F257" s="269">
        <f t="shared" si="30"/>
        <v>0</v>
      </c>
      <c r="G257" s="269">
        <f t="shared" si="30"/>
        <v>0</v>
      </c>
      <c r="H257" s="248" t="str">
        <f t="shared" si="31"/>
        <v>NA</v>
      </c>
      <c r="I257" s="248" t="str">
        <f t="shared" si="31"/>
        <v>NA</v>
      </c>
      <c r="J257" s="248">
        <f t="shared" si="31"/>
        <v>0</v>
      </c>
      <c r="K257" s="248">
        <f t="shared" si="31"/>
        <v>0</v>
      </c>
      <c r="L257" s="248" t="str">
        <f t="shared" si="31"/>
        <v>NA</v>
      </c>
      <c r="M257" s="248" t="str">
        <f t="shared" si="31"/>
        <v>NA</v>
      </c>
      <c r="N257" s="248" t="str">
        <f t="shared" si="31"/>
        <v>NA</v>
      </c>
      <c r="O257" s="248" t="str">
        <f t="shared" si="31"/>
        <v>NA</v>
      </c>
      <c r="P257" s="248" t="str">
        <f t="shared" si="31"/>
        <v>NA</v>
      </c>
      <c r="Q257" s="248" t="str">
        <f t="shared" si="31"/>
        <v>NA</v>
      </c>
      <c r="R257" s="295">
        <f t="shared" si="26"/>
        <v>0</v>
      </c>
    </row>
    <row r="258" spans="4:18" ht="12.75" customHeight="1" x14ac:dyDescent="0.2">
      <c r="E258" s="274" t="s">
        <v>183</v>
      </c>
      <c r="F258" s="269" t="str">
        <f t="shared" si="30"/>
        <v>NA</v>
      </c>
      <c r="G258" s="269" t="str">
        <f t="shared" si="30"/>
        <v>NA</v>
      </c>
      <c r="H258" s="248">
        <f t="shared" si="31"/>
        <v>0</v>
      </c>
      <c r="I258" s="248">
        <f t="shared" si="31"/>
        <v>0</v>
      </c>
      <c r="J258" s="248">
        <f t="shared" si="31"/>
        <v>0</v>
      </c>
      <c r="K258" s="248">
        <f t="shared" si="31"/>
        <v>0</v>
      </c>
      <c r="L258" s="248" t="str">
        <f t="shared" si="31"/>
        <v>NA</v>
      </c>
      <c r="M258" s="248" t="str">
        <f t="shared" si="31"/>
        <v>NA</v>
      </c>
      <c r="N258" s="248" t="str">
        <f t="shared" si="31"/>
        <v>NA</v>
      </c>
      <c r="O258" s="248" t="str">
        <f t="shared" si="31"/>
        <v>NA</v>
      </c>
      <c r="P258" s="248" t="str">
        <f t="shared" si="31"/>
        <v>NA</v>
      </c>
      <c r="Q258" s="248" t="str">
        <f t="shared" si="31"/>
        <v>NA</v>
      </c>
      <c r="R258" s="295">
        <f t="shared" si="26"/>
        <v>0</v>
      </c>
    </row>
    <row r="259" spans="4:18" ht="12.75" customHeight="1" x14ac:dyDescent="0.2">
      <c r="D259" s="296"/>
      <c r="E259" s="246" t="s">
        <v>184</v>
      </c>
      <c r="F259" s="269">
        <f t="shared" si="30"/>
        <v>0</v>
      </c>
      <c r="G259" s="269">
        <f t="shared" si="30"/>
        <v>0</v>
      </c>
      <c r="H259" s="248" t="str">
        <f t="shared" si="31"/>
        <v>NA</v>
      </c>
      <c r="I259" s="248" t="str">
        <f t="shared" si="31"/>
        <v>NA</v>
      </c>
      <c r="J259" s="248">
        <f t="shared" si="31"/>
        <v>0</v>
      </c>
      <c r="K259" s="248">
        <f t="shared" si="31"/>
        <v>0</v>
      </c>
      <c r="L259" s="248">
        <f t="shared" si="31"/>
        <v>0</v>
      </c>
      <c r="M259" s="248">
        <f t="shared" si="31"/>
        <v>0</v>
      </c>
      <c r="N259" s="248" t="str">
        <f t="shared" si="31"/>
        <v>NA</v>
      </c>
      <c r="O259" s="248" t="str">
        <f t="shared" si="31"/>
        <v>NA</v>
      </c>
      <c r="P259" s="248" t="str">
        <f t="shared" si="31"/>
        <v>NA</v>
      </c>
      <c r="Q259" s="248" t="str">
        <f t="shared" si="31"/>
        <v>NA</v>
      </c>
      <c r="R259" s="295">
        <f t="shared" si="26"/>
        <v>0</v>
      </c>
    </row>
    <row r="260" spans="4:18" ht="12.75" customHeight="1" x14ac:dyDescent="0.2">
      <c r="E260" s="246" t="s">
        <v>185</v>
      </c>
      <c r="F260" s="269">
        <f t="shared" si="30"/>
        <v>0</v>
      </c>
      <c r="G260" s="269">
        <f t="shared" si="30"/>
        <v>0</v>
      </c>
      <c r="H260" s="248">
        <f t="shared" si="31"/>
        <v>0</v>
      </c>
      <c r="I260" s="248">
        <f t="shared" si="31"/>
        <v>0</v>
      </c>
      <c r="J260" s="248">
        <f t="shared" si="31"/>
        <v>0</v>
      </c>
      <c r="K260" s="248">
        <f t="shared" si="31"/>
        <v>0</v>
      </c>
      <c r="L260" s="248" t="str">
        <f t="shared" si="31"/>
        <v>NA</v>
      </c>
      <c r="M260" s="248" t="str">
        <f t="shared" si="31"/>
        <v>NA</v>
      </c>
      <c r="N260" s="248" t="str">
        <f t="shared" si="31"/>
        <v>NA</v>
      </c>
      <c r="O260" s="248" t="str">
        <f t="shared" si="31"/>
        <v>NA</v>
      </c>
      <c r="P260" s="248" t="str">
        <f t="shared" si="31"/>
        <v>NA</v>
      </c>
      <c r="Q260" s="248" t="str">
        <f t="shared" si="31"/>
        <v>NA</v>
      </c>
      <c r="R260" s="295">
        <f>IF(ROUND(SUM(F260,H260,J260,L260,N260,P260),8)&lt;&gt;0,"INPUT ERROR: Make sure tons managed equals tons generated",IF(Q260="INPUT ERROR","INPUT ERROR: Please select dry digestion",SUM(G260,I260,K260,M260,O260,Q260)))</f>
        <v>0</v>
      </c>
    </row>
    <row r="261" spans="4:18" ht="12.75" customHeight="1" x14ac:dyDescent="0.2">
      <c r="E261" s="268" t="s">
        <v>186</v>
      </c>
      <c r="F261" s="269">
        <f t="shared" si="30"/>
        <v>0</v>
      </c>
      <c r="G261" s="269">
        <f t="shared" si="30"/>
        <v>0</v>
      </c>
      <c r="H261" s="248" t="str">
        <f t="shared" si="31"/>
        <v>NA</v>
      </c>
      <c r="I261" s="248" t="str">
        <f t="shared" si="31"/>
        <v>NA</v>
      </c>
      <c r="J261" s="248">
        <f t="shared" si="31"/>
        <v>0</v>
      </c>
      <c r="K261" s="248">
        <f t="shared" si="31"/>
        <v>0</v>
      </c>
      <c r="L261" s="248">
        <f t="shared" si="31"/>
        <v>0</v>
      </c>
      <c r="M261" s="248">
        <f t="shared" si="31"/>
        <v>0</v>
      </c>
      <c r="N261" s="248" t="str">
        <f t="shared" si="31"/>
        <v>NA</v>
      </c>
      <c r="O261" s="248" t="str">
        <f t="shared" si="31"/>
        <v>NA</v>
      </c>
      <c r="P261" s="248" t="str">
        <f t="shared" si="31"/>
        <v>NA</v>
      </c>
      <c r="Q261" s="248" t="str">
        <f t="shared" si="31"/>
        <v>NA</v>
      </c>
      <c r="R261" s="295">
        <f t="shared" si="26"/>
        <v>0</v>
      </c>
    </row>
    <row r="262" spans="4:18" ht="12.75" customHeight="1" x14ac:dyDescent="0.2">
      <c r="E262" s="246" t="s">
        <v>187</v>
      </c>
      <c r="F262" s="269">
        <f t="shared" si="30"/>
        <v>0</v>
      </c>
      <c r="G262" s="269">
        <f t="shared" si="30"/>
        <v>0</v>
      </c>
      <c r="H262" s="248">
        <f t="shared" si="31"/>
        <v>0</v>
      </c>
      <c r="I262" s="248">
        <f t="shared" si="31"/>
        <v>0</v>
      </c>
      <c r="J262" s="248">
        <f t="shared" si="31"/>
        <v>0</v>
      </c>
      <c r="K262" s="248">
        <f t="shared" si="31"/>
        <v>0</v>
      </c>
      <c r="L262" s="248">
        <f t="shared" si="31"/>
        <v>0</v>
      </c>
      <c r="M262" s="248">
        <f t="shared" si="31"/>
        <v>0</v>
      </c>
      <c r="N262" s="248" t="str">
        <f t="shared" si="31"/>
        <v>NA</v>
      </c>
      <c r="O262" s="248" t="str">
        <f t="shared" si="31"/>
        <v>NA</v>
      </c>
      <c r="P262" s="248" t="str">
        <f t="shared" si="31"/>
        <v>NA</v>
      </c>
      <c r="Q262" s="248" t="str">
        <f t="shared" si="31"/>
        <v>NA</v>
      </c>
      <c r="R262" s="295">
        <f t="shared" si="26"/>
        <v>0</v>
      </c>
    </row>
    <row r="263" spans="4:18" ht="12.75" customHeight="1" x14ac:dyDescent="0.2">
      <c r="E263" s="246" t="s">
        <v>188</v>
      </c>
      <c r="F263" s="269">
        <f t="shared" si="30"/>
        <v>0</v>
      </c>
      <c r="G263" s="269">
        <f t="shared" si="30"/>
        <v>0</v>
      </c>
      <c r="H263" s="248">
        <f t="shared" si="31"/>
        <v>0</v>
      </c>
      <c r="I263" s="248">
        <f t="shared" si="31"/>
        <v>0</v>
      </c>
      <c r="J263" s="248">
        <f t="shared" si="31"/>
        <v>0</v>
      </c>
      <c r="K263" s="248">
        <f t="shared" si="31"/>
        <v>0</v>
      </c>
      <c r="L263" s="248">
        <f t="shared" si="31"/>
        <v>0</v>
      </c>
      <c r="M263" s="248">
        <f t="shared" si="31"/>
        <v>0</v>
      </c>
      <c r="N263" s="248" t="str">
        <f t="shared" si="31"/>
        <v>NA</v>
      </c>
      <c r="O263" s="248" t="str">
        <f t="shared" si="31"/>
        <v>NA</v>
      </c>
      <c r="P263" s="248" t="str">
        <f t="shared" si="31"/>
        <v>NA</v>
      </c>
      <c r="Q263" s="248" t="str">
        <f t="shared" si="31"/>
        <v>NA</v>
      </c>
      <c r="R263" s="295">
        <f t="shared" si="26"/>
        <v>0</v>
      </c>
    </row>
    <row r="264" spans="4:18" ht="12.75" customHeight="1" x14ac:dyDescent="0.2">
      <c r="E264" s="268" t="s">
        <v>189</v>
      </c>
      <c r="F264" s="269" t="str">
        <f t="shared" si="30"/>
        <v>NA</v>
      </c>
      <c r="G264" s="269" t="str">
        <f t="shared" si="30"/>
        <v>NA</v>
      </c>
      <c r="H264" s="248">
        <f t="shared" si="31"/>
        <v>0</v>
      </c>
      <c r="I264" s="248">
        <f t="shared" si="31"/>
        <v>0</v>
      </c>
      <c r="J264" s="248">
        <f t="shared" si="31"/>
        <v>0</v>
      </c>
      <c r="K264" s="248">
        <f t="shared" si="31"/>
        <v>0</v>
      </c>
      <c r="L264" s="248">
        <f t="shared" si="31"/>
        <v>0</v>
      </c>
      <c r="M264" s="248">
        <f t="shared" si="31"/>
        <v>0</v>
      </c>
      <c r="N264" s="248" t="str">
        <f t="shared" si="31"/>
        <v>NA</v>
      </c>
      <c r="O264" s="248" t="str">
        <f t="shared" si="31"/>
        <v>NA</v>
      </c>
      <c r="P264" s="248" t="str">
        <f t="shared" si="31"/>
        <v>NA</v>
      </c>
      <c r="Q264" s="248" t="str">
        <f t="shared" si="31"/>
        <v>NA</v>
      </c>
      <c r="R264" s="295">
        <f t="shared" si="26"/>
        <v>0</v>
      </c>
    </row>
    <row r="265" spans="4:18" ht="12.75" customHeight="1" x14ac:dyDescent="0.2">
      <c r="E265" s="268" t="s">
        <v>190</v>
      </c>
      <c r="F265" s="269" t="str">
        <f t="shared" si="30"/>
        <v>NA</v>
      </c>
      <c r="G265" s="269" t="str">
        <f t="shared" si="30"/>
        <v>NA</v>
      </c>
      <c r="H265" s="248" t="str">
        <f t="shared" si="31"/>
        <v>NA</v>
      </c>
      <c r="I265" s="248" t="str">
        <f t="shared" si="31"/>
        <v>NA</v>
      </c>
      <c r="J265" s="248">
        <f t="shared" si="31"/>
        <v>0</v>
      </c>
      <c r="K265" s="248">
        <f t="shared" si="31"/>
        <v>0</v>
      </c>
      <c r="L265" s="248">
        <f t="shared" si="31"/>
        <v>0</v>
      </c>
      <c r="M265" s="248">
        <f t="shared" si="31"/>
        <v>0</v>
      </c>
      <c r="N265" s="248">
        <f t="shared" si="31"/>
        <v>0</v>
      </c>
      <c r="O265" s="248">
        <f t="shared" si="31"/>
        <v>0</v>
      </c>
      <c r="P265" s="248">
        <f t="shared" si="31"/>
        <v>0</v>
      </c>
      <c r="Q265" s="248">
        <f t="shared" si="31"/>
        <v>0</v>
      </c>
      <c r="R265" s="295">
        <f t="shared" si="26"/>
        <v>0</v>
      </c>
    </row>
    <row r="266" spans="4:18" ht="12.75" customHeight="1" x14ac:dyDescent="0.2">
      <c r="E266" s="297" t="s">
        <v>191</v>
      </c>
      <c r="F266" s="269" t="str">
        <f>+G201</f>
        <v>NA</v>
      </c>
      <c r="G266" s="269" t="str">
        <f>+H201</f>
        <v>NA</v>
      </c>
      <c r="H266" s="248" t="str">
        <f t="shared" si="31"/>
        <v>NA</v>
      </c>
      <c r="I266" s="248" t="str">
        <f t="shared" si="31"/>
        <v>NA</v>
      </c>
      <c r="J266" s="248">
        <f t="shared" si="31"/>
        <v>0</v>
      </c>
      <c r="K266" s="248">
        <f t="shared" si="31"/>
        <v>0</v>
      </c>
      <c r="L266" s="248">
        <f t="shared" si="31"/>
        <v>0</v>
      </c>
      <c r="M266" s="248">
        <f t="shared" si="31"/>
        <v>0</v>
      </c>
      <c r="N266" s="248" t="str">
        <f t="shared" si="31"/>
        <v>NA</v>
      </c>
      <c r="O266" s="248" t="str">
        <f t="shared" si="31"/>
        <v>NA</v>
      </c>
      <c r="P266" s="248" t="str">
        <f t="shared" si="31"/>
        <v>NA</v>
      </c>
      <c r="Q266" s="248" t="str">
        <f t="shared" si="31"/>
        <v>NA</v>
      </c>
      <c r="R266" s="295">
        <f t="shared" si="26"/>
        <v>0</v>
      </c>
    </row>
    <row r="267" spans="4:18" ht="13.5" thickBot="1" x14ac:dyDescent="0.25">
      <c r="E267" s="298" t="s">
        <v>208</v>
      </c>
      <c r="F267" s="299">
        <f>SUM(F206:F266)</f>
        <v>0</v>
      </c>
      <c r="G267" s="299">
        <f t="shared" ref="G267:O267" si="32">SUM(G206:G266)</f>
        <v>0</v>
      </c>
      <c r="H267" s="299">
        <f t="shared" si="32"/>
        <v>0</v>
      </c>
      <c r="I267" s="299">
        <f t="shared" si="32"/>
        <v>0</v>
      </c>
      <c r="J267" s="299">
        <f t="shared" si="32"/>
        <v>0</v>
      </c>
      <c r="K267" s="299">
        <f>SUM(K206:K266)</f>
        <v>0</v>
      </c>
      <c r="L267" s="299">
        <f t="shared" si="32"/>
        <v>0</v>
      </c>
      <c r="M267" s="299">
        <f t="shared" si="32"/>
        <v>0</v>
      </c>
      <c r="N267" s="299">
        <f t="shared" si="32"/>
        <v>0</v>
      </c>
      <c r="O267" s="299">
        <f t="shared" si="32"/>
        <v>0</v>
      </c>
      <c r="P267" s="299">
        <f>SUM(P206:P266)</f>
        <v>-65300</v>
      </c>
      <c r="Q267" s="276">
        <f>IF(AND('[3]Analysis Inputs'!$N$158=3,SUM(P241:P244,P252)&lt;&gt;0),"INPUT ERROR",SUM(Q206:Q266))</f>
        <v>2688.4741742137112</v>
      </c>
      <c r="R267" s="300" t="str">
        <f>IF(ROUND(SUM(F267,H267,J267,L267,N267,P267),8)&lt;&gt;0,"INPUT ERROR: Make sure tons managed equals tons generated",IF(Q267="INPUT ERROR","INPUT ERROR: Please select dry digestion",SUM(G267,I267,K267,M267,O267,Q267)))</f>
        <v>INPUT ERROR: Make sure tons managed equals tons generated</v>
      </c>
    </row>
    <row r="268" spans="4:18" x14ac:dyDescent="0.2">
      <c r="E268" s="301" t="s">
        <v>231</v>
      </c>
      <c r="F268" s="282"/>
      <c r="G268" s="282"/>
      <c r="H268" s="282"/>
      <c r="I268" s="282"/>
      <c r="J268" s="282"/>
      <c r="K268" s="282"/>
      <c r="L268" s="282"/>
      <c r="M268" s="282"/>
      <c r="N268" s="282"/>
      <c r="O268" s="282"/>
      <c r="P268" s="282"/>
      <c r="Q268" s="282"/>
      <c r="R268" s="282"/>
    </row>
    <row r="269" spans="4:18" x14ac:dyDescent="0.2">
      <c r="E269" s="302" t="s">
        <v>232</v>
      </c>
    </row>
    <row r="270" spans="4:18" x14ac:dyDescent="0.2">
      <c r="E270" s="303" t="s">
        <v>233</v>
      </c>
    </row>
    <row r="271" spans="4:18" ht="12.75" customHeight="1" x14ac:dyDescent="0.2">
      <c r="E271" s="304" t="s">
        <v>234</v>
      </c>
    </row>
    <row r="273" spans="5:10" x14ac:dyDescent="0.2">
      <c r="E273" s="305" t="s">
        <v>235</v>
      </c>
    </row>
    <row r="274" spans="5:10" x14ac:dyDescent="0.2">
      <c r="E274" s="305" t="s">
        <v>236</v>
      </c>
    </row>
    <row r="277" spans="5:10" x14ac:dyDescent="0.2">
      <c r="E277" s="302"/>
      <c r="F277" s="18"/>
      <c r="G277" s="18"/>
      <c r="H277" s="18"/>
      <c r="I277" s="18"/>
      <c r="J277" s="18"/>
    </row>
    <row r="278" spans="5:10" x14ac:dyDescent="0.2">
      <c r="E278" s="306"/>
      <c r="F278" s="306"/>
      <c r="G278" s="306"/>
      <c r="H278" s="306"/>
      <c r="I278" s="306"/>
      <c r="J278" s="306"/>
    </row>
    <row r="279" spans="5:10" x14ac:dyDescent="0.2">
      <c r="E279" s="307"/>
      <c r="F279" s="307"/>
      <c r="G279" s="307"/>
      <c r="H279" s="307"/>
      <c r="I279" s="307"/>
      <c r="J279" s="307"/>
    </row>
  </sheetData>
  <mergeCells count="7">
    <mergeCell ref="N18:N20"/>
    <mergeCell ref="O18:O20"/>
    <mergeCell ref="M30:N31"/>
    <mergeCell ref="O30:O31"/>
    <mergeCell ref="E278:J278"/>
    <mergeCell ref="E279:J279"/>
    <mergeCell ref="M18:M20"/>
  </mergeCells>
  <conditionalFormatting sqref="L4:L6 P137:Q137 R202:S202 R206 Q207:R259 Q76:Q129 S141:S194 Q131:Q136 S196:S201 Q261:R268">
    <cfRule type="containsText" dxfId="11" priority="12" stopIfTrue="1" operator="containsText" text="INPUT ERROR">
      <formula>NOT(ISERROR(SEARCH("INPUT ERROR",L4)))</formula>
    </cfRule>
  </conditionalFormatting>
  <conditionalFormatting sqref="S202">
    <cfRule type="containsText" dxfId="10" priority="11" stopIfTrue="1" operator="containsText" text="INPUT ERROR">
      <formula>NOT(ISERROR(SEARCH("INPUT ERROR",S202)))</formula>
    </cfRule>
  </conditionalFormatting>
  <conditionalFormatting sqref="P77:P84 P136 P98:P129 P131:P134">
    <cfRule type="containsText" dxfId="9" priority="10" stopIfTrue="1" operator="containsText" text="INPUT ERROR">
      <formula>NOT(ISERROR(SEARCH("INPUT ERROR",P77)))</formula>
    </cfRule>
  </conditionalFormatting>
  <conditionalFormatting sqref="P76">
    <cfRule type="containsText" dxfId="8" priority="9" stopIfTrue="1" operator="containsText" text="INPUT ERROR">
      <formula>NOT(ISERROR(SEARCH("INPUT ERROR",P76)))</formula>
    </cfRule>
  </conditionalFormatting>
  <conditionalFormatting sqref="P85:P97">
    <cfRule type="containsText" dxfId="7" priority="8" stopIfTrue="1" operator="containsText" text="INPUT ERROR">
      <formula>NOT(ISERROR(SEARCH("INPUT ERROR",P85)))</formula>
    </cfRule>
  </conditionalFormatting>
  <conditionalFormatting sqref="P135">
    <cfRule type="containsText" dxfId="6" priority="7" stopIfTrue="1" operator="containsText" text="INPUT ERROR">
      <formula>NOT(ISERROR(SEARCH("INPUT ERROR",P135)))</formula>
    </cfRule>
  </conditionalFormatting>
  <conditionalFormatting sqref="R141:R194 R196:R201">
    <cfRule type="containsText" dxfId="5" priority="6" stopIfTrue="1" operator="containsText" text="INPUT ERROR">
      <formula>NOT(ISERROR(SEARCH("INPUT ERROR",R141)))</formula>
    </cfRule>
  </conditionalFormatting>
  <conditionalFormatting sqref="Q130">
    <cfRule type="containsText" dxfId="4" priority="5" stopIfTrue="1" operator="containsText" text="INPUT ERROR">
      <formula>NOT(ISERROR(SEARCH("INPUT ERROR",Q130)))</formula>
    </cfRule>
  </conditionalFormatting>
  <conditionalFormatting sqref="P130">
    <cfRule type="containsText" dxfId="3" priority="4" stopIfTrue="1" operator="containsText" text="INPUT ERROR">
      <formula>NOT(ISERROR(SEARCH("INPUT ERROR",P130)))</formula>
    </cfRule>
  </conditionalFormatting>
  <conditionalFormatting sqref="S195">
    <cfRule type="containsText" dxfId="2" priority="3" stopIfTrue="1" operator="containsText" text="INPUT ERROR">
      <formula>NOT(ISERROR(SEARCH("INPUT ERROR",S195)))</formula>
    </cfRule>
  </conditionalFormatting>
  <conditionalFormatting sqref="R195">
    <cfRule type="containsText" dxfId="1" priority="2" stopIfTrue="1" operator="containsText" text="INPUT ERROR">
      <formula>NOT(ISERROR(SEARCH("INPUT ERROR",R195)))</formula>
    </cfRule>
  </conditionalFormatting>
  <conditionalFormatting sqref="Q260:R260">
    <cfRule type="containsText" dxfId="0" priority="1" stopIfTrue="1" operator="containsText" text="INPUT ERROR">
      <formula>NOT(ISERROR(SEARCH("INPUT ERROR",Q260)))</formula>
    </cfRule>
  </conditionalFormatting>
  <dataValidations count="2">
    <dataValidation type="decimal" operator="greaterThan" allowBlank="1" showInputMessage="1" showErrorMessage="1" error="Please enter a positive number." prompt="Wood Flooring models reuse under the recycling management pathway." sqref="H68 JD68 SZ68 ACV68 AMR68 AWN68 BGJ68 BQF68 CAB68 CJX68 CTT68 DDP68 DNL68 DXH68 EHD68 EQZ68 FAV68 FKR68 FUN68 GEJ68 GOF68 GYB68 HHX68 HRT68 IBP68 ILL68 IVH68 JFD68 JOZ68 JYV68 KIR68 KSN68 LCJ68 LMF68 LWB68 MFX68 MPT68 MZP68 NJL68 NTH68 ODD68 OMZ68 OWV68 PGR68 PQN68 QAJ68 QKF68 QUB68 RDX68 RNT68 RXP68 SHL68 SRH68 TBD68 TKZ68 TUV68 UER68 UON68 UYJ68 VIF68 VSB68 WBX68 WLT68 WVP68 H65604 JD65604 SZ65604 ACV65604 AMR65604 AWN65604 BGJ65604 BQF65604 CAB65604 CJX65604 CTT65604 DDP65604 DNL65604 DXH65604 EHD65604 EQZ65604 FAV65604 FKR65604 FUN65604 GEJ65604 GOF65604 GYB65604 HHX65604 HRT65604 IBP65604 ILL65604 IVH65604 JFD65604 JOZ65604 JYV65604 KIR65604 KSN65604 LCJ65604 LMF65604 LWB65604 MFX65604 MPT65604 MZP65604 NJL65604 NTH65604 ODD65604 OMZ65604 OWV65604 PGR65604 PQN65604 QAJ65604 QKF65604 QUB65604 RDX65604 RNT65604 RXP65604 SHL65604 SRH65604 TBD65604 TKZ65604 TUV65604 UER65604 UON65604 UYJ65604 VIF65604 VSB65604 WBX65604 WLT65604 WVP65604 H131140 JD131140 SZ131140 ACV131140 AMR131140 AWN131140 BGJ131140 BQF131140 CAB131140 CJX131140 CTT131140 DDP131140 DNL131140 DXH131140 EHD131140 EQZ131140 FAV131140 FKR131140 FUN131140 GEJ131140 GOF131140 GYB131140 HHX131140 HRT131140 IBP131140 ILL131140 IVH131140 JFD131140 JOZ131140 JYV131140 KIR131140 KSN131140 LCJ131140 LMF131140 LWB131140 MFX131140 MPT131140 MZP131140 NJL131140 NTH131140 ODD131140 OMZ131140 OWV131140 PGR131140 PQN131140 QAJ131140 QKF131140 QUB131140 RDX131140 RNT131140 RXP131140 SHL131140 SRH131140 TBD131140 TKZ131140 TUV131140 UER131140 UON131140 UYJ131140 VIF131140 VSB131140 WBX131140 WLT131140 WVP131140 H196676 JD196676 SZ196676 ACV196676 AMR196676 AWN196676 BGJ196676 BQF196676 CAB196676 CJX196676 CTT196676 DDP196676 DNL196676 DXH196676 EHD196676 EQZ196676 FAV196676 FKR196676 FUN196676 GEJ196676 GOF196676 GYB196676 HHX196676 HRT196676 IBP196676 ILL196676 IVH196676 JFD196676 JOZ196676 JYV196676 KIR196676 KSN196676 LCJ196676 LMF196676 LWB196676 MFX196676 MPT196676 MZP196676 NJL196676 NTH196676 ODD196676 OMZ196676 OWV196676 PGR196676 PQN196676 QAJ196676 QKF196676 QUB196676 RDX196676 RNT196676 RXP196676 SHL196676 SRH196676 TBD196676 TKZ196676 TUV196676 UER196676 UON196676 UYJ196676 VIF196676 VSB196676 WBX196676 WLT196676 WVP196676 H262212 JD262212 SZ262212 ACV262212 AMR262212 AWN262212 BGJ262212 BQF262212 CAB262212 CJX262212 CTT262212 DDP262212 DNL262212 DXH262212 EHD262212 EQZ262212 FAV262212 FKR262212 FUN262212 GEJ262212 GOF262212 GYB262212 HHX262212 HRT262212 IBP262212 ILL262212 IVH262212 JFD262212 JOZ262212 JYV262212 KIR262212 KSN262212 LCJ262212 LMF262212 LWB262212 MFX262212 MPT262212 MZP262212 NJL262212 NTH262212 ODD262212 OMZ262212 OWV262212 PGR262212 PQN262212 QAJ262212 QKF262212 QUB262212 RDX262212 RNT262212 RXP262212 SHL262212 SRH262212 TBD262212 TKZ262212 TUV262212 UER262212 UON262212 UYJ262212 VIF262212 VSB262212 WBX262212 WLT262212 WVP262212 H327748 JD327748 SZ327748 ACV327748 AMR327748 AWN327748 BGJ327748 BQF327748 CAB327748 CJX327748 CTT327748 DDP327748 DNL327748 DXH327748 EHD327748 EQZ327748 FAV327748 FKR327748 FUN327748 GEJ327748 GOF327748 GYB327748 HHX327748 HRT327748 IBP327748 ILL327748 IVH327748 JFD327748 JOZ327748 JYV327748 KIR327748 KSN327748 LCJ327748 LMF327748 LWB327748 MFX327748 MPT327748 MZP327748 NJL327748 NTH327748 ODD327748 OMZ327748 OWV327748 PGR327748 PQN327748 QAJ327748 QKF327748 QUB327748 RDX327748 RNT327748 RXP327748 SHL327748 SRH327748 TBD327748 TKZ327748 TUV327748 UER327748 UON327748 UYJ327748 VIF327748 VSB327748 WBX327748 WLT327748 WVP327748 H393284 JD393284 SZ393284 ACV393284 AMR393284 AWN393284 BGJ393284 BQF393284 CAB393284 CJX393284 CTT393284 DDP393284 DNL393284 DXH393284 EHD393284 EQZ393284 FAV393284 FKR393284 FUN393284 GEJ393284 GOF393284 GYB393284 HHX393284 HRT393284 IBP393284 ILL393284 IVH393284 JFD393284 JOZ393284 JYV393284 KIR393284 KSN393284 LCJ393284 LMF393284 LWB393284 MFX393284 MPT393284 MZP393284 NJL393284 NTH393284 ODD393284 OMZ393284 OWV393284 PGR393284 PQN393284 QAJ393284 QKF393284 QUB393284 RDX393284 RNT393284 RXP393284 SHL393284 SRH393284 TBD393284 TKZ393284 TUV393284 UER393284 UON393284 UYJ393284 VIF393284 VSB393284 WBX393284 WLT393284 WVP393284 H458820 JD458820 SZ458820 ACV458820 AMR458820 AWN458820 BGJ458820 BQF458820 CAB458820 CJX458820 CTT458820 DDP458820 DNL458820 DXH458820 EHD458820 EQZ458820 FAV458820 FKR458820 FUN458820 GEJ458820 GOF458820 GYB458820 HHX458820 HRT458820 IBP458820 ILL458820 IVH458820 JFD458820 JOZ458820 JYV458820 KIR458820 KSN458820 LCJ458820 LMF458820 LWB458820 MFX458820 MPT458820 MZP458820 NJL458820 NTH458820 ODD458820 OMZ458820 OWV458820 PGR458820 PQN458820 QAJ458820 QKF458820 QUB458820 RDX458820 RNT458820 RXP458820 SHL458820 SRH458820 TBD458820 TKZ458820 TUV458820 UER458820 UON458820 UYJ458820 VIF458820 VSB458820 WBX458820 WLT458820 WVP458820 H524356 JD524356 SZ524356 ACV524356 AMR524356 AWN524356 BGJ524356 BQF524356 CAB524356 CJX524356 CTT524356 DDP524356 DNL524356 DXH524356 EHD524356 EQZ524356 FAV524356 FKR524356 FUN524356 GEJ524356 GOF524356 GYB524356 HHX524356 HRT524356 IBP524356 ILL524356 IVH524356 JFD524356 JOZ524356 JYV524356 KIR524356 KSN524356 LCJ524356 LMF524356 LWB524356 MFX524356 MPT524356 MZP524356 NJL524356 NTH524356 ODD524356 OMZ524356 OWV524356 PGR524356 PQN524356 QAJ524356 QKF524356 QUB524356 RDX524356 RNT524356 RXP524356 SHL524356 SRH524356 TBD524356 TKZ524356 TUV524356 UER524356 UON524356 UYJ524356 VIF524356 VSB524356 WBX524356 WLT524356 WVP524356 H589892 JD589892 SZ589892 ACV589892 AMR589892 AWN589892 BGJ589892 BQF589892 CAB589892 CJX589892 CTT589892 DDP589892 DNL589892 DXH589892 EHD589892 EQZ589892 FAV589892 FKR589892 FUN589892 GEJ589892 GOF589892 GYB589892 HHX589892 HRT589892 IBP589892 ILL589892 IVH589892 JFD589892 JOZ589892 JYV589892 KIR589892 KSN589892 LCJ589892 LMF589892 LWB589892 MFX589892 MPT589892 MZP589892 NJL589892 NTH589892 ODD589892 OMZ589892 OWV589892 PGR589892 PQN589892 QAJ589892 QKF589892 QUB589892 RDX589892 RNT589892 RXP589892 SHL589892 SRH589892 TBD589892 TKZ589892 TUV589892 UER589892 UON589892 UYJ589892 VIF589892 VSB589892 WBX589892 WLT589892 WVP589892 H655428 JD655428 SZ655428 ACV655428 AMR655428 AWN655428 BGJ655428 BQF655428 CAB655428 CJX655428 CTT655428 DDP655428 DNL655428 DXH655428 EHD655428 EQZ655428 FAV655428 FKR655428 FUN655428 GEJ655428 GOF655428 GYB655428 HHX655428 HRT655428 IBP655428 ILL655428 IVH655428 JFD655428 JOZ655428 JYV655428 KIR655428 KSN655428 LCJ655428 LMF655428 LWB655428 MFX655428 MPT655428 MZP655428 NJL655428 NTH655428 ODD655428 OMZ655428 OWV655428 PGR655428 PQN655428 QAJ655428 QKF655428 QUB655428 RDX655428 RNT655428 RXP655428 SHL655428 SRH655428 TBD655428 TKZ655428 TUV655428 UER655428 UON655428 UYJ655428 VIF655428 VSB655428 WBX655428 WLT655428 WVP655428 H720964 JD720964 SZ720964 ACV720964 AMR720964 AWN720964 BGJ720964 BQF720964 CAB720964 CJX720964 CTT720964 DDP720964 DNL720964 DXH720964 EHD720964 EQZ720964 FAV720964 FKR720964 FUN720964 GEJ720964 GOF720964 GYB720964 HHX720964 HRT720964 IBP720964 ILL720964 IVH720964 JFD720964 JOZ720964 JYV720964 KIR720964 KSN720964 LCJ720964 LMF720964 LWB720964 MFX720964 MPT720964 MZP720964 NJL720964 NTH720964 ODD720964 OMZ720964 OWV720964 PGR720964 PQN720964 QAJ720964 QKF720964 QUB720964 RDX720964 RNT720964 RXP720964 SHL720964 SRH720964 TBD720964 TKZ720964 TUV720964 UER720964 UON720964 UYJ720964 VIF720964 VSB720964 WBX720964 WLT720964 WVP720964 H786500 JD786500 SZ786500 ACV786500 AMR786500 AWN786500 BGJ786500 BQF786500 CAB786500 CJX786500 CTT786500 DDP786500 DNL786500 DXH786500 EHD786500 EQZ786500 FAV786500 FKR786500 FUN786500 GEJ786500 GOF786500 GYB786500 HHX786500 HRT786500 IBP786500 ILL786500 IVH786500 JFD786500 JOZ786500 JYV786500 KIR786500 KSN786500 LCJ786500 LMF786500 LWB786500 MFX786500 MPT786500 MZP786500 NJL786500 NTH786500 ODD786500 OMZ786500 OWV786500 PGR786500 PQN786500 QAJ786500 QKF786500 QUB786500 RDX786500 RNT786500 RXP786500 SHL786500 SRH786500 TBD786500 TKZ786500 TUV786500 UER786500 UON786500 UYJ786500 VIF786500 VSB786500 WBX786500 WLT786500 WVP786500 H852036 JD852036 SZ852036 ACV852036 AMR852036 AWN852036 BGJ852036 BQF852036 CAB852036 CJX852036 CTT852036 DDP852036 DNL852036 DXH852036 EHD852036 EQZ852036 FAV852036 FKR852036 FUN852036 GEJ852036 GOF852036 GYB852036 HHX852036 HRT852036 IBP852036 ILL852036 IVH852036 JFD852036 JOZ852036 JYV852036 KIR852036 KSN852036 LCJ852036 LMF852036 LWB852036 MFX852036 MPT852036 MZP852036 NJL852036 NTH852036 ODD852036 OMZ852036 OWV852036 PGR852036 PQN852036 QAJ852036 QKF852036 QUB852036 RDX852036 RNT852036 RXP852036 SHL852036 SRH852036 TBD852036 TKZ852036 TUV852036 UER852036 UON852036 UYJ852036 VIF852036 VSB852036 WBX852036 WLT852036 WVP852036 H917572 JD917572 SZ917572 ACV917572 AMR917572 AWN917572 BGJ917572 BQF917572 CAB917572 CJX917572 CTT917572 DDP917572 DNL917572 DXH917572 EHD917572 EQZ917572 FAV917572 FKR917572 FUN917572 GEJ917572 GOF917572 GYB917572 HHX917572 HRT917572 IBP917572 ILL917572 IVH917572 JFD917572 JOZ917572 JYV917572 KIR917572 KSN917572 LCJ917572 LMF917572 LWB917572 MFX917572 MPT917572 MZP917572 NJL917572 NTH917572 ODD917572 OMZ917572 OWV917572 PGR917572 PQN917572 QAJ917572 QKF917572 QUB917572 RDX917572 RNT917572 RXP917572 SHL917572 SRH917572 TBD917572 TKZ917572 TUV917572 UER917572 UON917572 UYJ917572 VIF917572 VSB917572 WBX917572 WLT917572 WVP917572 H983108 JD983108 SZ983108 ACV983108 AMR983108 AWN983108 BGJ983108 BQF983108 CAB983108 CJX983108 CTT983108 DDP983108 DNL983108 DXH983108 EHD983108 EQZ983108 FAV983108 FKR983108 FUN983108 GEJ983108 GOF983108 GYB983108 HHX983108 HRT983108 IBP983108 ILL983108 IVH983108 JFD983108 JOZ983108 JYV983108 KIR983108 KSN983108 LCJ983108 LMF983108 LWB983108 MFX983108 MPT983108 MZP983108 NJL983108 NTH983108 ODD983108 OMZ983108 OWV983108 PGR983108 PQN983108 QAJ983108 QKF983108 QUB983108 RDX983108 RNT983108 RXP983108 SHL983108 SRH983108 TBD983108 TKZ983108 TUV983108 UER983108 UON983108 UYJ983108 VIF983108 VSB983108 WBX983108 WLT983108 WVP983108 G132:H132 JC132:JD132 SY132:SZ132 ACU132:ACV132 AMQ132:AMR132 AWM132:AWN132 BGI132:BGJ132 BQE132:BQF132 CAA132:CAB132 CJW132:CJX132 CTS132:CTT132 DDO132:DDP132 DNK132:DNL132 DXG132:DXH132 EHC132:EHD132 EQY132:EQZ132 FAU132:FAV132 FKQ132:FKR132 FUM132:FUN132 GEI132:GEJ132 GOE132:GOF132 GYA132:GYB132 HHW132:HHX132 HRS132:HRT132 IBO132:IBP132 ILK132:ILL132 IVG132:IVH132 JFC132:JFD132 JOY132:JOZ132 JYU132:JYV132 KIQ132:KIR132 KSM132:KSN132 LCI132:LCJ132 LME132:LMF132 LWA132:LWB132 MFW132:MFX132 MPS132:MPT132 MZO132:MZP132 NJK132:NJL132 NTG132:NTH132 ODC132:ODD132 OMY132:OMZ132 OWU132:OWV132 PGQ132:PGR132 PQM132:PQN132 QAI132:QAJ132 QKE132:QKF132 QUA132:QUB132 RDW132:RDX132 RNS132:RNT132 RXO132:RXP132 SHK132:SHL132 SRG132:SRH132 TBC132:TBD132 TKY132:TKZ132 TUU132:TUV132 UEQ132:UER132 UOM132:UON132 UYI132:UYJ132 VIE132:VIF132 VSA132:VSB132 WBW132:WBX132 WLS132:WLT132 WVO132:WVP132 G65668:H65668 JC65668:JD65668 SY65668:SZ65668 ACU65668:ACV65668 AMQ65668:AMR65668 AWM65668:AWN65668 BGI65668:BGJ65668 BQE65668:BQF65668 CAA65668:CAB65668 CJW65668:CJX65668 CTS65668:CTT65668 DDO65668:DDP65668 DNK65668:DNL65668 DXG65668:DXH65668 EHC65668:EHD65668 EQY65668:EQZ65668 FAU65668:FAV65668 FKQ65668:FKR65668 FUM65668:FUN65668 GEI65668:GEJ65668 GOE65668:GOF65668 GYA65668:GYB65668 HHW65668:HHX65668 HRS65668:HRT65668 IBO65668:IBP65668 ILK65668:ILL65668 IVG65668:IVH65668 JFC65668:JFD65668 JOY65668:JOZ65668 JYU65668:JYV65668 KIQ65668:KIR65668 KSM65668:KSN65668 LCI65668:LCJ65668 LME65668:LMF65668 LWA65668:LWB65668 MFW65668:MFX65668 MPS65668:MPT65668 MZO65668:MZP65668 NJK65668:NJL65668 NTG65668:NTH65668 ODC65668:ODD65668 OMY65668:OMZ65668 OWU65668:OWV65668 PGQ65668:PGR65668 PQM65668:PQN65668 QAI65668:QAJ65668 QKE65668:QKF65668 QUA65668:QUB65668 RDW65668:RDX65668 RNS65668:RNT65668 RXO65668:RXP65668 SHK65668:SHL65668 SRG65668:SRH65668 TBC65668:TBD65668 TKY65668:TKZ65668 TUU65668:TUV65668 UEQ65668:UER65668 UOM65668:UON65668 UYI65668:UYJ65668 VIE65668:VIF65668 VSA65668:VSB65668 WBW65668:WBX65668 WLS65668:WLT65668 WVO65668:WVP65668 G131204:H131204 JC131204:JD131204 SY131204:SZ131204 ACU131204:ACV131204 AMQ131204:AMR131204 AWM131204:AWN131204 BGI131204:BGJ131204 BQE131204:BQF131204 CAA131204:CAB131204 CJW131204:CJX131204 CTS131204:CTT131204 DDO131204:DDP131204 DNK131204:DNL131204 DXG131204:DXH131204 EHC131204:EHD131204 EQY131204:EQZ131204 FAU131204:FAV131204 FKQ131204:FKR131204 FUM131204:FUN131204 GEI131204:GEJ131204 GOE131204:GOF131204 GYA131204:GYB131204 HHW131204:HHX131204 HRS131204:HRT131204 IBO131204:IBP131204 ILK131204:ILL131204 IVG131204:IVH131204 JFC131204:JFD131204 JOY131204:JOZ131204 JYU131204:JYV131204 KIQ131204:KIR131204 KSM131204:KSN131204 LCI131204:LCJ131204 LME131204:LMF131204 LWA131204:LWB131204 MFW131204:MFX131204 MPS131204:MPT131204 MZO131204:MZP131204 NJK131204:NJL131204 NTG131204:NTH131204 ODC131204:ODD131204 OMY131204:OMZ131204 OWU131204:OWV131204 PGQ131204:PGR131204 PQM131204:PQN131204 QAI131204:QAJ131204 QKE131204:QKF131204 QUA131204:QUB131204 RDW131204:RDX131204 RNS131204:RNT131204 RXO131204:RXP131204 SHK131204:SHL131204 SRG131204:SRH131204 TBC131204:TBD131204 TKY131204:TKZ131204 TUU131204:TUV131204 UEQ131204:UER131204 UOM131204:UON131204 UYI131204:UYJ131204 VIE131204:VIF131204 VSA131204:VSB131204 WBW131204:WBX131204 WLS131204:WLT131204 WVO131204:WVP131204 G196740:H196740 JC196740:JD196740 SY196740:SZ196740 ACU196740:ACV196740 AMQ196740:AMR196740 AWM196740:AWN196740 BGI196740:BGJ196740 BQE196740:BQF196740 CAA196740:CAB196740 CJW196740:CJX196740 CTS196740:CTT196740 DDO196740:DDP196740 DNK196740:DNL196740 DXG196740:DXH196740 EHC196740:EHD196740 EQY196740:EQZ196740 FAU196740:FAV196740 FKQ196740:FKR196740 FUM196740:FUN196740 GEI196740:GEJ196740 GOE196740:GOF196740 GYA196740:GYB196740 HHW196740:HHX196740 HRS196740:HRT196740 IBO196740:IBP196740 ILK196740:ILL196740 IVG196740:IVH196740 JFC196740:JFD196740 JOY196740:JOZ196740 JYU196740:JYV196740 KIQ196740:KIR196740 KSM196740:KSN196740 LCI196740:LCJ196740 LME196740:LMF196740 LWA196740:LWB196740 MFW196740:MFX196740 MPS196740:MPT196740 MZO196740:MZP196740 NJK196740:NJL196740 NTG196740:NTH196740 ODC196740:ODD196740 OMY196740:OMZ196740 OWU196740:OWV196740 PGQ196740:PGR196740 PQM196740:PQN196740 QAI196740:QAJ196740 QKE196740:QKF196740 QUA196740:QUB196740 RDW196740:RDX196740 RNS196740:RNT196740 RXO196740:RXP196740 SHK196740:SHL196740 SRG196740:SRH196740 TBC196740:TBD196740 TKY196740:TKZ196740 TUU196740:TUV196740 UEQ196740:UER196740 UOM196740:UON196740 UYI196740:UYJ196740 VIE196740:VIF196740 VSA196740:VSB196740 WBW196740:WBX196740 WLS196740:WLT196740 WVO196740:WVP196740 G262276:H262276 JC262276:JD262276 SY262276:SZ262276 ACU262276:ACV262276 AMQ262276:AMR262276 AWM262276:AWN262276 BGI262276:BGJ262276 BQE262276:BQF262276 CAA262276:CAB262276 CJW262276:CJX262276 CTS262276:CTT262276 DDO262276:DDP262276 DNK262276:DNL262276 DXG262276:DXH262276 EHC262276:EHD262276 EQY262276:EQZ262276 FAU262276:FAV262276 FKQ262276:FKR262276 FUM262276:FUN262276 GEI262276:GEJ262276 GOE262276:GOF262276 GYA262276:GYB262276 HHW262276:HHX262276 HRS262276:HRT262276 IBO262276:IBP262276 ILK262276:ILL262276 IVG262276:IVH262276 JFC262276:JFD262276 JOY262276:JOZ262276 JYU262276:JYV262276 KIQ262276:KIR262276 KSM262276:KSN262276 LCI262276:LCJ262276 LME262276:LMF262276 LWA262276:LWB262276 MFW262276:MFX262276 MPS262276:MPT262276 MZO262276:MZP262276 NJK262276:NJL262276 NTG262276:NTH262276 ODC262276:ODD262276 OMY262276:OMZ262276 OWU262276:OWV262276 PGQ262276:PGR262276 PQM262276:PQN262276 QAI262276:QAJ262276 QKE262276:QKF262276 QUA262276:QUB262276 RDW262276:RDX262276 RNS262276:RNT262276 RXO262276:RXP262276 SHK262276:SHL262276 SRG262276:SRH262276 TBC262276:TBD262276 TKY262276:TKZ262276 TUU262276:TUV262276 UEQ262276:UER262276 UOM262276:UON262276 UYI262276:UYJ262276 VIE262276:VIF262276 VSA262276:VSB262276 WBW262276:WBX262276 WLS262276:WLT262276 WVO262276:WVP262276 G327812:H327812 JC327812:JD327812 SY327812:SZ327812 ACU327812:ACV327812 AMQ327812:AMR327812 AWM327812:AWN327812 BGI327812:BGJ327812 BQE327812:BQF327812 CAA327812:CAB327812 CJW327812:CJX327812 CTS327812:CTT327812 DDO327812:DDP327812 DNK327812:DNL327812 DXG327812:DXH327812 EHC327812:EHD327812 EQY327812:EQZ327812 FAU327812:FAV327812 FKQ327812:FKR327812 FUM327812:FUN327812 GEI327812:GEJ327812 GOE327812:GOF327812 GYA327812:GYB327812 HHW327812:HHX327812 HRS327812:HRT327812 IBO327812:IBP327812 ILK327812:ILL327812 IVG327812:IVH327812 JFC327812:JFD327812 JOY327812:JOZ327812 JYU327812:JYV327812 KIQ327812:KIR327812 KSM327812:KSN327812 LCI327812:LCJ327812 LME327812:LMF327812 LWA327812:LWB327812 MFW327812:MFX327812 MPS327812:MPT327812 MZO327812:MZP327812 NJK327812:NJL327812 NTG327812:NTH327812 ODC327812:ODD327812 OMY327812:OMZ327812 OWU327812:OWV327812 PGQ327812:PGR327812 PQM327812:PQN327812 QAI327812:QAJ327812 QKE327812:QKF327812 QUA327812:QUB327812 RDW327812:RDX327812 RNS327812:RNT327812 RXO327812:RXP327812 SHK327812:SHL327812 SRG327812:SRH327812 TBC327812:TBD327812 TKY327812:TKZ327812 TUU327812:TUV327812 UEQ327812:UER327812 UOM327812:UON327812 UYI327812:UYJ327812 VIE327812:VIF327812 VSA327812:VSB327812 WBW327812:WBX327812 WLS327812:WLT327812 WVO327812:WVP327812 G393348:H393348 JC393348:JD393348 SY393348:SZ393348 ACU393348:ACV393348 AMQ393348:AMR393348 AWM393348:AWN393348 BGI393348:BGJ393348 BQE393348:BQF393348 CAA393348:CAB393348 CJW393348:CJX393348 CTS393348:CTT393348 DDO393348:DDP393348 DNK393348:DNL393348 DXG393348:DXH393348 EHC393348:EHD393348 EQY393348:EQZ393348 FAU393348:FAV393348 FKQ393348:FKR393348 FUM393348:FUN393348 GEI393348:GEJ393348 GOE393348:GOF393348 GYA393348:GYB393348 HHW393348:HHX393348 HRS393348:HRT393348 IBO393348:IBP393348 ILK393348:ILL393348 IVG393348:IVH393348 JFC393348:JFD393348 JOY393348:JOZ393348 JYU393348:JYV393348 KIQ393348:KIR393348 KSM393348:KSN393348 LCI393348:LCJ393348 LME393348:LMF393348 LWA393348:LWB393348 MFW393348:MFX393348 MPS393348:MPT393348 MZO393348:MZP393348 NJK393348:NJL393348 NTG393348:NTH393348 ODC393348:ODD393348 OMY393348:OMZ393348 OWU393348:OWV393348 PGQ393348:PGR393348 PQM393348:PQN393348 QAI393348:QAJ393348 QKE393348:QKF393348 QUA393348:QUB393348 RDW393348:RDX393348 RNS393348:RNT393348 RXO393348:RXP393348 SHK393348:SHL393348 SRG393348:SRH393348 TBC393348:TBD393348 TKY393348:TKZ393348 TUU393348:TUV393348 UEQ393348:UER393348 UOM393348:UON393348 UYI393348:UYJ393348 VIE393348:VIF393348 VSA393348:VSB393348 WBW393348:WBX393348 WLS393348:WLT393348 WVO393348:WVP393348 G458884:H458884 JC458884:JD458884 SY458884:SZ458884 ACU458884:ACV458884 AMQ458884:AMR458884 AWM458884:AWN458884 BGI458884:BGJ458884 BQE458884:BQF458884 CAA458884:CAB458884 CJW458884:CJX458884 CTS458884:CTT458884 DDO458884:DDP458884 DNK458884:DNL458884 DXG458884:DXH458884 EHC458884:EHD458884 EQY458884:EQZ458884 FAU458884:FAV458884 FKQ458884:FKR458884 FUM458884:FUN458884 GEI458884:GEJ458884 GOE458884:GOF458884 GYA458884:GYB458884 HHW458884:HHX458884 HRS458884:HRT458884 IBO458884:IBP458884 ILK458884:ILL458884 IVG458884:IVH458884 JFC458884:JFD458884 JOY458884:JOZ458884 JYU458884:JYV458884 KIQ458884:KIR458884 KSM458884:KSN458884 LCI458884:LCJ458884 LME458884:LMF458884 LWA458884:LWB458884 MFW458884:MFX458884 MPS458884:MPT458884 MZO458884:MZP458884 NJK458884:NJL458884 NTG458884:NTH458884 ODC458884:ODD458884 OMY458884:OMZ458884 OWU458884:OWV458884 PGQ458884:PGR458884 PQM458884:PQN458884 QAI458884:QAJ458884 QKE458884:QKF458884 QUA458884:QUB458884 RDW458884:RDX458884 RNS458884:RNT458884 RXO458884:RXP458884 SHK458884:SHL458884 SRG458884:SRH458884 TBC458884:TBD458884 TKY458884:TKZ458884 TUU458884:TUV458884 UEQ458884:UER458884 UOM458884:UON458884 UYI458884:UYJ458884 VIE458884:VIF458884 VSA458884:VSB458884 WBW458884:WBX458884 WLS458884:WLT458884 WVO458884:WVP458884 G524420:H524420 JC524420:JD524420 SY524420:SZ524420 ACU524420:ACV524420 AMQ524420:AMR524420 AWM524420:AWN524420 BGI524420:BGJ524420 BQE524420:BQF524420 CAA524420:CAB524420 CJW524420:CJX524420 CTS524420:CTT524420 DDO524420:DDP524420 DNK524420:DNL524420 DXG524420:DXH524420 EHC524420:EHD524420 EQY524420:EQZ524420 FAU524420:FAV524420 FKQ524420:FKR524420 FUM524420:FUN524420 GEI524420:GEJ524420 GOE524420:GOF524420 GYA524420:GYB524420 HHW524420:HHX524420 HRS524420:HRT524420 IBO524420:IBP524420 ILK524420:ILL524420 IVG524420:IVH524420 JFC524420:JFD524420 JOY524420:JOZ524420 JYU524420:JYV524420 KIQ524420:KIR524420 KSM524420:KSN524420 LCI524420:LCJ524420 LME524420:LMF524420 LWA524420:LWB524420 MFW524420:MFX524420 MPS524420:MPT524420 MZO524420:MZP524420 NJK524420:NJL524420 NTG524420:NTH524420 ODC524420:ODD524420 OMY524420:OMZ524420 OWU524420:OWV524420 PGQ524420:PGR524420 PQM524420:PQN524420 QAI524420:QAJ524420 QKE524420:QKF524420 QUA524420:QUB524420 RDW524420:RDX524420 RNS524420:RNT524420 RXO524420:RXP524420 SHK524420:SHL524420 SRG524420:SRH524420 TBC524420:TBD524420 TKY524420:TKZ524420 TUU524420:TUV524420 UEQ524420:UER524420 UOM524420:UON524420 UYI524420:UYJ524420 VIE524420:VIF524420 VSA524420:VSB524420 WBW524420:WBX524420 WLS524420:WLT524420 WVO524420:WVP524420 G589956:H589956 JC589956:JD589956 SY589956:SZ589956 ACU589956:ACV589956 AMQ589956:AMR589956 AWM589956:AWN589956 BGI589956:BGJ589956 BQE589956:BQF589956 CAA589956:CAB589956 CJW589956:CJX589956 CTS589956:CTT589956 DDO589956:DDP589956 DNK589956:DNL589956 DXG589956:DXH589956 EHC589956:EHD589956 EQY589956:EQZ589956 FAU589956:FAV589956 FKQ589956:FKR589956 FUM589956:FUN589956 GEI589956:GEJ589956 GOE589956:GOF589956 GYA589956:GYB589956 HHW589956:HHX589956 HRS589956:HRT589956 IBO589956:IBP589956 ILK589956:ILL589956 IVG589956:IVH589956 JFC589956:JFD589956 JOY589956:JOZ589956 JYU589956:JYV589956 KIQ589956:KIR589956 KSM589956:KSN589956 LCI589956:LCJ589956 LME589956:LMF589956 LWA589956:LWB589956 MFW589956:MFX589956 MPS589956:MPT589956 MZO589956:MZP589956 NJK589956:NJL589956 NTG589956:NTH589956 ODC589956:ODD589956 OMY589956:OMZ589956 OWU589956:OWV589956 PGQ589956:PGR589956 PQM589956:PQN589956 QAI589956:QAJ589956 QKE589956:QKF589956 QUA589956:QUB589956 RDW589956:RDX589956 RNS589956:RNT589956 RXO589956:RXP589956 SHK589956:SHL589956 SRG589956:SRH589956 TBC589956:TBD589956 TKY589956:TKZ589956 TUU589956:TUV589956 UEQ589956:UER589956 UOM589956:UON589956 UYI589956:UYJ589956 VIE589956:VIF589956 VSA589956:VSB589956 WBW589956:WBX589956 WLS589956:WLT589956 WVO589956:WVP589956 G655492:H655492 JC655492:JD655492 SY655492:SZ655492 ACU655492:ACV655492 AMQ655492:AMR655492 AWM655492:AWN655492 BGI655492:BGJ655492 BQE655492:BQF655492 CAA655492:CAB655492 CJW655492:CJX655492 CTS655492:CTT655492 DDO655492:DDP655492 DNK655492:DNL655492 DXG655492:DXH655492 EHC655492:EHD655492 EQY655492:EQZ655492 FAU655492:FAV655492 FKQ655492:FKR655492 FUM655492:FUN655492 GEI655492:GEJ655492 GOE655492:GOF655492 GYA655492:GYB655492 HHW655492:HHX655492 HRS655492:HRT655492 IBO655492:IBP655492 ILK655492:ILL655492 IVG655492:IVH655492 JFC655492:JFD655492 JOY655492:JOZ655492 JYU655492:JYV655492 KIQ655492:KIR655492 KSM655492:KSN655492 LCI655492:LCJ655492 LME655492:LMF655492 LWA655492:LWB655492 MFW655492:MFX655492 MPS655492:MPT655492 MZO655492:MZP655492 NJK655492:NJL655492 NTG655492:NTH655492 ODC655492:ODD655492 OMY655492:OMZ655492 OWU655492:OWV655492 PGQ655492:PGR655492 PQM655492:PQN655492 QAI655492:QAJ655492 QKE655492:QKF655492 QUA655492:QUB655492 RDW655492:RDX655492 RNS655492:RNT655492 RXO655492:RXP655492 SHK655492:SHL655492 SRG655492:SRH655492 TBC655492:TBD655492 TKY655492:TKZ655492 TUU655492:TUV655492 UEQ655492:UER655492 UOM655492:UON655492 UYI655492:UYJ655492 VIE655492:VIF655492 VSA655492:VSB655492 WBW655492:WBX655492 WLS655492:WLT655492 WVO655492:WVP655492 G721028:H721028 JC721028:JD721028 SY721028:SZ721028 ACU721028:ACV721028 AMQ721028:AMR721028 AWM721028:AWN721028 BGI721028:BGJ721028 BQE721028:BQF721028 CAA721028:CAB721028 CJW721028:CJX721028 CTS721028:CTT721028 DDO721028:DDP721028 DNK721028:DNL721028 DXG721028:DXH721028 EHC721028:EHD721028 EQY721028:EQZ721028 FAU721028:FAV721028 FKQ721028:FKR721028 FUM721028:FUN721028 GEI721028:GEJ721028 GOE721028:GOF721028 GYA721028:GYB721028 HHW721028:HHX721028 HRS721028:HRT721028 IBO721028:IBP721028 ILK721028:ILL721028 IVG721028:IVH721028 JFC721028:JFD721028 JOY721028:JOZ721028 JYU721028:JYV721028 KIQ721028:KIR721028 KSM721028:KSN721028 LCI721028:LCJ721028 LME721028:LMF721028 LWA721028:LWB721028 MFW721028:MFX721028 MPS721028:MPT721028 MZO721028:MZP721028 NJK721028:NJL721028 NTG721028:NTH721028 ODC721028:ODD721028 OMY721028:OMZ721028 OWU721028:OWV721028 PGQ721028:PGR721028 PQM721028:PQN721028 QAI721028:QAJ721028 QKE721028:QKF721028 QUA721028:QUB721028 RDW721028:RDX721028 RNS721028:RNT721028 RXO721028:RXP721028 SHK721028:SHL721028 SRG721028:SRH721028 TBC721028:TBD721028 TKY721028:TKZ721028 TUU721028:TUV721028 UEQ721028:UER721028 UOM721028:UON721028 UYI721028:UYJ721028 VIE721028:VIF721028 VSA721028:VSB721028 WBW721028:WBX721028 WLS721028:WLT721028 WVO721028:WVP721028 G786564:H786564 JC786564:JD786564 SY786564:SZ786564 ACU786564:ACV786564 AMQ786564:AMR786564 AWM786564:AWN786564 BGI786564:BGJ786564 BQE786564:BQF786564 CAA786564:CAB786564 CJW786564:CJX786564 CTS786564:CTT786564 DDO786564:DDP786564 DNK786564:DNL786564 DXG786564:DXH786564 EHC786564:EHD786564 EQY786564:EQZ786564 FAU786564:FAV786564 FKQ786564:FKR786564 FUM786564:FUN786564 GEI786564:GEJ786564 GOE786564:GOF786564 GYA786564:GYB786564 HHW786564:HHX786564 HRS786564:HRT786564 IBO786564:IBP786564 ILK786564:ILL786564 IVG786564:IVH786564 JFC786564:JFD786564 JOY786564:JOZ786564 JYU786564:JYV786564 KIQ786564:KIR786564 KSM786564:KSN786564 LCI786564:LCJ786564 LME786564:LMF786564 LWA786564:LWB786564 MFW786564:MFX786564 MPS786564:MPT786564 MZO786564:MZP786564 NJK786564:NJL786564 NTG786564:NTH786564 ODC786564:ODD786564 OMY786564:OMZ786564 OWU786564:OWV786564 PGQ786564:PGR786564 PQM786564:PQN786564 QAI786564:QAJ786564 QKE786564:QKF786564 QUA786564:QUB786564 RDW786564:RDX786564 RNS786564:RNT786564 RXO786564:RXP786564 SHK786564:SHL786564 SRG786564:SRH786564 TBC786564:TBD786564 TKY786564:TKZ786564 TUU786564:TUV786564 UEQ786564:UER786564 UOM786564:UON786564 UYI786564:UYJ786564 VIE786564:VIF786564 VSA786564:VSB786564 WBW786564:WBX786564 WLS786564:WLT786564 WVO786564:WVP786564 G852100:H852100 JC852100:JD852100 SY852100:SZ852100 ACU852100:ACV852100 AMQ852100:AMR852100 AWM852100:AWN852100 BGI852100:BGJ852100 BQE852100:BQF852100 CAA852100:CAB852100 CJW852100:CJX852100 CTS852100:CTT852100 DDO852100:DDP852100 DNK852100:DNL852100 DXG852100:DXH852100 EHC852100:EHD852100 EQY852100:EQZ852100 FAU852100:FAV852100 FKQ852100:FKR852100 FUM852100:FUN852100 GEI852100:GEJ852100 GOE852100:GOF852100 GYA852100:GYB852100 HHW852100:HHX852100 HRS852100:HRT852100 IBO852100:IBP852100 ILK852100:ILL852100 IVG852100:IVH852100 JFC852100:JFD852100 JOY852100:JOZ852100 JYU852100:JYV852100 KIQ852100:KIR852100 KSM852100:KSN852100 LCI852100:LCJ852100 LME852100:LMF852100 LWA852100:LWB852100 MFW852100:MFX852100 MPS852100:MPT852100 MZO852100:MZP852100 NJK852100:NJL852100 NTG852100:NTH852100 ODC852100:ODD852100 OMY852100:OMZ852100 OWU852100:OWV852100 PGQ852100:PGR852100 PQM852100:PQN852100 QAI852100:QAJ852100 QKE852100:QKF852100 QUA852100:QUB852100 RDW852100:RDX852100 RNS852100:RNT852100 RXO852100:RXP852100 SHK852100:SHL852100 SRG852100:SRH852100 TBC852100:TBD852100 TKY852100:TKZ852100 TUU852100:TUV852100 UEQ852100:UER852100 UOM852100:UON852100 UYI852100:UYJ852100 VIE852100:VIF852100 VSA852100:VSB852100 WBW852100:WBX852100 WLS852100:WLT852100 WVO852100:WVP852100 G917636:H917636 JC917636:JD917636 SY917636:SZ917636 ACU917636:ACV917636 AMQ917636:AMR917636 AWM917636:AWN917636 BGI917636:BGJ917636 BQE917636:BQF917636 CAA917636:CAB917636 CJW917636:CJX917636 CTS917636:CTT917636 DDO917636:DDP917636 DNK917636:DNL917636 DXG917636:DXH917636 EHC917636:EHD917636 EQY917636:EQZ917636 FAU917636:FAV917636 FKQ917636:FKR917636 FUM917636:FUN917636 GEI917636:GEJ917636 GOE917636:GOF917636 GYA917636:GYB917636 HHW917636:HHX917636 HRS917636:HRT917636 IBO917636:IBP917636 ILK917636:ILL917636 IVG917636:IVH917636 JFC917636:JFD917636 JOY917636:JOZ917636 JYU917636:JYV917636 KIQ917636:KIR917636 KSM917636:KSN917636 LCI917636:LCJ917636 LME917636:LMF917636 LWA917636:LWB917636 MFW917636:MFX917636 MPS917636:MPT917636 MZO917636:MZP917636 NJK917636:NJL917636 NTG917636:NTH917636 ODC917636:ODD917636 OMY917636:OMZ917636 OWU917636:OWV917636 PGQ917636:PGR917636 PQM917636:PQN917636 QAI917636:QAJ917636 QKE917636:QKF917636 QUA917636:QUB917636 RDW917636:RDX917636 RNS917636:RNT917636 RXO917636:RXP917636 SHK917636:SHL917636 SRG917636:SRH917636 TBC917636:TBD917636 TKY917636:TKZ917636 TUU917636:TUV917636 UEQ917636:UER917636 UOM917636:UON917636 UYI917636:UYJ917636 VIE917636:VIF917636 VSA917636:VSB917636 WBW917636:WBX917636 WLS917636:WLT917636 WVO917636:WVP917636 G983172:H983172 JC983172:JD983172 SY983172:SZ983172 ACU983172:ACV983172 AMQ983172:AMR983172 AWM983172:AWN983172 BGI983172:BGJ983172 BQE983172:BQF983172 CAA983172:CAB983172 CJW983172:CJX983172 CTS983172:CTT983172 DDO983172:DDP983172 DNK983172:DNL983172 DXG983172:DXH983172 EHC983172:EHD983172 EQY983172:EQZ983172 FAU983172:FAV983172 FKQ983172:FKR983172 FUM983172:FUN983172 GEI983172:GEJ983172 GOE983172:GOF983172 GYA983172:GYB983172 HHW983172:HHX983172 HRS983172:HRT983172 IBO983172:IBP983172 ILK983172:ILL983172 IVG983172:IVH983172 JFC983172:JFD983172 JOY983172:JOZ983172 JYU983172:JYV983172 KIQ983172:KIR983172 KSM983172:KSN983172 LCI983172:LCJ983172 LME983172:LMF983172 LWA983172:LWB983172 MFW983172:MFX983172 MPS983172:MPT983172 MZO983172:MZP983172 NJK983172:NJL983172 NTG983172:NTH983172 ODC983172:ODD983172 OMY983172:OMZ983172 OWU983172:OWV983172 PGQ983172:PGR983172 PQM983172:PQN983172 QAI983172:QAJ983172 QKE983172:QKF983172 QUA983172:QUB983172 RDW983172:RDX983172 RNS983172:RNT983172 RXO983172:RXP983172 SHK983172:SHL983172 SRG983172:SRH983172 TBC983172:TBD983172 TKY983172:TKZ983172 TUU983172:TUV983172 UEQ983172:UER983172 UOM983172:UON983172 UYI983172:UYJ983172 VIE983172:VIF983172 VSA983172:VSB983172 WBW983172:WBX983172 WLS983172:WLT983172 WVO983172:WVP983172 I197:J197 JE197:JF197 TA197:TB197 ACW197:ACX197 AMS197:AMT197 AWO197:AWP197 BGK197:BGL197 BQG197:BQH197 CAC197:CAD197 CJY197:CJZ197 CTU197:CTV197 DDQ197:DDR197 DNM197:DNN197 DXI197:DXJ197 EHE197:EHF197 ERA197:ERB197 FAW197:FAX197 FKS197:FKT197 FUO197:FUP197 GEK197:GEL197 GOG197:GOH197 GYC197:GYD197 HHY197:HHZ197 HRU197:HRV197 IBQ197:IBR197 ILM197:ILN197 IVI197:IVJ197 JFE197:JFF197 JPA197:JPB197 JYW197:JYX197 KIS197:KIT197 KSO197:KSP197 LCK197:LCL197 LMG197:LMH197 LWC197:LWD197 MFY197:MFZ197 MPU197:MPV197 MZQ197:MZR197 NJM197:NJN197 NTI197:NTJ197 ODE197:ODF197 ONA197:ONB197 OWW197:OWX197 PGS197:PGT197 PQO197:PQP197 QAK197:QAL197 QKG197:QKH197 QUC197:QUD197 RDY197:RDZ197 RNU197:RNV197 RXQ197:RXR197 SHM197:SHN197 SRI197:SRJ197 TBE197:TBF197 TLA197:TLB197 TUW197:TUX197 UES197:UET197 UOO197:UOP197 UYK197:UYL197 VIG197:VIH197 VSC197:VSD197 WBY197:WBZ197 WLU197:WLV197 WVQ197:WVR197 I65733:J65733 JE65733:JF65733 TA65733:TB65733 ACW65733:ACX65733 AMS65733:AMT65733 AWO65733:AWP65733 BGK65733:BGL65733 BQG65733:BQH65733 CAC65733:CAD65733 CJY65733:CJZ65733 CTU65733:CTV65733 DDQ65733:DDR65733 DNM65733:DNN65733 DXI65733:DXJ65733 EHE65733:EHF65733 ERA65733:ERB65733 FAW65733:FAX65733 FKS65733:FKT65733 FUO65733:FUP65733 GEK65733:GEL65733 GOG65733:GOH65733 GYC65733:GYD65733 HHY65733:HHZ65733 HRU65733:HRV65733 IBQ65733:IBR65733 ILM65733:ILN65733 IVI65733:IVJ65733 JFE65733:JFF65733 JPA65733:JPB65733 JYW65733:JYX65733 KIS65733:KIT65733 KSO65733:KSP65733 LCK65733:LCL65733 LMG65733:LMH65733 LWC65733:LWD65733 MFY65733:MFZ65733 MPU65733:MPV65733 MZQ65733:MZR65733 NJM65733:NJN65733 NTI65733:NTJ65733 ODE65733:ODF65733 ONA65733:ONB65733 OWW65733:OWX65733 PGS65733:PGT65733 PQO65733:PQP65733 QAK65733:QAL65733 QKG65733:QKH65733 QUC65733:QUD65733 RDY65733:RDZ65733 RNU65733:RNV65733 RXQ65733:RXR65733 SHM65733:SHN65733 SRI65733:SRJ65733 TBE65733:TBF65733 TLA65733:TLB65733 TUW65733:TUX65733 UES65733:UET65733 UOO65733:UOP65733 UYK65733:UYL65733 VIG65733:VIH65733 VSC65733:VSD65733 WBY65733:WBZ65733 WLU65733:WLV65733 WVQ65733:WVR65733 I131269:J131269 JE131269:JF131269 TA131269:TB131269 ACW131269:ACX131269 AMS131269:AMT131269 AWO131269:AWP131269 BGK131269:BGL131269 BQG131269:BQH131269 CAC131269:CAD131269 CJY131269:CJZ131269 CTU131269:CTV131269 DDQ131269:DDR131269 DNM131269:DNN131269 DXI131269:DXJ131269 EHE131269:EHF131269 ERA131269:ERB131269 FAW131269:FAX131269 FKS131269:FKT131269 FUO131269:FUP131269 GEK131269:GEL131269 GOG131269:GOH131269 GYC131269:GYD131269 HHY131269:HHZ131269 HRU131269:HRV131269 IBQ131269:IBR131269 ILM131269:ILN131269 IVI131269:IVJ131269 JFE131269:JFF131269 JPA131269:JPB131269 JYW131269:JYX131269 KIS131269:KIT131269 KSO131269:KSP131269 LCK131269:LCL131269 LMG131269:LMH131269 LWC131269:LWD131269 MFY131269:MFZ131269 MPU131269:MPV131269 MZQ131269:MZR131269 NJM131269:NJN131269 NTI131269:NTJ131269 ODE131269:ODF131269 ONA131269:ONB131269 OWW131269:OWX131269 PGS131269:PGT131269 PQO131269:PQP131269 QAK131269:QAL131269 QKG131269:QKH131269 QUC131269:QUD131269 RDY131269:RDZ131269 RNU131269:RNV131269 RXQ131269:RXR131269 SHM131269:SHN131269 SRI131269:SRJ131269 TBE131269:TBF131269 TLA131269:TLB131269 TUW131269:TUX131269 UES131269:UET131269 UOO131269:UOP131269 UYK131269:UYL131269 VIG131269:VIH131269 VSC131269:VSD131269 WBY131269:WBZ131269 WLU131269:WLV131269 WVQ131269:WVR131269 I196805:J196805 JE196805:JF196805 TA196805:TB196805 ACW196805:ACX196805 AMS196805:AMT196805 AWO196805:AWP196805 BGK196805:BGL196805 BQG196805:BQH196805 CAC196805:CAD196805 CJY196805:CJZ196805 CTU196805:CTV196805 DDQ196805:DDR196805 DNM196805:DNN196805 DXI196805:DXJ196805 EHE196805:EHF196805 ERA196805:ERB196805 FAW196805:FAX196805 FKS196805:FKT196805 FUO196805:FUP196805 GEK196805:GEL196805 GOG196805:GOH196805 GYC196805:GYD196805 HHY196805:HHZ196805 HRU196805:HRV196805 IBQ196805:IBR196805 ILM196805:ILN196805 IVI196805:IVJ196805 JFE196805:JFF196805 JPA196805:JPB196805 JYW196805:JYX196805 KIS196805:KIT196805 KSO196805:KSP196805 LCK196805:LCL196805 LMG196805:LMH196805 LWC196805:LWD196805 MFY196805:MFZ196805 MPU196805:MPV196805 MZQ196805:MZR196805 NJM196805:NJN196805 NTI196805:NTJ196805 ODE196805:ODF196805 ONA196805:ONB196805 OWW196805:OWX196805 PGS196805:PGT196805 PQO196805:PQP196805 QAK196805:QAL196805 QKG196805:QKH196805 QUC196805:QUD196805 RDY196805:RDZ196805 RNU196805:RNV196805 RXQ196805:RXR196805 SHM196805:SHN196805 SRI196805:SRJ196805 TBE196805:TBF196805 TLA196805:TLB196805 TUW196805:TUX196805 UES196805:UET196805 UOO196805:UOP196805 UYK196805:UYL196805 VIG196805:VIH196805 VSC196805:VSD196805 WBY196805:WBZ196805 WLU196805:WLV196805 WVQ196805:WVR196805 I262341:J262341 JE262341:JF262341 TA262341:TB262341 ACW262341:ACX262341 AMS262341:AMT262341 AWO262341:AWP262341 BGK262341:BGL262341 BQG262341:BQH262341 CAC262341:CAD262341 CJY262341:CJZ262341 CTU262341:CTV262341 DDQ262341:DDR262341 DNM262341:DNN262341 DXI262341:DXJ262341 EHE262341:EHF262341 ERA262341:ERB262341 FAW262341:FAX262341 FKS262341:FKT262341 FUO262341:FUP262341 GEK262341:GEL262341 GOG262341:GOH262341 GYC262341:GYD262341 HHY262341:HHZ262341 HRU262341:HRV262341 IBQ262341:IBR262341 ILM262341:ILN262341 IVI262341:IVJ262341 JFE262341:JFF262341 JPA262341:JPB262341 JYW262341:JYX262341 KIS262341:KIT262341 KSO262341:KSP262341 LCK262341:LCL262341 LMG262341:LMH262341 LWC262341:LWD262341 MFY262341:MFZ262341 MPU262341:MPV262341 MZQ262341:MZR262341 NJM262341:NJN262341 NTI262341:NTJ262341 ODE262341:ODF262341 ONA262341:ONB262341 OWW262341:OWX262341 PGS262341:PGT262341 PQO262341:PQP262341 QAK262341:QAL262341 QKG262341:QKH262341 QUC262341:QUD262341 RDY262341:RDZ262341 RNU262341:RNV262341 RXQ262341:RXR262341 SHM262341:SHN262341 SRI262341:SRJ262341 TBE262341:TBF262341 TLA262341:TLB262341 TUW262341:TUX262341 UES262341:UET262341 UOO262341:UOP262341 UYK262341:UYL262341 VIG262341:VIH262341 VSC262341:VSD262341 WBY262341:WBZ262341 WLU262341:WLV262341 WVQ262341:WVR262341 I327877:J327877 JE327877:JF327877 TA327877:TB327877 ACW327877:ACX327877 AMS327877:AMT327877 AWO327877:AWP327877 BGK327877:BGL327877 BQG327877:BQH327877 CAC327877:CAD327877 CJY327877:CJZ327877 CTU327877:CTV327877 DDQ327877:DDR327877 DNM327877:DNN327877 DXI327877:DXJ327877 EHE327877:EHF327877 ERA327877:ERB327877 FAW327877:FAX327877 FKS327877:FKT327877 FUO327877:FUP327877 GEK327877:GEL327877 GOG327877:GOH327877 GYC327877:GYD327877 HHY327877:HHZ327877 HRU327877:HRV327877 IBQ327877:IBR327877 ILM327877:ILN327877 IVI327877:IVJ327877 JFE327877:JFF327877 JPA327877:JPB327877 JYW327877:JYX327877 KIS327877:KIT327877 KSO327877:KSP327877 LCK327877:LCL327877 LMG327877:LMH327877 LWC327877:LWD327877 MFY327877:MFZ327877 MPU327877:MPV327877 MZQ327877:MZR327877 NJM327877:NJN327877 NTI327877:NTJ327877 ODE327877:ODF327877 ONA327877:ONB327877 OWW327877:OWX327877 PGS327877:PGT327877 PQO327877:PQP327877 QAK327877:QAL327877 QKG327877:QKH327877 QUC327877:QUD327877 RDY327877:RDZ327877 RNU327877:RNV327877 RXQ327877:RXR327877 SHM327877:SHN327877 SRI327877:SRJ327877 TBE327877:TBF327877 TLA327877:TLB327877 TUW327877:TUX327877 UES327877:UET327877 UOO327877:UOP327877 UYK327877:UYL327877 VIG327877:VIH327877 VSC327877:VSD327877 WBY327877:WBZ327877 WLU327877:WLV327877 WVQ327877:WVR327877 I393413:J393413 JE393413:JF393413 TA393413:TB393413 ACW393413:ACX393413 AMS393413:AMT393413 AWO393413:AWP393413 BGK393413:BGL393413 BQG393413:BQH393413 CAC393413:CAD393413 CJY393413:CJZ393413 CTU393413:CTV393413 DDQ393413:DDR393413 DNM393413:DNN393413 DXI393413:DXJ393413 EHE393413:EHF393413 ERA393413:ERB393413 FAW393413:FAX393413 FKS393413:FKT393413 FUO393413:FUP393413 GEK393413:GEL393413 GOG393413:GOH393413 GYC393413:GYD393413 HHY393413:HHZ393413 HRU393413:HRV393413 IBQ393413:IBR393413 ILM393413:ILN393413 IVI393413:IVJ393413 JFE393413:JFF393413 JPA393413:JPB393413 JYW393413:JYX393413 KIS393413:KIT393413 KSO393413:KSP393413 LCK393413:LCL393413 LMG393413:LMH393413 LWC393413:LWD393413 MFY393413:MFZ393413 MPU393413:MPV393413 MZQ393413:MZR393413 NJM393413:NJN393413 NTI393413:NTJ393413 ODE393413:ODF393413 ONA393413:ONB393413 OWW393413:OWX393413 PGS393413:PGT393413 PQO393413:PQP393413 QAK393413:QAL393413 QKG393413:QKH393413 QUC393413:QUD393413 RDY393413:RDZ393413 RNU393413:RNV393413 RXQ393413:RXR393413 SHM393413:SHN393413 SRI393413:SRJ393413 TBE393413:TBF393413 TLA393413:TLB393413 TUW393413:TUX393413 UES393413:UET393413 UOO393413:UOP393413 UYK393413:UYL393413 VIG393413:VIH393413 VSC393413:VSD393413 WBY393413:WBZ393413 WLU393413:WLV393413 WVQ393413:WVR393413 I458949:J458949 JE458949:JF458949 TA458949:TB458949 ACW458949:ACX458949 AMS458949:AMT458949 AWO458949:AWP458949 BGK458949:BGL458949 BQG458949:BQH458949 CAC458949:CAD458949 CJY458949:CJZ458949 CTU458949:CTV458949 DDQ458949:DDR458949 DNM458949:DNN458949 DXI458949:DXJ458949 EHE458949:EHF458949 ERA458949:ERB458949 FAW458949:FAX458949 FKS458949:FKT458949 FUO458949:FUP458949 GEK458949:GEL458949 GOG458949:GOH458949 GYC458949:GYD458949 HHY458949:HHZ458949 HRU458949:HRV458949 IBQ458949:IBR458949 ILM458949:ILN458949 IVI458949:IVJ458949 JFE458949:JFF458949 JPA458949:JPB458949 JYW458949:JYX458949 KIS458949:KIT458949 KSO458949:KSP458949 LCK458949:LCL458949 LMG458949:LMH458949 LWC458949:LWD458949 MFY458949:MFZ458949 MPU458949:MPV458949 MZQ458949:MZR458949 NJM458949:NJN458949 NTI458949:NTJ458949 ODE458949:ODF458949 ONA458949:ONB458949 OWW458949:OWX458949 PGS458949:PGT458949 PQO458949:PQP458949 QAK458949:QAL458949 QKG458949:QKH458949 QUC458949:QUD458949 RDY458949:RDZ458949 RNU458949:RNV458949 RXQ458949:RXR458949 SHM458949:SHN458949 SRI458949:SRJ458949 TBE458949:TBF458949 TLA458949:TLB458949 TUW458949:TUX458949 UES458949:UET458949 UOO458949:UOP458949 UYK458949:UYL458949 VIG458949:VIH458949 VSC458949:VSD458949 WBY458949:WBZ458949 WLU458949:WLV458949 WVQ458949:WVR458949 I524485:J524485 JE524485:JF524485 TA524485:TB524485 ACW524485:ACX524485 AMS524485:AMT524485 AWO524485:AWP524485 BGK524485:BGL524485 BQG524485:BQH524485 CAC524485:CAD524485 CJY524485:CJZ524485 CTU524485:CTV524485 DDQ524485:DDR524485 DNM524485:DNN524485 DXI524485:DXJ524485 EHE524485:EHF524485 ERA524485:ERB524485 FAW524485:FAX524485 FKS524485:FKT524485 FUO524485:FUP524485 GEK524485:GEL524485 GOG524485:GOH524485 GYC524485:GYD524485 HHY524485:HHZ524485 HRU524485:HRV524485 IBQ524485:IBR524485 ILM524485:ILN524485 IVI524485:IVJ524485 JFE524485:JFF524485 JPA524485:JPB524485 JYW524485:JYX524485 KIS524485:KIT524485 KSO524485:KSP524485 LCK524485:LCL524485 LMG524485:LMH524485 LWC524485:LWD524485 MFY524485:MFZ524485 MPU524485:MPV524485 MZQ524485:MZR524485 NJM524485:NJN524485 NTI524485:NTJ524485 ODE524485:ODF524485 ONA524485:ONB524485 OWW524485:OWX524485 PGS524485:PGT524485 PQO524485:PQP524485 QAK524485:QAL524485 QKG524485:QKH524485 QUC524485:QUD524485 RDY524485:RDZ524485 RNU524485:RNV524485 RXQ524485:RXR524485 SHM524485:SHN524485 SRI524485:SRJ524485 TBE524485:TBF524485 TLA524485:TLB524485 TUW524485:TUX524485 UES524485:UET524485 UOO524485:UOP524485 UYK524485:UYL524485 VIG524485:VIH524485 VSC524485:VSD524485 WBY524485:WBZ524485 WLU524485:WLV524485 WVQ524485:WVR524485 I590021:J590021 JE590021:JF590021 TA590021:TB590021 ACW590021:ACX590021 AMS590021:AMT590021 AWO590021:AWP590021 BGK590021:BGL590021 BQG590021:BQH590021 CAC590021:CAD590021 CJY590021:CJZ590021 CTU590021:CTV590021 DDQ590021:DDR590021 DNM590021:DNN590021 DXI590021:DXJ590021 EHE590021:EHF590021 ERA590021:ERB590021 FAW590021:FAX590021 FKS590021:FKT590021 FUO590021:FUP590021 GEK590021:GEL590021 GOG590021:GOH590021 GYC590021:GYD590021 HHY590021:HHZ590021 HRU590021:HRV590021 IBQ590021:IBR590021 ILM590021:ILN590021 IVI590021:IVJ590021 JFE590021:JFF590021 JPA590021:JPB590021 JYW590021:JYX590021 KIS590021:KIT590021 KSO590021:KSP590021 LCK590021:LCL590021 LMG590021:LMH590021 LWC590021:LWD590021 MFY590021:MFZ590021 MPU590021:MPV590021 MZQ590021:MZR590021 NJM590021:NJN590021 NTI590021:NTJ590021 ODE590021:ODF590021 ONA590021:ONB590021 OWW590021:OWX590021 PGS590021:PGT590021 PQO590021:PQP590021 QAK590021:QAL590021 QKG590021:QKH590021 QUC590021:QUD590021 RDY590021:RDZ590021 RNU590021:RNV590021 RXQ590021:RXR590021 SHM590021:SHN590021 SRI590021:SRJ590021 TBE590021:TBF590021 TLA590021:TLB590021 TUW590021:TUX590021 UES590021:UET590021 UOO590021:UOP590021 UYK590021:UYL590021 VIG590021:VIH590021 VSC590021:VSD590021 WBY590021:WBZ590021 WLU590021:WLV590021 WVQ590021:WVR590021 I655557:J655557 JE655557:JF655557 TA655557:TB655557 ACW655557:ACX655557 AMS655557:AMT655557 AWO655557:AWP655557 BGK655557:BGL655557 BQG655557:BQH655557 CAC655557:CAD655557 CJY655557:CJZ655557 CTU655557:CTV655557 DDQ655557:DDR655557 DNM655557:DNN655557 DXI655557:DXJ655557 EHE655557:EHF655557 ERA655557:ERB655557 FAW655557:FAX655557 FKS655557:FKT655557 FUO655557:FUP655557 GEK655557:GEL655557 GOG655557:GOH655557 GYC655557:GYD655557 HHY655557:HHZ655557 HRU655557:HRV655557 IBQ655557:IBR655557 ILM655557:ILN655557 IVI655557:IVJ655557 JFE655557:JFF655557 JPA655557:JPB655557 JYW655557:JYX655557 KIS655557:KIT655557 KSO655557:KSP655557 LCK655557:LCL655557 LMG655557:LMH655557 LWC655557:LWD655557 MFY655557:MFZ655557 MPU655557:MPV655557 MZQ655557:MZR655557 NJM655557:NJN655557 NTI655557:NTJ655557 ODE655557:ODF655557 ONA655557:ONB655557 OWW655557:OWX655557 PGS655557:PGT655557 PQO655557:PQP655557 QAK655557:QAL655557 QKG655557:QKH655557 QUC655557:QUD655557 RDY655557:RDZ655557 RNU655557:RNV655557 RXQ655557:RXR655557 SHM655557:SHN655557 SRI655557:SRJ655557 TBE655557:TBF655557 TLA655557:TLB655557 TUW655557:TUX655557 UES655557:UET655557 UOO655557:UOP655557 UYK655557:UYL655557 VIG655557:VIH655557 VSC655557:VSD655557 WBY655557:WBZ655557 WLU655557:WLV655557 WVQ655557:WVR655557 I721093:J721093 JE721093:JF721093 TA721093:TB721093 ACW721093:ACX721093 AMS721093:AMT721093 AWO721093:AWP721093 BGK721093:BGL721093 BQG721093:BQH721093 CAC721093:CAD721093 CJY721093:CJZ721093 CTU721093:CTV721093 DDQ721093:DDR721093 DNM721093:DNN721093 DXI721093:DXJ721093 EHE721093:EHF721093 ERA721093:ERB721093 FAW721093:FAX721093 FKS721093:FKT721093 FUO721093:FUP721093 GEK721093:GEL721093 GOG721093:GOH721093 GYC721093:GYD721093 HHY721093:HHZ721093 HRU721093:HRV721093 IBQ721093:IBR721093 ILM721093:ILN721093 IVI721093:IVJ721093 JFE721093:JFF721093 JPA721093:JPB721093 JYW721093:JYX721093 KIS721093:KIT721093 KSO721093:KSP721093 LCK721093:LCL721093 LMG721093:LMH721093 LWC721093:LWD721093 MFY721093:MFZ721093 MPU721093:MPV721093 MZQ721093:MZR721093 NJM721093:NJN721093 NTI721093:NTJ721093 ODE721093:ODF721093 ONA721093:ONB721093 OWW721093:OWX721093 PGS721093:PGT721093 PQO721093:PQP721093 QAK721093:QAL721093 QKG721093:QKH721093 QUC721093:QUD721093 RDY721093:RDZ721093 RNU721093:RNV721093 RXQ721093:RXR721093 SHM721093:SHN721093 SRI721093:SRJ721093 TBE721093:TBF721093 TLA721093:TLB721093 TUW721093:TUX721093 UES721093:UET721093 UOO721093:UOP721093 UYK721093:UYL721093 VIG721093:VIH721093 VSC721093:VSD721093 WBY721093:WBZ721093 WLU721093:WLV721093 WVQ721093:WVR721093 I786629:J786629 JE786629:JF786629 TA786629:TB786629 ACW786629:ACX786629 AMS786629:AMT786629 AWO786629:AWP786629 BGK786629:BGL786629 BQG786629:BQH786629 CAC786629:CAD786629 CJY786629:CJZ786629 CTU786629:CTV786629 DDQ786629:DDR786629 DNM786629:DNN786629 DXI786629:DXJ786629 EHE786629:EHF786629 ERA786629:ERB786629 FAW786629:FAX786629 FKS786629:FKT786629 FUO786629:FUP786629 GEK786629:GEL786629 GOG786629:GOH786629 GYC786629:GYD786629 HHY786629:HHZ786629 HRU786629:HRV786629 IBQ786629:IBR786629 ILM786629:ILN786629 IVI786629:IVJ786629 JFE786629:JFF786629 JPA786629:JPB786629 JYW786629:JYX786629 KIS786629:KIT786629 KSO786629:KSP786629 LCK786629:LCL786629 LMG786629:LMH786629 LWC786629:LWD786629 MFY786629:MFZ786629 MPU786629:MPV786629 MZQ786629:MZR786629 NJM786629:NJN786629 NTI786629:NTJ786629 ODE786629:ODF786629 ONA786629:ONB786629 OWW786629:OWX786629 PGS786629:PGT786629 PQO786629:PQP786629 QAK786629:QAL786629 QKG786629:QKH786629 QUC786629:QUD786629 RDY786629:RDZ786629 RNU786629:RNV786629 RXQ786629:RXR786629 SHM786629:SHN786629 SRI786629:SRJ786629 TBE786629:TBF786629 TLA786629:TLB786629 TUW786629:TUX786629 UES786629:UET786629 UOO786629:UOP786629 UYK786629:UYL786629 VIG786629:VIH786629 VSC786629:VSD786629 WBY786629:WBZ786629 WLU786629:WLV786629 WVQ786629:WVR786629 I852165:J852165 JE852165:JF852165 TA852165:TB852165 ACW852165:ACX852165 AMS852165:AMT852165 AWO852165:AWP852165 BGK852165:BGL852165 BQG852165:BQH852165 CAC852165:CAD852165 CJY852165:CJZ852165 CTU852165:CTV852165 DDQ852165:DDR852165 DNM852165:DNN852165 DXI852165:DXJ852165 EHE852165:EHF852165 ERA852165:ERB852165 FAW852165:FAX852165 FKS852165:FKT852165 FUO852165:FUP852165 GEK852165:GEL852165 GOG852165:GOH852165 GYC852165:GYD852165 HHY852165:HHZ852165 HRU852165:HRV852165 IBQ852165:IBR852165 ILM852165:ILN852165 IVI852165:IVJ852165 JFE852165:JFF852165 JPA852165:JPB852165 JYW852165:JYX852165 KIS852165:KIT852165 KSO852165:KSP852165 LCK852165:LCL852165 LMG852165:LMH852165 LWC852165:LWD852165 MFY852165:MFZ852165 MPU852165:MPV852165 MZQ852165:MZR852165 NJM852165:NJN852165 NTI852165:NTJ852165 ODE852165:ODF852165 ONA852165:ONB852165 OWW852165:OWX852165 PGS852165:PGT852165 PQO852165:PQP852165 QAK852165:QAL852165 QKG852165:QKH852165 QUC852165:QUD852165 RDY852165:RDZ852165 RNU852165:RNV852165 RXQ852165:RXR852165 SHM852165:SHN852165 SRI852165:SRJ852165 TBE852165:TBF852165 TLA852165:TLB852165 TUW852165:TUX852165 UES852165:UET852165 UOO852165:UOP852165 UYK852165:UYL852165 VIG852165:VIH852165 VSC852165:VSD852165 WBY852165:WBZ852165 WLU852165:WLV852165 WVQ852165:WVR852165 I917701:J917701 JE917701:JF917701 TA917701:TB917701 ACW917701:ACX917701 AMS917701:AMT917701 AWO917701:AWP917701 BGK917701:BGL917701 BQG917701:BQH917701 CAC917701:CAD917701 CJY917701:CJZ917701 CTU917701:CTV917701 DDQ917701:DDR917701 DNM917701:DNN917701 DXI917701:DXJ917701 EHE917701:EHF917701 ERA917701:ERB917701 FAW917701:FAX917701 FKS917701:FKT917701 FUO917701:FUP917701 GEK917701:GEL917701 GOG917701:GOH917701 GYC917701:GYD917701 HHY917701:HHZ917701 HRU917701:HRV917701 IBQ917701:IBR917701 ILM917701:ILN917701 IVI917701:IVJ917701 JFE917701:JFF917701 JPA917701:JPB917701 JYW917701:JYX917701 KIS917701:KIT917701 KSO917701:KSP917701 LCK917701:LCL917701 LMG917701:LMH917701 LWC917701:LWD917701 MFY917701:MFZ917701 MPU917701:MPV917701 MZQ917701:MZR917701 NJM917701:NJN917701 NTI917701:NTJ917701 ODE917701:ODF917701 ONA917701:ONB917701 OWW917701:OWX917701 PGS917701:PGT917701 PQO917701:PQP917701 QAK917701:QAL917701 QKG917701:QKH917701 QUC917701:QUD917701 RDY917701:RDZ917701 RNU917701:RNV917701 RXQ917701:RXR917701 SHM917701:SHN917701 SRI917701:SRJ917701 TBE917701:TBF917701 TLA917701:TLB917701 TUW917701:TUX917701 UES917701:UET917701 UOO917701:UOP917701 UYK917701:UYL917701 VIG917701:VIH917701 VSC917701:VSD917701 WBY917701:WBZ917701 WLU917701:WLV917701 WVQ917701:WVR917701 I983237:J983237 JE983237:JF983237 TA983237:TB983237 ACW983237:ACX983237 AMS983237:AMT983237 AWO983237:AWP983237 BGK983237:BGL983237 BQG983237:BQH983237 CAC983237:CAD983237 CJY983237:CJZ983237 CTU983237:CTV983237 DDQ983237:DDR983237 DNM983237:DNN983237 DXI983237:DXJ983237 EHE983237:EHF983237 ERA983237:ERB983237 FAW983237:FAX983237 FKS983237:FKT983237 FUO983237:FUP983237 GEK983237:GEL983237 GOG983237:GOH983237 GYC983237:GYD983237 HHY983237:HHZ983237 HRU983237:HRV983237 IBQ983237:IBR983237 ILM983237:ILN983237 IVI983237:IVJ983237 JFE983237:JFF983237 JPA983237:JPB983237 JYW983237:JYX983237 KIS983237:KIT983237 KSO983237:KSP983237 LCK983237:LCL983237 LMG983237:LMH983237 LWC983237:LWD983237 MFY983237:MFZ983237 MPU983237:MPV983237 MZQ983237:MZR983237 NJM983237:NJN983237 NTI983237:NTJ983237 ODE983237:ODF983237 ONA983237:ONB983237 OWW983237:OWX983237 PGS983237:PGT983237 PQO983237:PQP983237 QAK983237:QAL983237 QKG983237:QKH983237 QUC983237:QUD983237 RDY983237:RDZ983237 RNU983237:RNV983237 RXQ983237:RXR983237 SHM983237:SHN983237 SRI983237:SRJ983237 TBE983237:TBF983237 TLA983237:TLB983237 TUW983237:TUX983237 UES983237:UET983237 UOO983237:UOP983237 UYK983237:UYL983237 VIG983237:VIH983237 VSC983237:VSD983237 WBY983237:WBZ983237 WLU983237:WLV983237 WVQ983237:WVR983237 H262:I262 JD262:JE262 SZ262:TA262 ACV262:ACW262 AMR262:AMS262 AWN262:AWO262 BGJ262:BGK262 BQF262:BQG262 CAB262:CAC262 CJX262:CJY262 CTT262:CTU262 DDP262:DDQ262 DNL262:DNM262 DXH262:DXI262 EHD262:EHE262 EQZ262:ERA262 FAV262:FAW262 FKR262:FKS262 FUN262:FUO262 GEJ262:GEK262 GOF262:GOG262 GYB262:GYC262 HHX262:HHY262 HRT262:HRU262 IBP262:IBQ262 ILL262:ILM262 IVH262:IVI262 JFD262:JFE262 JOZ262:JPA262 JYV262:JYW262 KIR262:KIS262 KSN262:KSO262 LCJ262:LCK262 LMF262:LMG262 LWB262:LWC262 MFX262:MFY262 MPT262:MPU262 MZP262:MZQ262 NJL262:NJM262 NTH262:NTI262 ODD262:ODE262 OMZ262:ONA262 OWV262:OWW262 PGR262:PGS262 PQN262:PQO262 QAJ262:QAK262 QKF262:QKG262 QUB262:QUC262 RDX262:RDY262 RNT262:RNU262 RXP262:RXQ262 SHL262:SHM262 SRH262:SRI262 TBD262:TBE262 TKZ262:TLA262 TUV262:TUW262 UER262:UES262 UON262:UOO262 UYJ262:UYK262 VIF262:VIG262 VSB262:VSC262 WBX262:WBY262 WLT262:WLU262 WVP262:WVQ262 H65798:I65798 JD65798:JE65798 SZ65798:TA65798 ACV65798:ACW65798 AMR65798:AMS65798 AWN65798:AWO65798 BGJ65798:BGK65798 BQF65798:BQG65798 CAB65798:CAC65798 CJX65798:CJY65798 CTT65798:CTU65798 DDP65798:DDQ65798 DNL65798:DNM65798 DXH65798:DXI65798 EHD65798:EHE65798 EQZ65798:ERA65798 FAV65798:FAW65798 FKR65798:FKS65798 FUN65798:FUO65798 GEJ65798:GEK65798 GOF65798:GOG65798 GYB65798:GYC65798 HHX65798:HHY65798 HRT65798:HRU65798 IBP65798:IBQ65798 ILL65798:ILM65798 IVH65798:IVI65798 JFD65798:JFE65798 JOZ65798:JPA65798 JYV65798:JYW65798 KIR65798:KIS65798 KSN65798:KSO65798 LCJ65798:LCK65798 LMF65798:LMG65798 LWB65798:LWC65798 MFX65798:MFY65798 MPT65798:MPU65798 MZP65798:MZQ65798 NJL65798:NJM65798 NTH65798:NTI65798 ODD65798:ODE65798 OMZ65798:ONA65798 OWV65798:OWW65798 PGR65798:PGS65798 PQN65798:PQO65798 QAJ65798:QAK65798 QKF65798:QKG65798 QUB65798:QUC65798 RDX65798:RDY65798 RNT65798:RNU65798 RXP65798:RXQ65798 SHL65798:SHM65798 SRH65798:SRI65798 TBD65798:TBE65798 TKZ65798:TLA65798 TUV65798:TUW65798 UER65798:UES65798 UON65798:UOO65798 UYJ65798:UYK65798 VIF65798:VIG65798 VSB65798:VSC65798 WBX65798:WBY65798 WLT65798:WLU65798 WVP65798:WVQ65798 H131334:I131334 JD131334:JE131334 SZ131334:TA131334 ACV131334:ACW131334 AMR131334:AMS131334 AWN131334:AWO131334 BGJ131334:BGK131334 BQF131334:BQG131334 CAB131334:CAC131334 CJX131334:CJY131334 CTT131334:CTU131334 DDP131334:DDQ131334 DNL131334:DNM131334 DXH131334:DXI131334 EHD131334:EHE131334 EQZ131334:ERA131334 FAV131334:FAW131334 FKR131334:FKS131334 FUN131334:FUO131334 GEJ131334:GEK131334 GOF131334:GOG131334 GYB131334:GYC131334 HHX131334:HHY131334 HRT131334:HRU131334 IBP131334:IBQ131334 ILL131334:ILM131334 IVH131334:IVI131334 JFD131334:JFE131334 JOZ131334:JPA131334 JYV131334:JYW131334 KIR131334:KIS131334 KSN131334:KSO131334 LCJ131334:LCK131334 LMF131334:LMG131334 LWB131334:LWC131334 MFX131334:MFY131334 MPT131334:MPU131334 MZP131334:MZQ131334 NJL131334:NJM131334 NTH131334:NTI131334 ODD131334:ODE131334 OMZ131334:ONA131334 OWV131334:OWW131334 PGR131334:PGS131334 PQN131334:PQO131334 QAJ131334:QAK131334 QKF131334:QKG131334 QUB131334:QUC131334 RDX131334:RDY131334 RNT131334:RNU131334 RXP131334:RXQ131334 SHL131334:SHM131334 SRH131334:SRI131334 TBD131334:TBE131334 TKZ131334:TLA131334 TUV131334:TUW131334 UER131334:UES131334 UON131334:UOO131334 UYJ131334:UYK131334 VIF131334:VIG131334 VSB131334:VSC131334 WBX131334:WBY131334 WLT131334:WLU131334 WVP131334:WVQ131334 H196870:I196870 JD196870:JE196870 SZ196870:TA196870 ACV196870:ACW196870 AMR196870:AMS196870 AWN196870:AWO196870 BGJ196870:BGK196870 BQF196870:BQG196870 CAB196870:CAC196870 CJX196870:CJY196870 CTT196870:CTU196870 DDP196870:DDQ196870 DNL196870:DNM196870 DXH196870:DXI196870 EHD196870:EHE196870 EQZ196870:ERA196870 FAV196870:FAW196870 FKR196870:FKS196870 FUN196870:FUO196870 GEJ196870:GEK196870 GOF196870:GOG196870 GYB196870:GYC196870 HHX196870:HHY196870 HRT196870:HRU196870 IBP196870:IBQ196870 ILL196870:ILM196870 IVH196870:IVI196870 JFD196870:JFE196870 JOZ196870:JPA196870 JYV196870:JYW196870 KIR196870:KIS196870 KSN196870:KSO196870 LCJ196870:LCK196870 LMF196870:LMG196870 LWB196870:LWC196870 MFX196870:MFY196870 MPT196870:MPU196870 MZP196870:MZQ196870 NJL196870:NJM196870 NTH196870:NTI196870 ODD196870:ODE196870 OMZ196870:ONA196870 OWV196870:OWW196870 PGR196870:PGS196870 PQN196870:PQO196870 QAJ196870:QAK196870 QKF196870:QKG196870 QUB196870:QUC196870 RDX196870:RDY196870 RNT196870:RNU196870 RXP196870:RXQ196870 SHL196870:SHM196870 SRH196870:SRI196870 TBD196870:TBE196870 TKZ196870:TLA196870 TUV196870:TUW196870 UER196870:UES196870 UON196870:UOO196870 UYJ196870:UYK196870 VIF196870:VIG196870 VSB196870:VSC196870 WBX196870:WBY196870 WLT196870:WLU196870 WVP196870:WVQ196870 H262406:I262406 JD262406:JE262406 SZ262406:TA262406 ACV262406:ACW262406 AMR262406:AMS262406 AWN262406:AWO262406 BGJ262406:BGK262406 BQF262406:BQG262406 CAB262406:CAC262406 CJX262406:CJY262406 CTT262406:CTU262406 DDP262406:DDQ262406 DNL262406:DNM262406 DXH262406:DXI262406 EHD262406:EHE262406 EQZ262406:ERA262406 FAV262406:FAW262406 FKR262406:FKS262406 FUN262406:FUO262406 GEJ262406:GEK262406 GOF262406:GOG262406 GYB262406:GYC262406 HHX262406:HHY262406 HRT262406:HRU262406 IBP262406:IBQ262406 ILL262406:ILM262406 IVH262406:IVI262406 JFD262406:JFE262406 JOZ262406:JPA262406 JYV262406:JYW262406 KIR262406:KIS262406 KSN262406:KSO262406 LCJ262406:LCK262406 LMF262406:LMG262406 LWB262406:LWC262406 MFX262406:MFY262406 MPT262406:MPU262406 MZP262406:MZQ262406 NJL262406:NJM262406 NTH262406:NTI262406 ODD262406:ODE262406 OMZ262406:ONA262406 OWV262406:OWW262406 PGR262406:PGS262406 PQN262406:PQO262406 QAJ262406:QAK262406 QKF262406:QKG262406 QUB262406:QUC262406 RDX262406:RDY262406 RNT262406:RNU262406 RXP262406:RXQ262406 SHL262406:SHM262406 SRH262406:SRI262406 TBD262406:TBE262406 TKZ262406:TLA262406 TUV262406:TUW262406 UER262406:UES262406 UON262406:UOO262406 UYJ262406:UYK262406 VIF262406:VIG262406 VSB262406:VSC262406 WBX262406:WBY262406 WLT262406:WLU262406 WVP262406:WVQ262406 H327942:I327942 JD327942:JE327942 SZ327942:TA327942 ACV327942:ACW327942 AMR327942:AMS327942 AWN327942:AWO327942 BGJ327942:BGK327942 BQF327942:BQG327942 CAB327942:CAC327942 CJX327942:CJY327942 CTT327942:CTU327942 DDP327942:DDQ327942 DNL327942:DNM327942 DXH327942:DXI327942 EHD327942:EHE327942 EQZ327942:ERA327942 FAV327942:FAW327942 FKR327942:FKS327942 FUN327942:FUO327942 GEJ327942:GEK327942 GOF327942:GOG327942 GYB327942:GYC327942 HHX327942:HHY327942 HRT327942:HRU327942 IBP327942:IBQ327942 ILL327942:ILM327942 IVH327942:IVI327942 JFD327942:JFE327942 JOZ327942:JPA327942 JYV327942:JYW327942 KIR327942:KIS327942 KSN327942:KSO327942 LCJ327942:LCK327942 LMF327942:LMG327942 LWB327942:LWC327942 MFX327942:MFY327942 MPT327942:MPU327942 MZP327942:MZQ327942 NJL327942:NJM327942 NTH327942:NTI327942 ODD327942:ODE327942 OMZ327942:ONA327942 OWV327942:OWW327942 PGR327942:PGS327942 PQN327942:PQO327942 QAJ327942:QAK327942 QKF327942:QKG327942 QUB327942:QUC327942 RDX327942:RDY327942 RNT327942:RNU327942 RXP327942:RXQ327942 SHL327942:SHM327942 SRH327942:SRI327942 TBD327942:TBE327942 TKZ327942:TLA327942 TUV327942:TUW327942 UER327942:UES327942 UON327942:UOO327942 UYJ327942:UYK327942 VIF327942:VIG327942 VSB327942:VSC327942 WBX327942:WBY327942 WLT327942:WLU327942 WVP327942:WVQ327942 H393478:I393478 JD393478:JE393478 SZ393478:TA393478 ACV393478:ACW393478 AMR393478:AMS393478 AWN393478:AWO393478 BGJ393478:BGK393478 BQF393478:BQG393478 CAB393478:CAC393478 CJX393478:CJY393478 CTT393478:CTU393478 DDP393478:DDQ393478 DNL393478:DNM393478 DXH393478:DXI393478 EHD393478:EHE393478 EQZ393478:ERA393478 FAV393478:FAW393478 FKR393478:FKS393478 FUN393478:FUO393478 GEJ393478:GEK393478 GOF393478:GOG393478 GYB393478:GYC393478 HHX393478:HHY393478 HRT393478:HRU393478 IBP393478:IBQ393478 ILL393478:ILM393478 IVH393478:IVI393478 JFD393478:JFE393478 JOZ393478:JPA393478 JYV393478:JYW393478 KIR393478:KIS393478 KSN393478:KSO393478 LCJ393478:LCK393478 LMF393478:LMG393478 LWB393478:LWC393478 MFX393478:MFY393478 MPT393478:MPU393478 MZP393478:MZQ393478 NJL393478:NJM393478 NTH393478:NTI393478 ODD393478:ODE393478 OMZ393478:ONA393478 OWV393478:OWW393478 PGR393478:PGS393478 PQN393478:PQO393478 QAJ393478:QAK393478 QKF393478:QKG393478 QUB393478:QUC393478 RDX393478:RDY393478 RNT393478:RNU393478 RXP393478:RXQ393478 SHL393478:SHM393478 SRH393478:SRI393478 TBD393478:TBE393478 TKZ393478:TLA393478 TUV393478:TUW393478 UER393478:UES393478 UON393478:UOO393478 UYJ393478:UYK393478 VIF393478:VIG393478 VSB393478:VSC393478 WBX393478:WBY393478 WLT393478:WLU393478 WVP393478:WVQ393478 H459014:I459014 JD459014:JE459014 SZ459014:TA459014 ACV459014:ACW459014 AMR459014:AMS459014 AWN459014:AWO459014 BGJ459014:BGK459014 BQF459014:BQG459014 CAB459014:CAC459014 CJX459014:CJY459014 CTT459014:CTU459014 DDP459014:DDQ459014 DNL459014:DNM459014 DXH459014:DXI459014 EHD459014:EHE459014 EQZ459014:ERA459014 FAV459014:FAW459014 FKR459014:FKS459014 FUN459014:FUO459014 GEJ459014:GEK459014 GOF459014:GOG459014 GYB459014:GYC459014 HHX459014:HHY459014 HRT459014:HRU459014 IBP459014:IBQ459014 ILL459014:ILM459014 IVH459014:IVI459014 JFD459014:JFE459014 JOZ459014:JPA459014 JYV459014:JYW459014 KIR459014:KIS459014 KSN459014:KSO459014 LCJ459014:LCK459014 LMF459014:LMG459014 LWB459014:LWC459014 MFX459014:MFY459014 MPT459014:MPU459014 MZP459014:MZQ459014 NJL459014:NJM459014 NTH459014:NTI459014 ODD459014:ODE459014 OMZ459014:ONA459014 OWV459014:OWW459014 PGR459014:PGS459014 PQN459014:PQO459014 QAJ459014:QAK459014 QKF459014:QKG459014 QUB459014:QUC459014 RDX459014:RDY459014 RNT459014:RNU459014 RXP459014:RXQ459014 SHL459014:SHM459014 SRH459014:SRI459014 TBD459014:TBE459014 TKZ459014:TLA459014 TUV459014:TUW459014 UER459014:UES459014 UON459014:UOO459014 UYJ459014:UYK459014 VIF459014:VIG459014 VSB459014:VSC459014 WBX459014:WBY459014 WLT459014:WLU459014 WVP459014:WVQ459014 H524550:I524550 JD524550:JE524550 SZ524550:TA524550 ACV524550:ACW524550 AMR524550:AMS524550 AWN524550:AWO524550 BGJ524550:BGK524550 BQF524550:BQG524550 CAB524550:CAC524550 CJX524550:CJY524550 CTT524550:CTU524550 DDP524550:DDQ524550 DNL524550:DNM524550 DXH524550:DXI524550 EHD524550:EHE524550 EQZ524550:ERA524550 FAV524550:FAW524550 FKR524550:FKS524550 FUN524550:FUO524550 GEJ524550:GEK524550 GOF524550:GOG524550 GYB524550:GYC524550 HHX524550:HHY524550 HRT524550:HRU524550 IBP524550:IBQ524550 ILL524550:ILM524550 IVH524550:IVI524550 JFD524550:JFE524550 JOZ524550:JPA524550 JYV524550:JYW524550 KIR524550:KIS524550 KSN524550:KSO524550 LCJ524550:LCK524550 LMF524550:LMG524550 LWB524550:LWC524550 MFX524550:MFY524550 MPT524550:MPU524550 MZP524550:MZQ524550 NJL524550:NJM524550 NTH524550:NTI524550 ODD524550:ODE524550 OMZ524550:ONA524550 OWV524550:OWW524550 PGR524550:PGS524550 PQN524550:PQO524550 QAJ524550:QAK524550 QKF524550:QKG524550 QUB524550:QUC524550 RDX524550:RDY524550 RNT524550:RNU524550 RXP524550:RXQ524550 SHL524550:SHM524550 SRH524550:SRI524550 TBD524550:TBE524550 TKZ524550:TLA524550 TUV524550:TUW524550 UER524550:UES524550 UON524550:UOO524550 UYJ524550:UYK524550 VIF524550:VIG524550 VSB524550:VSC524550 WBX524550:WBY524550 WLT524550:WLU524550 WVP524550:WVQ524550 H590086:I590086 JD590086:JE590086 SZ590086:TA590086 ACV590086:ACW590086 AMR590086:AMS590086 AWN590086:AWO590086 BGJ590086:BGK590086 BQF590086:BQG590086 CAB590086:CAC590086 CJX590086:CJY590086 CTT590086:CTU590086 DDP590086:DDQ590086 DNL590086:DNM590086 DXH590086:DXI590086 EHD590086:EHE590086 EQZ590086:ERA590086 FAV590086:FAW590086 FKR590086:FKS590086 FUN590086:FUO590086 GEJ590086:GEK590086 GOF590086:GOG590086 GYB590086:GYC590086 HHX590086:HHY590086 HRT590086:HRU590086 IBP590086:IBQ590086 ILL590086:ILM590086 IVH590086:IVI590086 JFD590086:JFE590086 JOZ590086:JPA590086 JYV590086:JYW590086 KIR590086:KIS590086 KSN590086:KSO590086 LCJ590086:LCK590086 LMF590086:LMG590086 LWB590086:LWC590086 MFX590086:MFY590086 MPT590086:MPU590086 MZP590086:MZQ590086 NJL590086:NJM590086 NTH590086:NTI590086 ODD590086:ODE590086 OMZ590086:ONA590086 OWV590086:OWW590086 PGR590086:PGS590086 PQN590086:PQO590086 QAJ590086:QAK590086 QKF590086:QKG590086 QUB590086:QUC590086 RDX590086:RDY590086 RNT590086:RNU590086 RXP590086:RXQ590086 SHL590086:SHM590086 SRH590086:SRI590086 TBD590086:TBE590086 TKZ590086:TLA590086 TUV590086:TUW590086 UER590086:UES590086 UON590086:UOO590086 UYJ590086:UYK590086 VIF590086:VIG590086 VSB590086:VSC590086 WBX590086:WBY590086 WLT590086:WLU590086 WVP590086:WVQ590086 H655622:I655622 JD655622:JE655622 SZ655622:TA655622 ACV655622:ACW655622 AMR655622:AMS655622 AWN655622:AWO655622 BGJ655622:BGK655622 BQF655622:BQG655622 CAB655622:CAC655622 CJX655622:CJY655622 CTT655622:CTU655622 DDP655622:DDQ655622 DNL655622:DNM655622 DXH655622:DXI655622 EHD655622:EHE655622 EQZ655622:ERA655622 FAV655622:FAW655622 FKR655622:FKS655622 FUN655622:FUO655622 GEJ655622:GEK655622 GOF655622:GOG655622 GYB655622:GYC655622 HHX655622:HHY655622 HRT655622:HRU655622 IBP655622:IBQ655622 ILL655622:ILM655622 IVH655622:IVI655622 JFD655622:JFE655622 JOZ655622:JPA655622 JYV655622:JYW655622 KIR655622:KIS655622 KSN655622:KSO655622 LCJ655622:LCK655622 LMF655622:LMG655622 LWB655622:LWC655622 MFX655622:MFY655622 MPT655622:MPU655622 MZP655622:MZQ655622 NJL655622:NJM655622 NTH655622:NTI655622 ODD655622:ODE655622 OMZ655622:ONA655622 OWV655622:OWW655622 PGR655622:PGS655622 PQN655622:PQO655622 QAJ655622:QAK655622 QKF655622:QKG655622 QUB655622:QUC655622 RDX655622:RDY655622 RNT655622:RNU655622 RXP655622:RXQ655622 SHL655622:SHM655622 SRH655622:SRI655622 TBD655622:TBE655622 TKZ655622:TLA655622 TUV655622:TUW655622 UER655622:UES655622 UON655622:UOO655622 UYJ655622:UYK655622 VIF655622:VIG655622 VSB655622:VSC655622 WBX655622:WBY655622 WLT655622:WLU655622 WVP655622:WVQ655622 H721158:I721158 JD721158:JE721158 SZ721158:TA721158 ACV721158:ACW721158 AMR721158:AMS721158 AWN721158:AWO721158 BGJ721158:BGK721158 BQF721158:BQG721158 CAB721158:CAC721158 CJX721158:CJY721158 CTT721158:CTU721158 DDP721158:DDQ721158 DNL721158:DNM721158 DXH721158:DXI721158 EHD721158:EHE721158 EQZ721158:ERA721158 FAV721158:FAW721158 FKR721158:FKS721158 FUN721158:FUO721158 GEJ721158:GEK721158 GOF721158:GOG721158 GYB721158:GYC721158 HHX721158:HHY721158 HRT721158:HRU721158 IBP721158:IBQ721158 ILL721158:ILM721158 IVH721158:IVI721158 JFD721158:JFE721158 JOZ721158:JPA721158 JYV721158:JYW721158 KIR721158:KIS721158 KSN721158:KSO721158 LCJ721158:LCK721158 LMF721158:LMG721158 LWB721158:LWC721158 MFX721158:MFY721158 MPT721158:MPU721158 MZP721158:MZQ721158 NJL721158:NJM721158 NTH721158:NTI721158 ODD721158:ODE721158 OMZ721158:ONA721158 OWV721158:OWW721158 PGR721158:PGS721158 PQN721158:PQO721158 QAJ721158:QAK721158 QKF721158:QKG721158 QUB721158:QUC721158 RDX721158:RDY721158 RNT721158:RNU721158 RXP721158:RXQ721158 SHL721158:SHM721158 SRH721158:SRI721158 TBD721158:TBE721158 TKZ721158:TLA721158 TUV721158:TUW721158 UER721158:UES721158 UON721158:UOO721158 UYJ721158:UYK721158 VIF721158:VIG721158 VSB721158:VSC721158 WBX721158:WBY721158 WLT721158:WLU721158 WVP721158:WVQ721158 H786694:I786694 JD786694:JE786694 SZ786694:TA786694 ACV786694:ACW786694 AMR786694:AMS786694 AWN786694:AWO786694 BGJ786694:BGK786694 BQF786694:BQG786694 CAB786694:CAC786694 CJX786694:CJY786694 CTT786694:CTU786694 DDP786694:DDQ786694 DNL786694:DNM786694 DXH786694:DXI786694 EHD786694:EHE786694 EQZ786694:ERA786694 FAV786694:FAW786694 FKR786694:FKS786694 FUN786694:FUO786694 GEJ786694:GEK786694 GOF786694:GOG786694 GYB786694:GYC786694 HHX786694:HHY786694 HRT786694:HRU786694 IBP786694:IBQ786694 ILL786694:ILM786694 IVH786694:IVI786694 JFD786694:JFE786694 JOZ786694:JPA786694 JYV786694:JYW786694 KIR786694:KIS786694 KSN786694:KSO786694 LCJ786694:LCK786694 LMF786694:LMG786694 LWB786694:LWC786694 MFX786694:MFY786694 MPT786694:MPU786694 MZP786694:MZQ786694 NJL786694:NJM786694 NTH786694:NTI786694 ODD786694:ODE786694 OMZ786694:ONA786694 OWV786694:OWW786694 PGR786694:PGS786694 PQN786694:PQO786694 QAJ786694:QAK786694 QKF786694:QKG786694 QUB786694:QUC786694 RDX786694:RDY786694 RNT786694:RNU786694 RXP786694:RXQ786694 SHL786694:SHM786694 SRH786694:SRI786694 TBD786694:TBE786694 TKZ786694:TLA786694 TUV786694:TUW786694 UER786694:UES786694 UON786694:UOO786694 UYJ786694:UYK786694 VIF786694:VIG786694 VSB786694:VSC786694 WBX786694:WBY786694 WLT786694:WLU786694 WVP786694:WVQ786694 H852230:I852230 JD852230:JE852230 SZ852230:TA852230 ACV852230:ACW852230 AMR852230:AMS852230 AWN852230:AWO852230 BGJ852230:BGK852230 BQF852230:BQG852230 CAB852230:CAC852230 CJX852230:CJY852230 CTT852230:CTU852230 DDP852230:DDQ852230 DNL852230:DNM852230 DXH852230:DXI852230 EHD852230:EHE852230 EQZ852230:ERA852230 FAV852230:FAW852230 FKR852230:FKS852230 FUN852230:FUO852230 GEJ852230:GEK852230 GOF852230:GOG852230 GYB852230:GYC852230 HHX852230:HHY852230 HRT852230:HRU852230 IBP852230:IBQ852230 ILL852230:ILM852230 IVH852230:IVI852230 JFD852230:JFE852230 JOZ852230:JPA852230 JYV852230:JYW852230 KIR852230:KIS852230 KSN852230:KSO852230 LCJ852230:LCK852230 LMF852230:LMG852230 LWB852230:LWC852230 MFX852230:MFY852230 MPT852230:MPU852230 MZP852230:MZQ852230 NJL852230:NJM852230 NTH852230:NTI852230 ODD852230:ODE852230 OMZ852230:ONA852230 OWV852230:OWW852230 PGR852230:PGS852230 PQN852230:PQO852230 QAJ852230:QAK852230 QKF852230:QKG852230 QUB852230:QUC852230 RDX852230:RDY852230 RNT852230:RNU852230 RXP852230:RXQ852230 SHL852230:SHM852230 SRH852230:SRI852230 TBD852230:TBE852230 TKZ852230:TLA852230 TUV852230:TUW852230 UER852230:UES852230 UON852230:UOO852230 UYJ852230:UYK852230 VIF852230:VIG852230 VSB852230:VSC852230 WBX852230:WBY852230 WLT852230:WLU852230 WVP852230:WVQ852230 H917766:I917766 JD917766:JE917766 SZ917766:TA917766 ACV917766:ACW917766 AMR917766:AMS917766 AWN917766:AWO917766 BGJ917766:BGK917766 BQF917766:BQG917766 CAB917766:CAC917766 CJX917766:CJY917766 CTT917766:CTU917766 DDP917766:DDQ917766 DNL917766:DNM917766 DXH917766:DXI917766 EHD917766:EHE917766 EQZ917766:ERA917766 FAV917766:FAW917766 FKR917766:FKS917766 FUN917766:FUO917766 GEJ917766:GEK917766 GOF917766:GOG917766 GYB917766:GYC917766 HHX917766:HHY917766 HRT917766:HRU917766 IBP917766:IBQ917766 ILL917766:ILM917766 IVH917766:IVI917766 JFD917766:JFE917766 JOZ917766:JPA917766 JYV917766:JYW917766 KIR917766:KIS917766 KSN917766:KSO917766 LCJ917766:LCK917766 LMF917766:LMG917766 LWB917766:LWC917766 MFX917766:MFY917766 MPT917766:MPU917766 MZP917766:MZQ917766 NJL917766:NJM917766 NTH917766:NTI917766 ODD917766:ODE917766 OMZ917766:ONA917766 OWV917766:OWW917766 PGR917766:PGS917766 PQN917766:PQO917766 QAJ917766:QAK917766 QKF917766:QKG917766 QUB917766:QUC917766 RDX917766:RDY917766 RNT917766:RNU917766 RXP917766:RXQ917766 SHL917766:SHM917766 SRH917766:SRI917766 TBD917766:TBE917766 TKZ917766:TLA917766 TUV917766:TUW917766 UER917766:UES917766 UON917766:UOO917766 UYJ917766:UYK917766 VIF917766:VIG917766 VSB917766:VSC917766 WBX917766:WBY917766 WLT917766:WLU917766 WVP917766:WVQ917766 H983302:I983302 JD983302:JE983302 SZ983302:TA983302 ACV983302:ACW983302 AMR983302:AMS983302 AWN983302:AWO983302 BGJ983302:BGK983302 BQF983302:BQG983302 CAB983302:CAC983302 CJX983302:CJY983302 CTT983302:CTU983302 DDP983302:DDQ983302 DNL983302:DNM983302 DXH983302:DXI983302 EHD983302:EHE983302 EQZ983302:ERA983302 FAV983302:FAW983302 FKR983302:FKS983302 FUN983302:FUO983302 GEJ983302:GEK983302 GOF983302:GOG983302 GYB983302:GYC983302 HHX983302:HHY983302 HRT983302:HRU983302 IBP983302:IBQ983302 ILL983302:ILM983302 IVH983302:IVI983302 JFD983302:JFE983302 JOZ983302:JPA983302 JYV983302:JYW983302 KIR983302:KIS983302 KSN983302:KSO983302 LCJ983302:LCK983302 LMF983302:LMG983302 LWB983302:LWC983302 MFX983302:MFY983302 MPT983302:MPU983302 MZP983302:MZQ983302 NJL983302:NJM983302 NTH983302:NTI983302 ODD983302:ODE983302 OMZ983302:ONA983302 OWV983302:OWW983302 PGR983302:PGS983302 PQN983302:PQO983302 QAJ983302:QAK983302 QKF983302:QKG983302 QUB983302:QUC983302 RDX983302:RDY983302 RNT983302:RNU983302 RXP983302:RXQ983302 SHL983302:SHM983302 SRH983302:SRI983302 TBD983302:TBE983302 TKZ983302:TLA983302 TUV983302:TUW983302 UER983302:UES983302 UON983302:UOO983302 UYJ983302:UYK983302 VIF983302:VIG983302 VSB983302:VSC983302 WBX983302:WBY983302 WLT983302:WLU983302 WVP983302:WVQ983302" xr:uid="{12D052F2-07AD-421A-89B6-9B5D655F3258}">
      <formula1>0</formula1>
    </dataValidation>
    <dataValidation allowBlank="1" showInputMessage="1" showErrorMessage="1" prompt="Dimensional Lumber models reuse under the recycling management pathway." sqref="H61 JD61 SZ61 ACV61 AMR61 AWN61 BGJ61 BQF61 CAB61 CJX61 CTT61 DDP61 DNL61 DXH61 EHD61 EQZ61 FAV61 FKR61 FUN61 GEJ61 GOF61 GYB61 HHX61 HRT61 IBP61 ILL61 IVH61 JFD61 JOZ61 JYV61 KIR61 KSN61 LCJ61 LMF61 LWB61 MFX61 MPT61 MZP61 NJL61 NTH61 ODD61 OMZ61 OWV61 PGR61 PQN61 QAJ61 QKF61 QUB61 RDX61 RNT61 RXP61 SHL61 SRH61 TBD61 TKZ61 TUV61 UER61 UON61 UYJ61 VIF61 VSB61 WBX61 WLT61 WVP61 H65597 JD65597 SZ65597 ACV65597 AMR65597 AWN65597 BGJ65597 BQF65597 CAB65597 CJX65597 CTT65597 DDP65597 DNL65597 DXH65597 EHD65597 EQZ65597 FAV65597 FKR65597 FUN65597 GEJ65597 GOF65597 GYB65597 HHX65597 HRT65597 IBP65597 ILL65597 IVH65597 JFD65597 JOZ65597 JYV65597 KIR65597 KSN65597 LCJ65597 LMF65597 LWB65597 MFX65597 MPT65597 MZP65597 NJL65597 NTH65597 ODD65597 OMZ65597 OWV65597 PGR65597 PQN65597 QAJ65597 QKF65597 QUB65597 RDX65597 RNT65597 RXP65597 SHL65597 SRH65597 TBD65597 TKZ65597 TUV65597 UER65597 UON65597 UYJ65597 VIF65597 VSB65597 WBX65597 WLT65597 WVP65597 H131133 JD131133 SZ131133 ACV131133 AMR131133 AWN131133 BGJ131133 BQF131133 CAB131133 CJX131133 CTT131133 DDP131133 DNL131133 DXH131133 EHD131133 EQZ131133 FAV131133 FKR131133 FUN131133 GEJ131133 GOF131133 GYB131133 HHX131133 HRT131133 IBP131133 ILL131133 IVH131133 JFD131133 JOZ131133 JYV131133 KIR131133 KSN131133 LCJ131133 LMF131133 LWB131133 MFX131133 MPT131133 MZP131133 NJL131133 NTH131133 ODD131133 OMZ131133 OWV131133 PGR131133 PQN131133 QAJ131133 QKF131133 QUB131133 RDX131133 RNT131133 RXP131133 SHL131133 SRH131133 TBD131133 TKZ131133 TUV131133 UER131133 UON131133 UYJ131133 VIF131133 VSB131133 WBX131133 WLT131133 WVP131133 H196669 JD196669 SZ196669 ACV196669 AMR196669 AWN196669 BGJ196669 BQF196669 CAB196669 CJX196669 CTT196669 DDP196669 DNL196669 DXH196669 EHD196669 EQZ196669 FAV196669 FKR196669 FUN196669 GEJ196669 GOF196669 GYB196669 HHX196669 HRT196669 IBP196669 ILL196669 IVH196669 JFD196669 JOZ196669 JYV196669 KIR196669 KSN196669 LCJ196669 LMF196669 LWB196669 MFX196669 MPT196669 MZP196669 NJL196669 NTH196669 ODD196669 OMZ196669 OWV196669 PGR196669 PQN196669 QAJ196669 QKF196669 QUB196669 RDX196669 RNT196669 RXP196669 SHL196669 SRH196669 TBD196669 TKZ196669 TUV196669 UER196669 UON196669 UYJ196669 VIF196669 VSB196669 WBX196669 WLT196669 WVP196669 H262205 JD262205 SZ262205 ACV262205 AMR262205 AWN262205 BGJ262205 BQF262205 CAB262205 CJX262205 CTT262205 DDP262205 DNL262205 DXH262205 EHD262205 EQZ262205 FAV262205 FKR262205 FUN262205 GEJ262205 GOF262205 GYB262205 HHX262205 HRT262205 IBP262205 ILL262205 IVH262205 JFD262205 JOZ262205 JYV262205 KIR262205 KSN262205 LCJ262205 LMF262205 LWB262205 MFX262205 MPT262205 MZP262205 NJL262205 NTH262205 ODD262205 OMZ262205 OWV262205 PGR262205 PQN262205 QAJ262205 QKF262205 QUB262205 RDX262205 RNT262205 RXP262205 SHL262205 SRH262205 TBD262205 TKZ262205 TUV262205 UER262205 UON262205 UYJ262205 VIF262205 VSB262205 WBX262205 WLT262205 WVP262205 H327741 JD327741 SZ327741 ACV327741 AMR327741 AWN327741 BGJ327741 BQF327741 CAB327741 CJX327741 CTT327741 DDP327741 DNL327741 DXH327741 EHD327741 EQZ327741 FAV327741 FKR327741 FUN327741 GEJ327741 GOF327741 GYB327741 HHX327741 HRT327741 IBP327741 ILL327741 IVH327741 JFD327741 JOZ327741 JYV327741 KIR327741 KSN327741 LCJ327741 LMF327741 LWB327741 MFX327741 MPT327741 MZP327741 NJL327741 NTH327741 ODD327741 OMZ327741 OWV327741 PGR327741 PQN327741 QAJ327741 QKF327741 QUB327741 RDX327741 RNT327741 RXP327741 SHL327741 SRH327741 TBD327741 TKZ327741 TUV327741 UER327741 UON327741 UYJ327741 VIF327741 VSB327741 WBX327741 WLT327741 WVP327741 H393277 JD393277 SZ393277 ACV393277 AMR393277 AWN393277 BGJ393277 BQF393277 CAB393277 CJX393277 CTT393277 DDP393277 DNL393277 DXH393277 EHD393277 EQZ393277 FAV393277 FKR393277 FUN393277 GEJ393277 GOF393277 GYB393277 HHX393277 HRT393277 IBP393277 ILL393277 IVH393277 JFD393277 JOZ393277 JYV393277 KIR393277 KSN393277 LCJ393277 LMF393277 LWB393277 MFX393277 MPT393277 MZP393277 NJL393277 NTH393277 ODD393277 OMZ393277 OWV393277 PGR393277 PQN393277 QAJ393277 QKF393277 QUB393277 RDX393277 RNT393277 RXP393277 SHL393277 SRH393277 TBD393277 TKZ393277 TUV393277 UER393277 UON393277 UYJ393277 VIF393277 VSB393277 WBX393277 WLT393277 WVP393277 H458813 JD458813 SZ458813 ACV458813 AMR458813 AWN458813 BGJ458813 BQF458813 CAB458813 CJX458813 CTT458813 DDP458813 DNL458813 DXH458813 EHD458813 EQZ458813 FAV458813 FKR458813 FUN458813 GEJ458813 GOF458813 GYB458813 HHX458813 HRT458813 IBP458813 ILL458813 IVH458813 JFD458813 JOZ458813 JYV458813 KIR458813 KSN458813 LCJ458813 LMF458813 LWB458813 MFX458813 MPT458813 MZP458813 NJL458813 NTH458813 ODD458813 OMZ458813 OWV458813 PGR458813 PQN458813 QAJ458813 QKF458813 QUB458813 RDX458813 RNT458813 RXP458813 SHL458813 SRH458813 TBD458813 TKZ458813 TUV458813 UER458813 UON458813 UYJ458813 VIF458813 VSB458813 WBX458813 WLT458813 WVP458813 H524349 JD524349 SZ524349 ACV524349 AMR524349 AWN524349 BGJ524349 BQF524349 CAB524349 CJX524349 CTT524349 DDP524349 DNL524349 DXH524349 EHD524349 EQZ524349 FAV524349 FKR524349 FUN524349 GEJ524349 GOF524349 GYB524349 HHX524349 HRT524349 IBP524349 ILL524349 IVH524349 JFD524349 JOZ524349 JYV524349 KIR524349 KSN524349 LCJ524349 LMF524349 LWB524349 MFX524349 MPT524349 MZP524349 NJL524349 NTH524349 ODD524349 OMZ524349 OWV524349 PGR524349 PQN524349 QAJ524349 QKF524349 QUB524349 RDX524349 RNT524349 RXP524349 SHL524349 SRH524349 TBD524349 TKZ524349 TUV524349 UER524349 UON524349 UYJ524349 VIF524349 VSB524349 WBX524349 WLT524349 WVP524349 H589885 JD589885 SZ589885 ACV589885 AMR589885 AWN589885 BGJ589885 BQF589885 CAB589885 CJX589885 CTT589885 DDP589885 DNL589885 DXH589885 EHD589885 EQZ589885 FAV589885 FKR589885 FUN589885 GEJ589885 GOF589885 GYB589885 HHX589885 HRT589885 IBP589885 ILL589885 IVH589885 JFD589885 JOZ589885 JYV589885 KIR589885 KSN589885 LCJ589885 LMF589885 LWB589885 MFX589885 MPT589885 MZP589885 NJL589885 NTH589885 ODD589885 OMZ589885 OWV589885 PGR589885 PQN589885 QAJ589885 QKF589885 QUB589885 RDX589885 RNT589885 RXP589885 SHL589885 SRH589885 TBD589885 TKZ589885 TUV589885 UER589885 UON589885 UYJ589885 VIF589885 VSB589885 WBX589885 WLT589885 WVP589885 H655421 JD655421 SZ655421 ACV655421 AMR655421 AWN655421 BGJ655421 BQF655421 CAB655421 CJX655421 CTT655421 DDP655421 DNL655421 DXH655421 EHD655421 EQZ655421 FAV655421 FKR655421 FUN655421 GEJ655421 GOF655421 GYB655421 HHX655421 HRT655421 IBP655421 ILL655421 IVH655421 JFD655421 JOZ655421 JYV655421 KIR655421 KSN655421 LCJ655421 LMF655421 LWB655421 MFX655421 MPT655421 MZP655421 NJL655421 NTH655421 ODD655421 OMZ655421 OWV655421 PGR655421 PQN655421 QAJ655421 QKF655421 QUB655421 RDX655421 RNT655421 RXP655421 SHL655421 SRH655421 TBD655421 TKZ655421 TUV655421 UER655421 UON655421 UYJ655421 VIF655421 VSB655421 WBX655421 WLT655421 WVP655421 H720957 JD720957 SZ720957 ACV720957 AMR720957 AWN720957 BGJ720957 BQF720957 CAB720957 CJX720957 CTT720957 DDP720957 DNL720957 DXH720957 EHD720957 EQZ720957 FAV720957 FKR720957 FUN720957 GEJ720957 GOF720957 GYB720957 HHX720957 HRT720957 IBP720957 ILL720957 IVH720957 JFD720957 JOZ720957 JYV720957 KIR720957 KSN720957 LCJ720957 LMF720957 LWB720957 MFX720957 MPT720957 MZP720957 NJL720957 NTH720957 ODD720957 OMZ720957 OWV720957 PGR720957 PQN720957 QAJ720957 QKF720957 QUB720957 RDX720957 RNT720957 RXP720957 SHL720957 SRH720957 TBD720957 TKZ720957 TUV720957 UER720957 UON720957 UYJ720957 VIF720957 VSB720957 WBX720957 WLT720957 WVP720957 H786493 JD786493 SZ786493 ACV786493 AMR786493 AWN786493 BGJ786493 BQF786493 CAB786493 CJX786493 CTT786493 DDP786493 DNL786493 DXH786493 EHD786493 EQZ786493 FAV786493 FKR786493 FUN786493 GEJ786493 GOF786493 GYB786493 HHX786493 HRT786493 IBP786493 ILL786493 IVH786493 JFD786493 JOZ786493 JYV786493 KIR786493 KSN786493 LCJ786493 LMF786493 LWB786493 MFX786493 MPT786493 MZP786493 NJL786493 NTH786493 ODD786493 OMZ786493 OWV786493 PGR786493 PQN786493 QAJ786493 QKF786493 QUB786493 RDX786493 RNT786493 RXP786493 SHL786493 SRH786493 TBD786493 TKZ786493 TUV786493 UER786493 UON786493 UYJ786493 VIF786493 VSB786493 WBX786493 WLT786493 WVP786493 H852029 JD852029 SZ852029 ACV852029 AMR852029 AWN852029 BGJ852029 BQF852029 CAB852029 CJX852029 CTT852029 DDP852029 DNL852029 DXH852029 EHD852029 EQZ852029 FAV852029 FKR852029 FUN852029 GEJ852029 GOF852029 GYB852029 HHX852029 HRT852029 IBP852029 ILL852029 IVH852029 JFD852029 JOZ852029 JYV852029 KIR852029 KSN852029 LCJ852029 LMF852029 LWB852029 MFX852029 MPT852029 MZP852029 NJL852029 NTH852029 ODD852029 OMZ852029 OWV852029 PGR852029 PQN852029 QAJ852029 QKF852029 QUB852029 RDX852029 RNT852029 RXP852029 SHL852029 SRH852029 TBD852029 TKZ852029 TUV852029 UER852029 UON852029 UYJ852029 VIF852029 VSB852029 WBX852029 WLT852029 WVP852029 H917565 JD917565 SZ917565 ACV917565 AMR917565 AWN917565 BGJ917565 BQF917565 CAB917565 CJX917565 CTT917565 DDP917565 DNL917565 DXH917565 EHD917565 EQZ917565 FAV917565 FKR917565 FUN917565 GEJ917565 GOF917565 GYB917565 HHX917565 HRT917565 IBP917565 ILL917565 IVH917565 JFD917565 JOZ917565 JYV917565 KIR917565 KSN917565 LCJ917565 LMF917565 LWB917565 MFX917565 MPT917565 MZP917565 NJL917565 NTH917565 ODD917565 OMZ917565 OWV917565 PGR917565 PQN917565 QAJ917565 QKF917565 QUB917565 RDX917565 RNT917565 RXP917565 SHL917565 SRH917565 TBD917565 TKZ917565 TUV917565 UER917565 UON917565 UYJ917565 VIF917565 VSB917565 WBX917565 WLT917565 WVP917565 H983101 JD983101 SZ983101 ACV983101 AMR983101 AWN983101 BGJ983101 BQF983101 CAB983101 CJX983101 CTT983101 DDP983101 DNL983101 DXH983101 EHD983101 EQZ983101 FAV983101 FKR983101 FUN983101 GEJ983101 GOF983101 GYB983101 HHX983101 HRT983101 IBP983101 ILL983101 IVH983101 JFD983101 JOZ983101 JYV983101 KIR983101 KSN983101 LCJ983101 LMF983101 LWB983101 MFX983101 MPT983101 MZP983101 NJL983101 NTH983101 ODD983101 OMZ983101 OWV983101 PGR983101 PQN983101 QAJ983101 QKF983101 QUB983101 RDX983101 RNT983101 RXP983101 SHL983101 SRH983101 TBD983101 TKZ983101 TUV983101 UER983101 UON983101 UYJ983101 VIF983101 VSB983101 WBX983101 WLT983101 WVP983101 H125 JD125 SZ125 ACV125 AMR125 AWN125 BGJ125 BQF125 CAB125 CJX125 CTT125 DDP125 DNL125 DXH125 EHD125 EQZ125 FAV125 FKR125 FUN125 GEJ125 GOF125 GYB125 HHX125 HRT125 IBP125 ILL125 IVH125 JFD125 JOZ125 JYV125 KIR125 KSN125 LCJ125 LMF125 LWB125 MFX125 MPT125 MZP125 NJL125 NTH125 ODD125 OMZ125 OWV125 PGR125 PQN125 QAJ125 QKF125 QUB125 RDX125 RNT125 RXP125 SHL125 SRH125 TBD125 TKZ125 TUV125 UER125 UON125 UYJ125 VIF125 VSB125 WBX125 WLT125 WVP125 H65661 JD65661 SZ65661 ACV65661 AMR65661 AWN65661 BGJ65661 BQF65661 CAB65661 CJX65661 CTT65661 DDP65661 DNL65661 DXH65661 EHD65661 EQZ65661 FAV65661 FKR65661 FUN65661 GEJ65661 GOF65661 GYB65661 HHX65661 HRT65661 IBP65661 ILL65661 IVH65661 JFD65661 JOZ65661 JYV65661 KIR65661 KSN65661 LCJ65661 LMF65661 LWB65661 MFX65661 MPT65661 MZP65661 NJL65661 NTH65661 ODD65661 OMZ65661 OWV65661 PGR65661 PQN65661 QAJ65661 QKF65661 QUB65661 RDX65661 RNT65661 RXP65661 SHL65661 SRH65661 TBD65661 TKZ65661 TUV65661 UER65661 UON65661 UYJ65661 VIF65661 VSB65661 WBX65661 WLT65661 WVP65661 H131197 JD131197 SZ131197 ACV131197 AMR131197 AWN131197 BGJ131197 BQF131197 CAB131197 CJX131197 CTT131197 DDP131197 DNL131197 DXH131197 EHD131197 EQZ131197 FAV131197 FKR131197 FUN131197 GEJ131197 GOF131197 GYB131197 HHX131197 HRT131197 IBP131197 ILL131197 IVH131197 JFD131197 JOZ131197 JYV131197 KIR131197 KSN131197 LCJ131197 LMF131197 LWB131197 MFX131197 MPT131197 MZP131197 NJL131197 NTH131197 ODD131197 OMZ131197 OWV131197 PGR131197 PQN131197 QAJ131197 QKF131197 QUB131197 RDX131197 RNT131197 RXP131197 SHL131197 SRH131197 TBD131197 TKZ131197 TUV131197 UER131197 UON131197 UYJ131197 VIF131197 VSB131197 WBX131197 WLT131197 WVP131197 H196733 JD196733 SZ196733 ACV196733 AMR196733 AWN196733 BGJ196733 BQF196733 CAB196733 CJX196733 CTT196733 DDP196733 DNL196733 DXH196733 EHD196733 EQZ196733 FAV196733 FKR196733 FUN196733 GEJ196733 GOF196733 GYB196733 HHX196733 HRT196733 IBP196733 ILL196733 IVH196733 JFD196733 JOZ196733 JYV196733 KIR196733 KSN196733 LCJ196733 LMF196733 LWB196733 MFX196733 MPT196733 MZP196733 NJL196733 NTH196733 ODD196733 OMZ196733 OWV196733 PGR196733 PQN196733 QAJ196733 QKF196733 QUB196733 RDX196733 RNT196733 RXP196733 SHL196733 SRH196733 TBD196733 TKZ196733 TUV196733 UER196733 UON196733 UYJ196733 VIF196733 VSB196733 WBX196733 WLT196733 WVP196733 H262269 JD262269 SZ262269 ACV262269 AMR262269 AWN262269 BGJ262269 BQF262269 CAB262269 CJX262269 CTT262269 DDP262269 DNL262269 DXH262269 EHD262269 EQZ262269 FAV262269 FKR262269 FUN262269 GEJ262269 GOF262269 GYB262269 HHX262269 HRT262269 IBP262269 ILL262269 IVH262269 JFD262269 JOZ262269 JYV262269 KIR262269 KSN262269 LCJ262269 LMF262269 LWB262269 MFX262269 MPT262269 MZP262269 NJL262269 NTH262269 ODD262269 OMZ262269 OWV262269 PGR262269 PQN262269 QAJ262269 QKF262269 QUB262269 RDX262269 RNT262269 RXP262269 SHL262269 SRH262269 TBD262269 TKZ262269 TUV262269 UER262269 UON262269 UYJ262269 VIF262269 VSB262269 WBX262269 WLT262269 WVP262269 H327805 JD327805 SZ327805 ACV327805 AMR327805 AWN327805 BGJ327805 BQF327805 CAB327805 CJX327805 CTT327805 DDP327805 DNL327805 DXH327805 EHD327805 EQZ327805 FAV327805 FKR327805 FUN327805 GEJ327805 GOF327805 GYB327805 HHX327805 HRT327805 IBP327805 ILL327805 IVH327805 JFD327805 JOZ327805 JYV327805 KIR327805 KSN327805 LCJ327805 LMF327805 LWB327805 MFX327805 MPT327805 MZP327805 NJL327805 NTH327805 ODD327805 OMZ327805 OWV327805 PGR327805 PQN327805 QAJ327805 QKF327805 QUB327805 RDX327805 RNT327805 RXP327805 SHL327805 SRH327805 TBD327805 TKZ327805 TUV327805 UER327805 UON327805 UYJ327805 VIF327805 VSB327805 WBX327805 WLT327805 WVP327805 H393341 JD393341 SZ393341 ACV393341 AMR393341 AWN393341 BGJ393341 BQF393341 CAB393341 CJX393341 CTT393341 DDP393341 DNL393341 DXH393341 EHD393341 EQZ393341 FAV393341 FKR393341 FUN393341 GEJ393341 GOF393341 GYB393341 HHX393341 HRT393341 IBP393341 ILL393341 IVH393341 JFD393341 JOZ393341 JYV393341 KIR393341 KSN393341 LCJ393341 LMF393341 LWB393341 MFX393341 MPT393341 MZP393341 NJL393341 NTH393341 ODD393341 OMZ393341 OWV393341 PGR393341 PQN393341 QAJ393341 QKF393341 QUB393341 RDX393341 RNT393341 RXP393341 SHL393341 SRH393341 TBD393341 TKZ393341 TUV393341 UER393341 UON393341 UYJ393341 VIF393341 VSB393341 WBX393341 WLT393341 WVP393341 H458877 JD458877 SZ458877 ACV458877 AMR458877 AWN458877 BGJ458877 BQF458877 CAB458877 CJX458877 CTT458877 DDP458877 DNL458877 DXH458877 EHD458877 EQZ458877 FAV458877 FKR458877 FUN458877 GEJ458877 GOF458877 GYB458877 HHX458877 HRT458877 IBP458877 ILL458877 IVH458877 JFD458877 JOZ458877 JYV458877 KIR458877 KSN458877 LCJ458877 LMF458877 LWB458877 MFX458877 MPT458877 MZP458877 NJL458877 NTH458877 ODD458877 OMZ458877 OWV458877 PGR458877 PQN458877 QAJ458877 QKF458877 QUB458877 RDX458877 RNT458877 RXP458877 SHL458877 SRH458877 TBD458877 TKZ458877 TUV458877 UER458877 UON458877 UYJ458877 VIF458877 VSB458877 WBX458877 WLT458877 WVP458877 H524413 JD524413 SZ524413 ACV524413 AMR524413 AWN524413 BGJ524413 BQF524413 CAB524413 CJX524413 CTT524413 DDP524413 DNL524413 DXH524413 EHD524413 EQZ524413 FAV524413 FKR524413 FUN524413 GEJ524413 GOF524413 GYB524413 HHX524413 HRT524413 IBP524413 ILL524413 IVH524413 JFD524413 JOZ524413 JYV524413 KIR524413 KSN524413 LCJ524413 LMF524413 LWB524413 MFX524413 MPT524413 MZP524413 NJL524413 NTH524413 ODD524413 OMZ524413 OWV524413 PGR524413 PQN524413 QAJ524413 QKF524413 QUB524413 RDX524413 RNT524413 RXP524413 SHL524413 SRH524413 TBD524413 TKZ524413 TUV524413 UER524413 UON524413 UYJ524413 VIF524413 VSB524413 WBX524413 WLT524413 WVP524413 H589949 JD589949 SZ589949 ACV589949 AMR589949 AWN589949 BGJ589949 BQF589949 CAB589949 CJX589949 CTT589949 DDP589949 DNL589949 DXH589949 EHD589949 EQZ589949 FAV589949 FKR589949 FUN589949 GEJ589949 GOF589949 GYB589949 HHX589949 HRT589949 IBP589949 ILL589949 IVH589949 JFD589949 JOZ589949 JYV589949 KIR589949 KSN589949 LCJ589949 LMF589949 LWB589949 MFX589949 MPT589949 MZP589949 NJL589949 NTH589949 ODD589949 OMZ589949 OWV589949 PGR589949 PQN589949 QAJ589949 QKF589949 QUB589949 RDX589949 RNT589949 RXP589949 SHL589949 SRH589949 TBD589949 TKZ589949 TUV589949 UER589949 UON589949 UYJ589949 VIF589949 VSB589949 WBX589949 WLT589949 WVP589949 H655485 JD655485 SZ655485 ACV655485 AMR655485 AWN655485 BGJ655485 BQF655485 CAB655485 CJX655485 CTT655485 DDP655485 DNL655485 DXH655485 EHD655485 EQZ655485 FAV655485 FKR655485 FUN655485 GEJ655485 GOF655485 GYB655485 HHX655485 HRT655485 IBP655485 ILL655485 IVH655485 JFD655485 JOZ655485 JYV655485 KIR655485 KSN655485 LCJ655485 LMF655485 LWB655485 MFX655485 MPT655485 MZP655485 NJL655485 NTH655485 ODD655485 OMZ655485 OWV655485 PGR655485 PQN655485 QAJ655485 QKF655485 QUB655485 RDX655485 RNT655485 RXP655485 SHL655485 SRH655485 TBD655485 TKZ655485 TUV655485 UER655485 UON655485 UYJ655485 VIF655485 VSB655485 WBX655485 WLT655485 WVP655485 H721021 JD721021 SZ721021 ACV721021 AMR721021 AWN721021 BGJ721021 BQF721021 CAB721021 CJX721021 CTT721021 DDP721021 DNL721021 DXH721021 EHD721021 EQZ721021 FAV721021 FKR721021 FUN721021 GEJ721021 GOF721021 GYB721021 HHX721021 HRT721021 IBP721021 ILL721021 IVH721021 JFD721021 JOZ721021 JYV721021 KIR721021 KSN721021 LCJ721021 LMF721021 LWB721021 MFX721021 MPT721021 MZP721021 NJL721021 NTH721021 ODD721021 OMZ721021 OWV721021 PGR721021 PQN721021 QAJ721021 QKF721021 QUB721021 RDX721021 RNT721021 RXP721021 SHL721021 SRH721021 TBD721021 TKZ721021 TUV721021 UER721021 UON721021 UYJ721021 VIF721021 VSB721021 WBX721021 WLT721021 WVP721021 H786557 JD786557 SZ786557 ACV786557 AMR786557 AWN786557 BGJ786557 BQF786557 CAB786557 CJX786557 CTT786557 DDP786557 DNL786557 DXH786557 EHD786557 EQZ786557 FAV786557 FKR786557 FUN786557 GEJ786557 GOF786557 GYB786557 HHX786557 HRT786557 IBP786557 ILL786557 IVH786557 JFD786557 JOZ786557 JYV786557 KIR786557 KSN786557 LCJ786557 LMF786557 LWB786557 MFX786557 MPT786557 MZP786557 NJL786557 NTH786557 ODD786557 OMZ786557 OWV786557 PGR786557 PQN786557 QAJ786557 QKF786557 QUB786557 RDX786557 RNT786557 RXP786557 SHL786557 SRH786557 TBD786557 TKZ786557 TUV786557 UER786557 UON786557 UYJ786557 VIF786557 VSB786557 WBX786557 WLT786557 WVP786557 H852093 JD852093 SZ852093 ACV852093 AMR852093 AWN852093 BGJ852093 BQF852093 CAB852093 CJX852093 CTT852093 DDP852093 DNL852093 DXH852093 EHD852093 EQZ852093 FAV852093 FKR852093 FUN852093 GEJ852093 GOF852093 GYB852093 HHX852093 HRT852093 IBP852093 ILL852093 IVH852093 JFD852093 JOZ852093 JYV852093 KIR852093 KSN852093 LCJ852093 LMF852093 LWB852093 MFX852093 MPT852093 MZP852093 NJL852093 NTH852093 ODD852093 OMZ852093 OWV852093 PGR852093 PQN852093 QAJ852093 QKF852093 QUB852093 RDX852093 RNT852093 RXP852093 SHL852093 SRH852093 TBD852093 TKZ852093 TUV852093 UER852093 UON852093 UYJ852093 VIF852093 VSB852093 WBX852093 WLT852093 WVP852093 H917629 JD917629 SZ917629 ACV917629 AMR917629 AWN917629 BGJ917629 BQF917629 CAB917629 CJX917629 CTT917629 DDP917629 DNL917629 DXH917629 EHD917629 EQZ917629 FAV917629 FKR917629 FUN917629 GEJ917629 GOF917629 GYB917629 HHX917629 HRT917629 IBP917629 ILL917629 IVH917629 JFD917629 JOZ917629 JYV917629 KIR917629 KSN917629 LCJ917629 LMF917629 LWB917629 MFX917629 MPT917629 MZP917629 NJL917629 NTH917629 ODD917629 OMZ917629 OWV917629 PGR917629 PQN917629 QAJ917629 QKF917629 QUB917629 RDX917629 RNT917629 RXP917629 SHL917629 SRH917629 TBD917629 TKZ917629 TUV917629 UER917629 UON917629 UYJ917629 VIF917629 VSB917629 WBX917629 WLT917629 WVP917629 H983165 JD983165 SZ983165 ACV983165 AMR983165 AWN983165 BGJ983165 BQF983165 CAB983165 CJX983165 CTT983165 DDP983165 DNL983165 DXH983165 EHD983165 EQZ983165 FAV983165 FKR983165 FUN983165 GEJ983165 GOF983165 GYB983165 HHX983165 HRT983165 IBP983165 ILL983165 IVH983165 JFD983165 JOZ983165 JYV983165 KIR983165 KSN983165 LCJ983165 LMF983165 LWB983165 MFX983165 MPT983165 MZP983165 NJL983165 NTH983165 ODD983165 OMZ983165 OWV983165 PGR983165 PQN983165 QAJ983165 QKF983165 QUB983165 RDX983165 RNT983165 RXP983165 SHL983165 SRH983165 TBD983165 TKZ983165 TUV983165 UER983165 UON983165 UYJ983165 VIF983165 VSB983165 WBX983165 WLT983165 WVP983165 I190:J190 JE190:JF190 TA190:TB190 ACW190:ACX190 AMS190:AMT190 AWO190:AWP190 BGK190:BGL190 BQG190:BQH190 CAC190:CAD190 CJY190:CJZ190 CTU190:CTV190 DDQ190:DDR190 DNM190:DNN190 DXI190:DXJ190 EHE190:EHF190 ERA190:ERB190 FAW190:FAX190 FKS190:FKT190 FUO190:FUP190 GEK190:GEL190 GOG190:GOH190 GYC190:GYD190 HHY190:HHZ190 HRU190:HRV190 IBQ190:IBR190 ILM190:ILN190 IVI190:IVJ190 JFE190:JFF190 JPA190:JPB190 JYW190:JYX190 KIS190:KIT190 KSO190:KSP190 LCK190:LCL190 LMG190:LMH190 LWC190:LWD190 MFY190:MFZ190 MPU190:MPV190 MZQ190:MZR190 NJM190:NJN190 NTI190:NTJ190 ODE190:ODF190 ONA190:ONB190 OWW190:OWX190 PGS190:PGT190 PQO190:PQP190 QAK190:QAL190 QKG190:QKH190 QUC190:QUD190 RDY190:RDZ190 RNU190:RNV190 RXQ190:RXR190 SHM190:SHN190 SRI190:SRJ190 TBE190:TBF190 TLA190:TLB190 TUW190:TUX190 UES190:UET190 UOO190:UOP190 UYK190:UYL190 VIG190:VIH190 VSC190:VSD190 WBY190:WBZ190 WLU190:WLV190 WVQ190:WVR190 I65726:J65726 JE65726:JF65726 TA65726:TB65726 ACW65726:ACX65726 AMS65726:AMT65726 AWO65726:AWP65726 BGK65726:BGL65726 BQG65726:BQH65726 CAC65726:CAD65726 CJY65726:CJZ65726 CTU65726:CTV65726 DDQ65726:DDR65726 DNM65726:DNN65726 DXI65726:DXJ65726 EHE65726:EHF65726 ERA65726:ERB65726 FAW65726:FAX65726 FKS65726:FKT65726 FUO65726:FUP65726 GEK65726:GEL65726 GOG65726:GOH65726 GYC65726:GYD65726 HHY65726:HHZ65726 HRU65726:HRV65726 IBQ65726:IBR65726 ILM65726:ILN65726 IVI65726:IVJ65726 JFE65726:JFF65726 JPA65726:JPB65726 JYW65726:JYX65726 KIS65726:KIT65726 KSO65726:KSP65726 LCK65726:LCL65726 LMG65726:LMH65726 LWC65726:LWD65726 MFY65726:MFZ65726 MPU65726:MPV65726 MZQ65726:MZR65726 NJM65726:NJN65726 NTI65726:NTJ65726 ODE65726:ODF65726 ONA65726:ONB65726 OWW65726:OWX65726 PGS65726:PGT65726 PQO65726:PQP65726 QAK65726:QAL65726 QKG65726:QKH65726 QUC65726:QUD65726 RDY65726:RDZ65726 RNU65726:RNV65726 RXQ65726:RXR65726 SHM65726:SHN65726 SRI65726:SRJ65726 TBE65726:TBF65726 TLA65726:TLB65726 TUW65726:TUX65726 UES65726:UET65726 UOO65726:UOP65726 UYK65726:UYL65726 VIG65726:VIH65726 VSC65726:VSD65726 WBY65726:WBZ65726 WLU65726:WLV65726 WVQ65726:WVR65726 I131262:J131262 JE131262:JF131262 TA131262:TB131262 ACW131262:ACX131262 AMS131262:AMT131262 AWO131262:AWP131262 BGK131262:BGL131262 BQG131262:BQH131262 CAC131262:CAD131262 CJY131262:CJZ131262 CTU131262:CTV131262 DDQ131262:DDR131262 DNM131262:DNN131262 DXI131262:DXJ131262 EHE131262:EHF131262 ERA131262:ERB131262 FAW131262:FAX131262 FKS131262:FKT131262 FUO131262:FUP131262 GEK131262:GEL131262 GOG131262:GOH131262 GYC131262:GYD131262 HHY131262:HHZ131262 HRU131262:HRV131262 IBQ131262:IBR131262 ILM131262:ILN131262 IVI131262:IVJ131262 JFE131262:JFF131262 JPA131262:JPB131262 JYW131262:JYX131262 KIS131262:KIT131262 KSO131262:KSP131262 LCK131262:LCL131262 LMG131262:LMH131262 LWC131262:LWD131262 MFY131262:MFZ131262 MPU131262:MPV131262 MZQ131262:MZR131262 NJM131262:NJN131262 NTI131262:NTJ131262 ODE131262:ODF131262 ONA131262:ONB131262 OWW131262:OWX131262 PGS131262:PGT131262 PQO131262:PQP131262 QAK131262:QAL131262 QKG131262:QKH131262 QUC131262:QUD131262 RDY131262:RDZ131262 RNU131262:RNV131262 RXQ131262:RXR131262 SHM131262:SHN131262 SRI131262:SRJ131262 TBE131262:TBF131262 TLA131262:TLB131262 TUW131262:TUX131262 UES131262:UET131262 UOO131262:UOP131262 UYK131262:UYL131262 VIG131262:VIH131262 VSC131262:VSD131262 WBY131262:WBZ131262 WLU131262:WLV131262 WVQ131262:WVR131262 I196798:J196798 JE196798:JF196798 TA196798:TB196798 ACW196798:ACX196798 AMS196798:AMT196798 AWO196798:AWP196798 BGK196798:BGL196798 BQG196798:BQH196798 CAC196798:CAD196798 CJY196798:CJZ196798 CTU196798:CTV196798 DDQ196798:DDR196798 DNM196798:DNN196798 DXI196798:DXJ196798 EHE196798:EHF196798 ERA196798:ERB196798 FAW196798:FAX196798 FKS196798:FKT196798 FUO196798:FUP196798 GEK196798:GEL196798 GOG196798:GOH196798 GYC196798:GYD196798 HHY196798:HHZ196798 HRU196798:HRV196798 IBQ196798:IBR196798 ILM196798:ILN196798 IVI196798:IVJ196798 JFE196798:JFF196798 JPA196798:JPB196798 JYW196798:JYX196798 KIS196798:KIT196798 KSO196798:KSP196798 LCK196798:LCL196798 LMG196798:LMH196798 LWC196798:LWD196798 MFY196798:MFZ196798 MPU196798:MPV196798 MZQ196798:MZR196798 NJM196798:NJN196798 NTI196798:NTJ196798 ODE196798:ODF196798 ONA196798:ONB196798 OWW196798:OWX196798 PGS196798:PGT196798 PQO196798:PQP196798 QAK196798:QAL196798 QKG196798:QKH196798 QUC196798:QUD196798 RDY196798:RDZ196798 RNU196798:RNV196798 RXQ196798:RXR196798 SHM196798:SHN196798 SRI196798:SRJ196798 TBE196798:TBF196798 TLA196798:TLB196798 TUW196798:TUX196798 UES196798:UET196798 UOO196798:UOP196798 UYK196798:UYL196798 VIG196798:VIH196798 VSC196798:VSD196798 WBY196798:WBZ196798 WLU196798:WLV196798 WVQ196798:WVR196798 I262334:J262334 JE262334:JF262334 TA262334:TB262334 ACW262334:ACX262334 AMS262334:AMT262334 AWO262334:AWP262334 BGK262334:BGL262334 BQG262334:BQH262334 CAC262334:CAD262334 CJY262334:CJZ262334 CTU262334:CTV262334 DDQ262334:DDR262334 DNM262334:DNN262334 DXI262334:DXJ262334 EHE262334:EHF262334 ERA262334:ERB262334 FAW262334:FAX262334 FKS262334:FKT262334 FUO262334:FUP262334 GEK262334:GEL262334 GOG262334:GOH262334 GYC262334:GYD262334 HHY262334:HHZ262334 HRU262334:HRV262334 IBQ262334:IBR262334 ILM262334:ILN262334 IVI262334:IVJ262334 JFE262334:JFF262334 JPA262334:JPB262334 JYW262334:JYX262334 KIS262334:KIT262334 KSO262334:KSP262334 LCK262334:LCL262334 LMG262334:LMH262334 LWC262334:LWD262334 MFY262334:MFZ262334 MPU262334:MPV262334 MZQ262334:MZR262334 NJM262334:NJN262334 NTI262334:NTJ262334 ODE262334:ODF262334 ONA262334:ONB262334 OWW262334:OWX262334 PGS262334:PGT262334 PQO262334:PQP262334 QAK262334:QAL262334 QKG262334:QKH262334 QUC262334:QUD262334 RDY262334:RDZ262334 RNU262334:RNV262334 RXQ262334:RXR262334 SHM262334:SHN262334 SRI262334:SRJ262334 TBE262334:TBF262334 TLA262334:TLB262334 TUW262334:TUX262334 UES262334:UET262334 UOO262334:UOP262334 UYK262334:UYL262334 VIG262334:VIH262334 VSC262334:VSD262334 WBY262334:WBZ262334 WLU262334:WLV262334 WVQ262334:WVR262334 I327870:J327870 JE327870:JF327870 TA327870:TB327870 ACW327870:ACX327870 AMS327870:AMT327870 AWO327870:AWP327870 BGK327870:BGL327870 BQG327870:BQH327870 CAC327870:CAD327870 CJY327870:CJZ327870 CTU327870:CTV327870 DDQ327870:DDR327870 DNM327870:DNN327870 DXI327870:DXJ327870 EHE327870:EHF327870 ERA327870:ERB327870 FAW327870:FAX327870 FKS327870:FKT327870 FUO327870:FUP327870 GEK327870:GEL327870 GOG327870:GOH327870 GYC327870:GYD327870 HHY327870:HHZ327870 HRU327870:HRV327870 IBQ327870:IBR327870 ILM327870:ILN327870 IVI327870:IVJ327870 JFE327870:JFF327870 JPA327870:JPB327870 JYW327870:JYX327870 KIS327870:KIT327870 KSO327870:KSP327870 LCK327870:LCL327870 LMG327870:LMH327870 LWC327870:LWD327870 MFY327870:MFZ327870 MPU327870:MPV327870 MZQ327870:MZR327870 NJM327870:NJN327870 NTI327870:NTJ327870 ODE327870:ODF327870 ONA327870:ONB327870 OWW327870:OWX327870 PGS327870:PGT327870 PQO327870:PQP327870 QAK327870:QAL327870 QKG327870:QKH327870 QUC327870:QUD327870 RDY327870:RDZ327870 RNU327870:RNV327870 RXQ327870:RXR327870 SHM327870:SHN327870 SRI327870:SRJ327870 TBE327870:TBF327870 TLA327870:TLB327870 TUW327870:TUX327870 UES327870:UET327870 UOO327870:UOP327870 UYK327870:UYL327870 VIG327870:VIH327870 VSC327870:VSD327870 WBY327870:WBZ327870 WLU327870:WLV327870 WVQ327870:WVR327870 I393406:J393406 JE393406:JF393406 TA393406:TB393406 ACW393406:ACX393406 AMS393406:AMT393406 AWO393406:AWP393406 BGK393406:BGL393406 BQG393406:BQH393406 CAC393406:CAD393406 CJY393406:CJZ393406 CTU393406:CTV393406 DDQ393406:DDR393406 DNM393406:DNN393406 DXI393406:DXJ393406 EHE393406:EHF393406 ERA393406:ERB393406 FAW393406:FAX393406 FKS393406:FKT393406 FUO393406:FUP393406 GEK393406:GEL393406 GOG393406:GOH393406 GYC393406:GYD393406 HHY393406:HHZ393406 HRU393406:HRV393406 IBQ393406:IBR393406 ILM393406:ILN393406 IVI393406:IVJ393406 JFE393406:JFF393406 JPA393406:JPB393406 JYW393406:JYX393406 KIS393406:KIT393406 KSO393406:KSP393406 LCK393406:LCL393406 LMG393406:LMH393406 LWC393406:LWD393406 MFY393406:MFZ393406 MPU393406:MPV393406 MZQ393406:MZR393406 NJM393406:NJN393406 NTI393406:NTJ393406 ODE393406:ODF393406 ONA393406:ONB393406 OWW393406:OWX393406 PGS393406:PGT393406 PQO393406:PQP393406 QAK393406:QAL393406 QKG393406:QKH393406 QUC393406:QUD393406 RDY393406:RDZ393406 RNU393406:RNV393406 RXQ393406:RXR393406 SHM393406:SHN393406 SRI393406:SRJ393406 TBE393406:TBF393406 TLA393406:TLB393406 TUW393406:TUX393406 UES393406:UET393406 UOO393406:UOP393406 UYK393406:UYL393406 VIG393406:VIH393406 VSC393406:VSD393406 WBY393406:WBZ393406 WLU393406:WLV393406 WVQ393406:WVR393406 I458942:J458942 JE458942:JF458942 TA458942:TB458942 ACW458942:ACX458942 AMS458942:AMT458942 AWO458942:AWP458942 BGK458942:BGL458942 BQG458942:BQH458942 CAC458942:CAD458942 CJY458942:CJZ458942 CTU458942:CTV458942 DDQ458942:DDR458942 DNM458942:DNN458942 DXI458942:DXJ458942 EHE458942:EHF458942 ERA458942:ERB458942 FAW458942:FAX458942 FKS458942:FKT458942 FUO458942:FUP458942 GEK458942:GEL458942 GOG458942:GOH458942 GYC458942:GYD458942 HHY458942:HHZ458942 HRU458942:HRV458942 IBQ458942:IBR458942 ILM458942:ILN458942 IVI458942:IVJ458942 JFE458942:JFF458942 JPA458942:JPB458942 JYW458942:JYX458942 KIS458942:KIT458942 KSO458942:KSP458942 LCK458942:LCL458942 LMG458942:LMH458942 LWC458942:LWD458942 MFY458942:MFZ458942 MPU458942:MPV458942 MZQ458942:MZR458942 NJM458942:NJN458942 NTI458942:NTJ458942 ODE458942:ODF458942 ONA458942:ONB458942 OWW458942:OWX458942 PGS458942:PGT458942 PQO458942:PQP458942 QAK458942:QAL458942 QKG458942:QKH458942 QUC458942:QUD458942 RDY458942:RDZ458942 RNU458942:RNV458942 RXQ458942:RXR458942 SHM458942:SHN458942 SRI458942:SRJ458942 TBE458942:TBF458942 TLA458942:TLB458942 TUW458942:TUX458942 UES458942:UET458942 UOO458942:UOP458942 UYK458942:UYL458942 VIG458942:VIH458942 VSC458942:VSD458942 WBY458942:WBZ458942 WLU458942:WLV458942 WVQ458942:WVR458942 I524478:J524478 JE524478:JF524478 TA524478:TB524478 ACW524478:ACX524478 AMS524478:AMT524478 AWO524478:AWP524478 BGK524478:BGL524478 BQG524478:BQH524478 CAC524478:CAD524478 CJY524478:CJZ524478 CTU524478:CTV524478 DDQ524478:DDR524478 DNM524478:DNN524478 DXI524478:DXJ524478 EHE524478:EHF524478 ERA524478:ERB524478 FAW524478:FAX524478 FKS524478:FKT524478 FUO524478:FUP524478 GEK524478:GEL524478 GOG524478:GOH524478 GYC524478:GYD524478 HHY524478:HHZ524478 HRU524478:HRV524478 IBQ524478:IBR524478 ILM524478:ILN524478 IVI524478:IVJ524478 JFE524478:JFF524478 JPA524478:JPB524478 JYW524478:JYX524478 KIS524478:KIT524478 KSO524478:KSP524478 LCK524478:LCL524478 LMG524478:LMH524478 LWC524478:LWD524478 MFY524478:MFZ524478 MPU524478:MPV524478 MZQ524478:MZR524478 NJM524478:NJN524478 NTI524478:NTJ524478 ODE524478:ODF524478 ONA524478:ONB524478 OWW524478:OWX524478 PGS524478:PGT524478 PQO524478:PQP524478 QAK524478:QAL524478 QKG524478:QKH524478 QUC524478:QUD524478 RDY524478:RDZ524478 RNU524478:RNV524478 RXQ524478:RXR524478 SHM524478:SHN524478 SRI524478:SRJ524478 TBE524478:TBF524478 TLA524478:TLB524478 TUW524478:TUX524478 UES524478:UET524478 UOO524478:UOP524478 UYK524478:UYL524478 VIG524478:VIH524478 VSC524478:VSD524478 WBY524478:WBZ524478 WLU524478:WLV524478 WVQ524478:WVR524478 I590014:J590014 JE590014:JF590014 TA590014:TB590014 ACW590014:ACX590014 AMS590014:AMT590014 AWO590014:AWP590014 BGK590014:BGL590014 BQG590014:BQH590014 CAC590014:CAD590014 CJY590014:CJZ590014 CTU590014:CTV590014 DDQ590014:DDR590014 DNM590014:DNN590014 DXI590014:DXJ590014 EHE590014:EHF590014 ERA590014:ERB590014 FAW590014:FAX590014 FKS590014:FKT590014 FUO590014:FUP590014 GEK590014:GEL590014 GOG590014:GOH590014 GYC590014:GYD590014 HHY590014:HHZ590014 HRU590014:HRV590014 IBQ590014:IBR590014 ILM590014:ILN590014 IVI590014:IVJ590014 JFE590014:JFF590014 JPA590014:JPB590014 JYW590014:JYX590014 KIS590014:KIT590014 KSO590014:KSP590014 LCK590014:LCL590014 LMG590014:LMH590014 LWC590014:LWD590014 MFY590014:MFZ590014 MPU590014:MPV590014 MZQ590014:MZR590014 NJM590014:NJN590014 NTI590014:NTJ590014 ODE590014:ODF590014 ONA590014:ONB590014 OWW590014:OWX590014 PGS590014:PGT590014 PQO590014:PQP590014 QAK590014:QAL590014 QKG590014:QKH590014 QUC590014:QUD590014 RDY590014:RDZ590014 RNU590014:RNV590014 RXQ590014:RXR590014 SHM590014:SHN590014 SRI590014:SRJ590014 TBE590014:TBF590014 TLA590014:TLB590014 TUW590014:TUX590014 UES590014:UET590014 UOO590014:UOP590014 UYK590014:UYL590014 VIG590014:VIH590014 VSC590014:VSD590014 WBY590014:WBZ590014 WLU590014:WLV590014 WVQ590014:WVR590014 I655550:J655550 JE655550:JF655550 TA655550:TB655550 ACW655550:ACX655550 AMS655550:AMT655550 AWO655550:AWP655550 BGK655550:BGL655550 BQG655550:BQH655550 CAC655550:CAD655550 CJY655550:CJZ655550 CTU655550:CTV655550 DDQ655550:DDR655550 DNM655550:DNN655550 DXI655550:DXJ655550 EHE655550:EHF655550 ERA655550:ERB655550 FAW655550:FAX655550 FKS655550:FKT655550 FUO655550:FUP655550 GEK655550:GEL655550 GOG655550:GOH655550 GYC655550:GYD655550 HHY655550:HHZ655550 HRU655550:HRV655550 IBQ655550:IBR655550 ILM655550:ILN655550 IVI655550:IVJ655550 JFE655550:JFF655550 JPA655550:JPB655550 JYW655550:JYX655550 KIS655550:KIT655550 KSO655550:KSP655550 LCK655550:LCL655550 LMG655550:LMH655550 LWC655550:LWD655550 MFY655550:MFZ655550 MPU655550:MPV655550 MZQ655550:MZR655550 NJM655550:NJN655550 NTI655550:NTJ655550 ODE655550:ODF655550 ONA655550:ONB655550 OWW655550:OWX655550 PGS655550:PGT655550 PQO655550:PQP655550 QAK655550:QAL655550 QKG655550:QKH655550 QUC655550:QUD655550 RDY655550:RDZ655550 RNU655550:RNV655550 RXQ655550:RXR655550 SHM655550:SHN655550 SRI655550:SRJ655550 TBE655550:TBF655550 TLA655550:TLB655550 TUW655550:TUX655550 UES655550:UET655550 UOO655550:UOP655550 UYK655550:UYL655550 VIG655550:VIH655550 VSC655550:VSD655550 WBY655550:WBZ655550 WLU655550:WLV655550 WVQ655550:WVR655550 I721086:J721086 JE721086:JF721086 TA721086:TB721086 ACW721086:ACX721086 AMS721086:AMT721086 AWO721086:AWP721086 BGK721086:BGL721086 BQG721086:BQH721086 CAC721086:CAD721086 CJY721086:CJZ721086 CTU721086:CTV721086 DDQ721086:DDR721086 DNM721086:DNN721086 DXI721086:DXJ721086 EHE721086:EHF721086 ERA721086:ERB721086 FAW721086:FAX721086 FKS721086:FKT721086 FUO721086:FUP721086 GEK721086:GEL721086 GOG721086:GOH721086 GYC721086:GYD721086 HHY721086:HHZ721086 HRU721086:HRV721086 IBQ721086:IBR721086 ILM721086:ILN721086 IVI721086:IVJ721086 JFE721086:JFF721086 JPA721086:JPB721086 JYW721086:JYX721086 KIS721086:KIT721086 KSO721086:KSP721086 LCK721086:LCL721086 LMG721086:LMH721086 LWC721086:LWD721086 MFY721086:MFZ721086 MPU721086:MPV721086 MZQ721086:MZR721086 NJM721086:NJN721086 NTI721086:NTJ721086 ODE721086:ODF721086 ONA721086:ONB721086 OWW721086:OWX721086 PGS721086:PGT721086 PQO721086:PQP721086 QAK721086:QAL721086 QKG721086:QKH721086 QUC721086:QUD721086 RDY721086:RDZ721086 RNU721086:RNV721086 RXQ721086:RXR721086 SHM721086:SHN721086 SRI721086:SRJ721086 TBE721086:TBF721086 TLA721086:TLB721086 TUW721086:TUX721086 UES721086:UET721086 UOO721086:UOP721086 UYK721086:UYL721086 VIG721086:VIH721086 VSC721086:VSD721086 WBY721086:WBZ721086 WLU721086:WLV721086 WVQ721086:WVR721086 I786622:J786622 JE786622:JF786622 TA786622:TB786622 ACW786622:ACX786622 AMS786622:AMT786622 AWO786622:AWP786622 BGK786622:BGL786622 BQG786622:BQH786622 CAC786622:CAD786622 CJY786622:CJZ786622 CTU786622:CTV786622 DDQ786622:DDR786622 DNM786622:DNN786622 DXI786622:DXJ786622 EHE786622:EHF786622 ERA786622:ERB786622 FAW786622:FAX786622 FKS786622:FKT786622 FUO786622:FUP786622 GEK786622:GEL786622 GOG786622:GOH786622 GYC786622:GYD786622 HHY786622:HHZ786622 HRU786622:HRV786622 IBQ786622:IBR786622 ILM786622:ILN786622 IVI786622:IVJ786622 JFE786622:JFF786622 JPA786622:JPB786622 JYW786622:JYX786622 KIS786622:KIT786622 KSO786622:KSP786622 LCK786622:LCL786622 LMG786622:LMH786622 LWC786622:LWD786622 MFY786622:MFZ786622 MPU786622:MPV786622 MZQ786622:MZR786622 NJM786622:NJN786622 NTI786622:NTJ786622 ODE786622:ODF786622 ONA786622:ONB786622 OWW786622:OWX786622 PGS786622:PGT786622 PQO786622:PQP786622 QAK786622:QAL786622 QKG786622:QKH786622 QUC786622:QUD786622 RDY786622:RDZ786622 RNU786622:RNV786622 RXQ786622:RXR786622 SHM786622:SHN786622 SRI786622:SRJ786622 TBE786622:TBF786622 TLA786622:TLB786622 TUW786622:TUX786622 UES786622:UET786622 UOO786622:UOP786622 UYK786622:UYL786622 VIG786622:VIH786622 VSC786622:VSD786622 WBY786622:WBZ786622 WLU786622:WLV786622 WVQ786622:WVR786622 I852158:J852158 JE852158:JF852158 TA852158:TB852158 ACW852158:ACX852158 AMS852158:AMT852158 AWO852158:AWP852158 BGK852158:BGL852158 BQG852158:BQH852158 CAC852158:CAD852158 CJY852158:CJZ852158 CTU852158:CTV852158 DDQ852158:DDR852158 DNM852158:DNN852158 DXI852158:DXJ852158 EHE852158:EHF852158 ERA852158:ERB852158 FAW852158:FAX852158 FKS852158:FKT852158 FUO852158:FUP852158 GEK852158:GEL852158 GOG852158:GOH852158 GYC852158:GYD852158 HHY852158:HHZ852158 HRU852158:HRV852158 IBQ852158:IBR852158 ILM852158:ILN852158 IVI852158:IVJ852158 JFE852158:JFF852158 JPA852158:JPB852158 JYW852158:JYX852158 KIS852158:KIT852158 KSO852158:KSP852158 LCK852158:LCL852158 LMG852158:LMH852158 LWC852158:LWD852158 MFY852158:MFZ852158 MPU852158:MPV852158 MZQ852158:MZR852158 NJM852158:NJN852158 NTI852158:NTJ852158 ODE852158:ODF852158 ONA852158:ONB852158 OWW852158:OWX852158 PGS852158:PGT852158 PQO852158:PQP852158 QAK852158:QAL852158 QKG852158:QKH852158 QUC852158:QUD852158 RDY852158:RDZ852158 RNU852158:RNV852158 RXQ852158:RXR852158 SHM852158:SHN852158 SRI852158:SRJ852158 TBE852158:TBF852158 TLA852158:TLB852158 TUW852158:TUX852158 UES852158:UET852158 UOO852158:UOP852158 UYK852158:UYL852158 VIG852158:VIH852158 VSC852158:VSD852158 WBY852158:WBZ852158 WLU852158:WLV852158 WVQ852158:WVR852158 I917694:J917694 JE917694:JF917694 TA917694:TB917694 ACW917694:ACX917694 AMS917694:AMT917694 AWO917694:AWP917694 BGK917694:BGL917694 BQG917694:BQH917694 CAC917694:CAD917694 CJY917694:CJZ917694 CTU917694:CTV917694 DDQ917694:DDR917694 DNM917694:DNN917694 DXI917694:DXJ917694 EHE917694:EHF917694 ERA917694:ERB917694 FAW917694:FAX917694 FKS917694:FKT917694 FUO917694:FUP917694 GEK917694:GEL917694 GOG917694:GOH917694 GYC917694:GYD917694 HHY917694:HHZ917694 HRU917694:HRV917694 IBQ917694:IBR917694 ILM917694:ILN917694 IVI917694:IVJ917694 JFE917694:JFF917694 JPA917694:JPB917694 JYW917694:JYX917694 KIS917694:KIT917694 KSO917694:KSP917694 LCK917694:LCL917694 LMG917694:LMH917694 LWC917694:LWD917694 MFY917694:MFZ917694 MPU917694:MPV917694 MZQ917694:MZR917694 NJM917694:NJN917694 NTI917694:NTJ917694 ODE917694:ODF917694 ONA917694:ONB917694 OWW917694:OWX917694 PGS917694:PGT917694 PQO917694:PQP917694 QAK917694:QAL917694 QKG917694:QKH917694 QUC917694:QUD917694 RDY917694:RDZ917694 RNU917694:RNV917694 RXQ917694:RXR917694 SHM917694:SHN917694 SRI917694:SRJ917694 TBE917694:TBF917694 TLA917694:TLB917694 TUW917694:TUX917694 UES917694:UET917694 UOO917694:UOP917694 UYK917694:UYL917694 VIG917694:VIH917694 VSC917694:VSD917694 WBY917694:WBZ917694 WLU917694:WLV917694 WVQ917694:WVR917694 I983230:J983230 JE983230:JF983230 TA983230:TB983230 ACW983230:ACX983230 AMS983230:AMT983230 AWO983230:AWP983230 BGK983230:BGL983230 BQG983230:BQH983230 CAC983230:CAD983230 CJY983230:CJZ983230 CTU983230:CTV983230 DDQ983230:DDR983230 DNM983230:DNN983230 DXI983230:DXJ983230 EHE983230:EHF983230 ERA983230:ERB983230 FAW983230:FAX983230 FKS983230:FKT983230 FUO983230:FUP983230 GEK983230:GEL983230 GOG983230:GOH983230 GYC983230:GYD983230 HHY983230:HHZ983230 HRU983230:HRV983230 IBQ983230:IBR983230 ILM983230:ILN983230 IVI983230:IVJ983230 JFE983230:JFF983230 JPA983230:JPB983230 JYW983230:JYX983230 KIS983230:KIT983230 KSO983230:KSP983230 LCK983230:LCL983230 LMG983230:LMH983230 LWC983230:LWD983230 MFY983230:MFZ983230 MPU983230:MPV983230 MZQ983230:MZR983230 NJM983230:NJN983230 NTI983230:NTJ983230 ODE983230:ODF983230 ONA983230:ONB983230 OWW983230:OWX983230 PGS983230:PGT983230 PQO983230:PQP983230 QAK983230:QAL983230 QKG983230:QKH983230 QUC983230:QUD983230 RDY983230:RDZ983230 RNU983230:RNV983230 RXQ983230:RXR983230 SHM983230:SHN983230 SRI983230:SRJ983230 TBE983230:TBF983230 TLA983230:TLB983230 TUW983230:TUX983230 UES983230:UET983230 UOO983230:UOP983230 UYK983230:UYL983230 VIG983230:VIH983230 VSC983230:VSD983230 WBY983230:WBZ983230 WLU983230:WLV983230 WVQ983230:WVR983230 H255:I255 JD255:JE255 SZ255:TA255 ACV255:ACW255 AMR255:AMS255 AWN255:AWO255 BGJ255:BGK255 BQF255:BQG255 CAB255:CAC255 CJX255:CJY255 CTT255:CTU255 DDP255:DDQ255 DNL255:DNM255 DXH255:DXI255 EHD255:EHE255 EQZ255:ERA255 FAV255:FAW255 FKR255:FKS255 FUN255:FUO255 GEJ255:GEK255 GOF255:GOG255 GYB255:GYC255 HHX255:HHY255 HRT255:HRU255 IBP255:IBQ255 ILL255:ILM255 IVH255:IVI255 JFD255:JFE255 JOZ255:JPA255 JYV255:JYW255 KIR255:KIS255 KSN255:KSO255 LCJ255:LCK255 LMF255:LMG255 LWB255:LWC255 MFX255:MFY255 MPT255:MPU255 MZP255:MZQ255 NJL255:NJM255 NTH255:NTI255 ODD255:ODE255 OMZ255:ONA255 OWV255:OWW255 PGR255:PGS255 PQN255:PQO255 QAJ255:QAK255 QKF255:QKG255 QUB255:QUC255 RDX255:RDY255 RNT255:RNU255 RXP255:RXQ255 SHL255:SHM255 SRH255:SRI255 TBD255:TBE255 TKZ255:TLA255 TUV255:TUW255 UER255:UES255 UON255:UOO255 UYJ255:UYK255 VIF255:VIG255 VSB255:VSC255 WBX255:WBY255 WLT255:WLU255 WVP255:WVQ255 H65791:I65791 JD65791:JE65791 SZ65791:TA65791 ACV65791:ACW65791 AMR65791:AMS65791 AWN65791:AWO65791 BGJ65791:BGK65791 BQF65791:BQG65791 CAB65791:CAC65791 CJX65791:CJY65791 CTT65791:CTU65791 DDP65791:DDQ65791 DNL65791:DNM65791 DXH65791:DXI65791 EHD65791:EHE65791 EQZ65791:ERA65791 FAV65791:FAW65791 FKR65791:FKS65791 FUN65791:FUO65791 GEJ65791:GEK65791 GOF65791:GOG65791 GYB65791:GYC65791 HHX65791:HHY65791 HRT65791:HRU65791 IBP65791:IBQ65791 ILL65791:ILM65791 IVH65791:IVI65791 JFD65791:JFE65791 JOZ65791:JPA65791 JYV65791:JYW65791 KIR65791:KIS65791 KSN65791:KSO65791 LCJ65791:LCK65791 LMF65791:LMG65791 LWB65791:LWC65791 MFX65791:MFY65791 MPT65791:MPU65791 MZP65791:MZQ65791 NJL65791:NJM65791 NTH65791:NTI65791 ODD65791:ODE65791 OMZ65791:ONA65791 OWV65791:OWW65791 PGR65791:PGS65791 PQN65791:PQO65791 QAJ65791:QAK65791 QKF65791:QKG65791 QUB65791:QUC65791 RDX65791:RDY65791 RNT65791:RNU65791 RXP65791:RXQ65791 SHL65791:SHM65791 SRH65791:SRI65791 TBD65791:TBE65791 TKZ65791:TLA65791 TUV65791:TUW65791 UER65791:UES65791 UON65791:UOO65791 UYJ65791:UYK65791 VIF65791:VIG65791 VSB65791:VSC65791 WBX65791:WBY65791 WLT65791:WLU65791 WVP65791:WVQ65791 H131327:I131327 JD131327:JE131327 SZ131327:TA131327 ACV131327:ACW131327 AMR131327:AMS131327 AWN131327:AWO131327 BGJ131327:BGK131327 BQF131327:BQG131327 CAB131327:CAC131327 CJX131327:CJY131327 CTT131327:CTU131327 DDP131327:DDQ131327 DNL131327:DNM131327 DXH131327:DXI131327 EHD131327:EHE131327 EQZ131327:ERA131327 FAV131327:FAW131327 FKR131327:FKS131327 FUN131327:FUO131327 GEJ131327:GEK131327 GOF131327:GOG131327 GYB131327:GYC131327 HHX131327:HHY131327 HRT131327:HRU131327 IBP131327:IBQ131327 ILL131327:ILM131327 IVH131327:IVI131327 JFD131327:JFE131327 JOZ131327:JPA131327 JYV131327:JYW131327 KIR131327:KIS131327 KSN131327:KSO131327 LCJ131327:LCK131327 LMF131327:LMG131327 LWB131327:LWC131327 MFX131327:MFY131327 MPT131327:MPU131327 MZP131327:MZQ131327 NJL131327:NJM131327 NTH131327:NTI131327 ODD131327:ODE131327 OMZ131327:ONA131327 OWV131327:OWW131327 PGR131327:PGS131327 PQN131327:PQO131327 QAJ131327:QAK131327 QKF131327:QKG131327 QUB131327:QUC131327 RDX131327:RDY131327 RNT131327:RNU131327 RXP131327:RXQ131327 SHL131327:SHM131327 SRH131327:SRI131327 TBD131327:TBE131327 TKZ131327:TLA131327 TUV131327:TUW131327 UER131327:UES131327 UON131327:UOO131327 UYJ131327:UYK131327 VIF131327:VIG131327 VSB131327:VSC131327 WBX131327:WBY131327 WLT131327:WLU131327 WVP131327:WVQ131327 H196863:I196863 JD196863:JE196863 SZ196863:TA196863 ACV196863:ACW196863 AMR196863:AMS196863 AWN196863:AWO196863 BGJ196863:BGK196863 BQF196863:BQG196863 CAB196863:CAC196863 CJX196863:CJY196863 CTT196863:CTU196863 DDP196863:DDQ196863 DNL196863:DNM196863 DXH196863:DXI196863 EHD196863:EHE196863 EQZ196863:ERA196863 FAV196863:FAW196863 FKR196863:FKS196863 FUN196863:FUO196863 GEJ196863:GEK196863 GOF196863:GOG196863 GYB196863:GYC196863 HHX196863:HHY196863 HRT196863:HRU196863 IBP196863:IBQ196863 ILL196863:ILM196863 IVH196863:IVI196863 JFD196863:JFE196863 JOZ196863:JPA196863 JYV196863:JYW196863 KIR196863:KIS196863 KSN196863:KSO196863 LCJ196863:LCK196863 LMF196863:LMG196863 LWB196863:LWC196863 MFX196863:MFY196863 MPT196863:MPU196863 MZP196863:MZQ196863 NJL196863:NJM196863 NTH196863:NTI196863 ODD196863:ODE196863 OMZ196863:ONA196863 OWV196863:OWW196863 PGR196863:PGS196863 PQN196863:PQO196863 QAJ196863:QAK196863 QKF196863:QKG196863 QUB196863:QUC196863 RDX196863:RDY196863 RNT196863:RNU196863 RXP196863:RXQ196863 SHL196863:SHM196863 SRH196863:SRI196863 TBD196863:TBE196863 TKZ196863:TLA196863 TUV196863:TUW196863 UER196863:UES196863 UON196863:UOO196863 UYJ196863:UYK196863 VIF196863:VIG196863 VSB196863:VSC196863 WBX196863:WBY196863 WLT196863:WLU196863 WVP196863:WVQ196863 H262399:I262399 JD262399:JE262399 SZ262399:TA262399 ACV262399:ACW262399 AMR262399:AMS262399 AWN262399:AWO262399 BGJ262399:BGK262399 BQF262399:BQG262399 CAB262399:CAC262399 CJX262399:CJY262399 CTT262399:CTU262399 DDP262399:DDQ262399 DNL262399:DNM262399 DXH262399:DXI262399 EHD262399:EHE262399 EQZ262399:ERA262399 FAV262399:FAW262399 FKR262399:FKS262399 FUN262399:FUO262399 GEJ262399:GEK262399 GOF262399:GOG262399 GYB262399:GYC262399 HHX262399:HHY262399 HRT262399:HRU262399 IBP262399:IBQ262399 ILL262399:ILM262399 IVH262399:IVI262399 JFD262399:JFE262399 JOZ262399:JPA262399 JYV262399:JYW262399 KIR262399:KIS262399 KSN262399:KSO262399 LCJ262399:LCK262399 LMF262399:LMG262399 LWB262399:LWC262399 MFX262399:MFY262399 MPT262399:MPU262399 MZP262399:MZQ262399 NJL262399:NJM262399 NTH262399:NTI262399 ODD262399:ODE262399 OMZ262399:ONA262399 OWV262399:OWW262399 PGR262399:PGS262399 PQN262399:PQO262399 QAJ262399:QAK262399 QKF262399:QKG262399 QUB262399:QUC262399 RDX262399:RDY262399 RNT262399:RNU262399 RXP262399:RXQ262399 SHL262399:SHM262399 SRH262399:SRI262399 TBD262399:TBE262399 TKZ262399:TLA262399 TUV262399:TUW262399 UER262399:UES262399 UON262399:UOO262399 UYJ262399:UYK262399 VIF262399:VIG262399 VSB262399:VSC262399 WBX262399:WBY262399 WLT262399:WLU262399 WVP262399:WVQ262399 H327935:I327935 JD327935:JE327935 SZ327935:TA327935 ACV327935:ACW327935 AMR327935:AMS327935 AWN327935:AWO327935 BGJ327935:BGK327935 BQF327935:BQG327935 CAB327935:CAC327935 CJX327935:CJY327935 CTT327935:CTU327935 DDP327935:DDQ327935 DNL327935:DNM327935 DXH327935:DXI327935 EHD327935:EHE327935 EQZ327935:ERA327935 FAV327935:FAW327935 FKR327935:FKS327935 FUN327935:FUO327935 GEJ327935:GEK327935 GOF327935:GOG327935 GYB327935:GYC327935 HHX327935:HHY327935 HRT327935:HRU327935 IBP327935:IBQ327935 ILL327935:ILM327935 IVH327935:IVI327935 JFD327935:JFE327935 JOZ327935:JPA327935 JYV327935:JYW327935 KIR327935:KIS327935 KSN327935:KSO327935 LCJ327935:LCK327935 LMF327935:LMG327935 LWB327935:LWC327935 MFX327935:MFY327935 MPT327935:MPU327935 MZP327935:MZQ327935 NJL327935:NJM327935 NTH327935:NTI327935 ODD327935:ODE327935 OMZ327935:ONA327935 OWV327935:OWW327935 PGR327935:PGS327935 PQN327935:PQO327935 QAJ327935:QAK327935 QKF327935:QKG327935 QUB327935:QUC327935 RDX327935:RDY327935 RNT327935:RNU327935 RXP327935:RXQ327935 SHL327935:SHM327935 SRH327935:SRI327935 TBD327935:TBE327935 TKZ327935:TLA327935 TUV327935:TUW327935 UER327935:UES327935 UON327935:UOO327935 UYJ327935:UYK327935 VIF327935:VIG327935 VSB327935:VSC327935 WBX327935:WBY327935 WLT327935:WLU327935 WVP327935:WVQ327935 H393471:I393471 JD393471:JE393471 SZ393471:TA393471 ACV393471:ACW393471 AMR393471:AMS393471 AWN393471:AWO393471 BGJ393471:BGK393471 BQF393471:BQG393471 CAB393471:CAC393471 CJX393471:CJY393471 CTT393471:CTU393471 DDP393471:DDQ393471 DNL393471:DNM393471 DXH393471:DXI393471 EHD393471:EHE393471 EQZ393471:ERA393471 FAV393471:FAW393471 FKR393471:FKS393471 FUN393471:FUO393471 GEJ393471:GEK393471 GOF393471:GOG393471 GYB393471:GYC393471 HHX393471:HHY393471 HRT393471:HRU393471 IBP393471:IBQ393471 ILL393471:ILM393471 IVH393471:IVI393471 JFD393471:JFE393471 JOZ393471:JPA393471 JYV393471:JYW393471 KIR393471:KIS393471 KSN393471:KSO393471 LCJ393471:LCK393471 LMF393471:LMG393471 LWB393471:LWC393471 MFX393471:MFY393471 MPT393471:MPU393471 MZP393471:MZQ393471 NJL393471:NJM393471 NTH393471:NTI393471 ODD393471:ODE393471 OMZ393471:ONA393471 OWV393471:OWW393471 PGR393471:PGS393471 PQN393471:PQO393471 QAJ393471:QAK393471 QKF393471:QKG393471 QUB393471:QUC393471 RDX393471:RDY393471 RNT393471:RNU393471 RXP393471:RXQ393471 SHL393471:SHM393471 SRH393471:SRI393471 TBD393471:TBE393471 TKZ393471:TLA393471 TUV393471:TUW393471 UER393471:UES393471 UON393471:UOO393471 UYJ393471:UYK393471 VIF393471:VIG393471 VSB393471:VSC393471 WBX393471:WBY393471 WLT393471:WLU393471 WVP393471:WVQ393471 H459007:I459007 JD459007:JE459007 SZ459007:TA459007 ACV459007:ACW459007 AMR459007:AMS459007 AWN459007:AWO459007 BGJ459007:BGK459007 BQF459007:BQG459007 CAB459007:CAC459007 CJX459007:CJY459007 CTT459007:CTU459007 DDP459007:DDQ459007 DNL459007:DNM459007 DXH459007:DXI459007 EHD459007:EHE459007 EQZ459007:ERA459007 FAV459007:FAW459007 FKR459007:FKS459007 FUN459007:FUO459007 GEJ459007:GEK459007 GOF459007:GOG459007 GYB459007:GYC459007 HHX459007:HHY459007 HRT459007:HRU459007 IBP459007:IBQ459007 ILL459007:ILM459007 IVH459007:IVI459007 JFD459007:JFE459007 JOZ459007:JPA459007 JYV459007:JYW459007 KIR459007:KIS459007 KSN459007:KSO459007 LCJ459007:LCK459007 LMF459007:LMG459007 LWB459007:LWC459007 MFX459007:MFY459007 MPT459007:MPU459007 MZP459007:MZQ459007 NJL459007:NJM459007 NTH459007:NTI459007 ODD459007:ODE459007 OMZ459007:ONA459007 OWV459007:OWW459007 PGR459007:PGS459007 PQN459007:PQO459007 QAJ459007:QAK459007 QKF459007:QKG459007 QUB459007:QUC459007 RDX459007:RDY459007 RNT459007:RNU459007 RXP459007:RXQ459007 SHL459007:SHM459007 SRH459007:SRI459007 TBD459007:TBE459007 TKZ459007:TLA459007 TUV459007:TUW459007 UER459007:UES459007 UON459007:UOO459007 UYJ459007:UYK459007 VIF459007:VIG459007 VSB459007:VSC459007 WBX459007:WBY459007 WLT459007:WLU459007 WVP459007:WVQ459007 H524543:I524543 JD524543:JE524543 SZ524543:TA524543 ACV524543:ACW524543 AMR524543:AMS524543 AWN524543:AWO524543 BGJ524543:BGK524543 BQF524543:BQG524543 CAB524543:CAC524543 CJX524543:CJY524543 CTT524543:CTU524543 DDP524543:DDQ524543 DNL524543:DNM524543 DXH524543:DXI524543 EHD524543:EHE524543 EQZ524543:ERA524543 FAV524543:FAW524543 FKR524543:FKS524543 FUN524543:FUO524543 GEJ524543:GEK524543 GOF524543:GOG524543 GYB524543:GYC524543 HHX524543:HHY524543 HRT524543:HRU524543 IBP524543:IBQ524543 ILL524543:ILM524543 IVH524543:IVI524543 JFD524543:JFE524543 JOZ524543:JPA524543 JYV524543:JYW524543 KIR524543:KIS524543 KSN524543:KSO524543 LCJ524543:LCK524543 LMF524543:LMG524543 LWB524543:LWC524543 MFX524543:MFY524543 MPT524543:MPU524543 MZP524543:MZQ524543 NJL524543:NJM524543 NTH524543:NTI524543 ODD524543:ODE524543 OMZ524543:ONA524543 OWV524543:OWW524543 PGR524543:PGS524543 PQN524543:PQO524543 QAJ524543:QAK524543 QKF524543:QKG524543 QUB524543:QUC524543 RDX524543:RDY524543 RNT524543:RNU524543 RXP524543:RXQ524543 SHL524543:SHM524543 SRH524543:SRI524543 TBD524543:TBE524543 TKZ524543:TLA524543 TUV524543:TUW524543 UER524543:UES524543 UON524543:UOO524543 UYJ524543:UYK524543 VIF524543:VIG524543 VSB524543:VSC524543 WBX524543:WBY524543 WLT524543:WLU524543 WVP524543:WVQ524543 H590079:I590079 JD590079:JE590079 SZ590079:TA590079 ACV590079:ACW590079 AMR590079:AMS590079 AWN590079:AWO590079 BGJ590079:BGK590079 BQF590079:BQG590079 CAB590079:CAC590079 CJX590079:CJY590079 CTT590079:CTU590079 DDP590079:DDQ590079 DNL590079:DNM590079 DXH590079:DXI590079 EHD590079:EHE590079 EQZ590079:ERA590079 FAV590079:FAW590079 FKR590079:FKS590079 FUN590079:FUO590079 GEJ590079:GEK590079 GOF590079:GOG590079 GYB590079:GYC590079 HHX590079:HHY590079 HRT590079:HRU590079 IBP590079:IBQ590079 ILL590079:ILM590079 IVH590079:IVI590079 JFD590079:JFE590079 JOZ590079:JPA590079 JYV590079:JYW590079 KIR590079:KIS590079 KSN590079:KSO590079 LCJ590079:LCK590079 LMF590079:LMG590079 LWB590079:LWC590079 MFX590079:MFY590079 MPT590079:MPU590079 MZP590079:MZQ590079 NJL590079:NJM590079 NTH590079:NTI590079 ODD590079:ODE590079 OMZ590079:ONA590079 OWV590079:OWW590079 PGR590079:PGS590079 PQN590079:PQO590079 QAJ590079:QAK590079 QKF590079:QKG590079 QUB590079:QUC590079 RDX590079:RDY590079 RNT590079:RNU590079 RXP590079:RXQ590079 SHL590079:SHM590079 SRH590079:SRI590079 TBD590079:TBE590079 TKZ590079:TLA590079 TUV590079:TUW590079 UER590079:UES590079 UON590079:UOO590079 UYJ590079:UYK590079 VIF590079:VIG590079 VSB590079:VSC590079 WBX590079:WBY590079 WLT590079:WLU590079 WVP590079:WVQ590079 H655615:I655615 JD655615:JE655615 SZ655615:TA655615 ACV655615:ACW655615 AMR655615:AMS655615 AWN655615:AWO655615 BGJ655615:BGK655615 BQF655615:BQG655615 CAB655615:CAC655615 CJX655615:CJY655615 CTT655615:CTU655615 DDP655615:DDQ655615 DNL655615:DNM655615 DXH655615:DXI655615 EHD655615:EHE655615 EQZ655615:ERA655615 FAV655615:FAW655615 FKR655615:FKS655615 FUN655615:FUO655615 GEJ655615:GEK655615 GOF655615:GOG655615 GYB655615:GYC655615 HHX655615:HHY655615 HRT655615:HRU655615 IBP655615:IBQ655615 ILL655615:ILM655615 IVH655615:IVI655615 JFD655615:JFE655615 JOZ655615:JPA655615 JYV655615:JYW655615 KIR655615:KIS655615 KSN655615:KSO655615 LCJ655615:LCK655615 LMF655615:LMG655615 LWB655615:LWC655615 MFX655615:MFY655615 MPT655615:MPU655615 MZP655615:MZQ655615 NJL655615:NJM655615 NTH655615:NTI655615 ODD655615:ODE655615 OMZ655615:ONA655615 OWV655615:OWW655615 PGR655615:PGS655615 PQN655615:PQO655615 QAJ655615:QAK655615 QKF655615:QKG655615 QUB655615:QUC655615 RDX655615:RDY655615 RNT655615:RNU655615 RXP655615:RXQ655615 SHL655615:SHM655615 SRH655615:SRI655615 TBD655615:TBE655615 TKZ655615:TLA655615 TUV655615:TUW655615 UER655615:UES655615 UON655615:UOO655615 UYJ655615:UYK655615 VIF655615:VIG655615 VSB655615:VSC655615 WBX655615:WBY655615 WLT655615:WLU655615 WVP655615:WVQ655615 H721151:I721151 JD721151:JE721151 SZ721151:TA721151 ACV721151:ACW721151 AMR721151:AMS721151 AWN721151:AWO721151 BGJ721151:BGK721151 BQF721151:BQG721151 CAB721151:CAC721151 CJX721151:CJY721151 CTT721151:CTU721151 DDP721151:DDQ721151 DNL721151:DNM721151 DXH721151:DXI721151 EHD721151:EHE721151 EQZ721151:ERA721151 FAV721151:FAW721151 FKR721151:FKS721151 FUN721151:FUO721151 GEJ721151:GEK721151 GOF721151:GOG721151 GYB721151:GYC721151 HHX721151:HHY721151 HRT721151:HRU721151 IBP721151:IBQ721151 ILL721151:ILM721151 IVH721151:IVI721151 JFD721151:JFE721151 JOZ721151:JPA721151 JYV721151:JYW721151 KIR721151:KIS721151 KSN721151:KSO721151 LCJ721151:LCK721151 LMF721151:LMG721151 LWB721151:LWC721151 MFX721151:MFY721151 MPT721151:MPU721151 MZP721151:MZQ721151 NJL721151:NJM721151 NTH721151:NTI721151 ODD721151:ODE721151 OMZ721151:ONA721151 OWV721151:OWW721151 PGR721151:PGS721151 PQN721151:PQO721151 QAJ721151:QAK721151 QKF721151:QKG721151 QUB721151:QUC721151 RDX721151:RDY721151 RNT721151:RNU721151 RXP721151:RXQ721151 SHL721151:SHM721151 SRH721151:SRI721151 TBD721151:TBE721151 TKZ721151:TLA721151 TUV721151:TUW721151 UER721151:UES721151 UON721151:UOO721151 UYJ721151:UYK721151 VIF721151:VIG721151 VSB721151:VSC721151 WBX721151:WBY721151 WLT721151:WLU721151 WVP721151:WVQ721151 H786687:I786687 JD786687:JE786687 SZ786687:TA786687 ACV786687:ACW786687 AMR786687:AMS786687 AWN786687:AWO786687 BGJ786687:BGK786687 BQF786687:BQG786687 CAB786687:CAC786687 CJX786687:CJY786687 CTT786687:CTU786687 DDP786687:DDQ786687 DNL786687:DNM786687 DXH786687:DXI786687 EHD786687:EHE786687 EQZ786687:ERA786687 FAV786687:FAW786687 FKR786687:FKS786687 FUN786687:FUO786687 GEJ786687:GEK786687 GOF786687:GOG786687 GYB786687:GYC786687 HHX786687:HHY786687 HRT786687:HRU786687 IBP786687:IBQ786687 ILL786687:ILM786687 IVH786687:IVI786687 JFD786687:JFE786687 JOZ786687:JPA786687 JYV786687:JYW786687 KIR786687:KIS786687 KSN786687:KSO786687 LCJ786687:LCK786687 LMF786687:LMG786687 LWB786687:LWC786687 MFX786687:MFY786687 MPT786687:MPU786687 MZP786687:MZQ786687 NJL786687:NJM786687 NTH786687:NTI786687 ODD786687:ODE786687 OMZ786687:ONA786687 OWV786687:OWW786687 PGR786687:PGS786687 PQN786687:PQO786687 QAJ786687:QAK786687 QKF786687:QKG786687 QUB786687:QUC786687 RDX786687:RDY786687 RNT786687:RNU786687 RXP786687:RXQ786687 SHL786687:SHM786687 SRH786687:SRI786687 TBD786687:TBE786687 TKZ786687:TLA786687 TUV786687:TUW786687 UER786687:UES786687 UON786687:UOO786687 UYJ786687:UYK786687 VIF786687:VIG786687 VSB786687:VSC786687 WBX786687:WBY786687 WLT786687:WLU786687 WVP786687:WVQ786687 H852223:I852223 JD852223:JE852223 SZ852223:TA852223 ACV852223:ACW852223 AMR852223:AMS852223 AWN852223:AWO852223 BGJ852223:BGK852223 BQF852223:BQG852223 CAB852223:CAC852223 CJX852223:CJY852223 CTT852223:CTU852223 DDP852223:DDQ852223 DNL852223:DNM852223 DXH852223:DXI852223 EHD852223:EHE852223 EQZ852223:ERA852223 FAV852223:FAW852223 FKR852223:FKS852223 FUN852223:FUO852223 GEJ852223:GEK852223 GOF852223:GOG852223 GYB852223:GYC852223 HHX852223:HHY852223 HRT852223:HRU852223 IBP852223:IBQ852223 ILL852223:ILM852223 IVH852223:IVI852223 JFD852223:JFE852223 JOZ852223:JPA852223 JYV852223:JYW852223 KIR852223:KIS852223 KSN852223:KSO852223 LCJ852223:LCK852223 LMF852223:LMG852223 LWB852223:LWC852223 MFX852223:MFY852223 MPT852223:MPU852223 MZP852223:MZQ852223 NJL852223:NJM852223 NTH852223:NTI852223 ODD852223:ODE852223 OMZ852223:ONA852223 OWV852223:OWW852223 PGR852223:PGS852223 PQN852223:PQO852223 QAJ852223:QAK852223 QKF852223:QKG852223 QUB852223:QUC852223 RDX852223:RDY852223 RNT852223:RNU852223 RXP852223:RXQ852223 SHL852223:SHM852223 SRH852223:SRI852223 TBD852223:TBE852223 TKZ852223:TLA852223 TUV852223:TUW852223 UER852223:UES852223 UON852223:UOO852223 UYJ852223:UYK852223 VIF852223:VIG852223 VSB852223:VSC852223 WBX852223:WBY852223 WLT852223:WLU852223 WVP852223:WVQ852223 H917759:I917759 JD917759:JE917759 SZ917759:TA917759 ACV917759:ACW917759 AMR917759:AMS917759 AWN917759:AWO917759 BGJ917759:BGK917759 BQF917759:BQG917759 CAB917759:CAC917759 CJX917759:CJY917759 CTT917759:CTU917759 DDP917759:DDQ917759 DNL917759:DNM917759 DXH917759:DXI917759 EHD917759:EHE917759 EQZ917759:ERA917759 FAV917759:FAW917759 FKR917759:FKS917759 FUN917759:FUO917759 GEJ917759:GEK917759 GOF917759:GOG917759 GYB917759:GYC917759 HHX917759:HHY917759 HRT917759:HRU917759 IBP917759:IBQ917759 ILL917759:ILM917759 IVH917759:IVI917759 JFD917759:JFE917759 JOZ917759:JPA917759 JYV917759:JYW917759 KIR917759:KIS917759 KSN917759:KSO917759 LCJ917759:LCK917759 LMF917759:LMG917759 LWB917759:LWC917759 MFX917759:MFY917759 MPT917759:MPU917759 MZP917759:MZQ917759 NJL917759:NJM917759 NTH917759:NTI917759 ODD917759:ODE917759 OMZ917759:ONA917759 OWV917759:OWW917759 PGR917759:PGS917759 PQN917759:PQO917759 QAJ917759:QAK917759 QKF917759:QKG917759 QUB917759:QUC917759 RDX917759:RDY917759 RNT917759:RNU917759 RXP917759:RXQ917759 SHL917759:SHM917759 SRH917759:SRI917759 TBD917759:TBE917759 TKZ917759:TLA917759 TUV917759:TUW917759 UER917759:UES917759 UON917759:UOO917759 UYJ917759:UYK917759 VIF917759:VIG917759 VSB917759:VSC917759 WBX917759:WBY917759 WLT917759:WLU917759 WVP917759:WVQ917759 H983295:I983295 JD983295:JE983295 SZ983295:TA983295 ACV983295:ACW983295 AMR983295:AMS983295 AWN983295:AWO983295 BGJ983295:BGK983295 BQF983295:BQG983295 CAB983295:CAC983295 CJX983295:CJY983295 CTT983295:CTU983295 DDP983295:DDQ983295 DNL983295:DNM983295 DXH983295:DXI983295 EHD983295:EHE983295 EQZ983295:ERA983295 FAV983295:FAW983295 FKR983295:FKS983295 FUN983295:FUO983295 GEJ983295:GEK983295 GOF983295:GOG983295 GYB983295:GYC983295 HHX983295:HHY983295 HRT983295:HRU983295 IBP983295:IBQ983295 ILL983295:ILM983295 IVH983295:IVI983295 JFD983295:JFE983295 JOZ983295:JPA983295 JYV983295:JYW983295 KIR983295:KIS983295 KSN983295:KSO983295 LCJ983295:LCK983295 LMF983295:LMG983295 LWB983295:LWC983295 MFX983295:MFY983295 MPT983295:MPU983295 MZP983295:MZQ983295 NJL983295:NJM983295 NTH983295:NTI983295 ODD983295:ODE983295 OMZ983295:ONA983295 OWV983295:OWW983295 PGR983295:PGS983295 PQN983295:PQO983295 QAJ983295:QAK983295 QKF983295:QKG983295 QUB983295:QUC983295 RDX983295:RDY983295 RNT983295:RNU983295 RXP983295:RXQ983295 SHL983295:SHM983295 SRH983295:SRI983295 TBD983295:TBE983295 TKZ983295:TLA983295 TUV983295:TUW983295 UER983295:UES983295 UON983295:UOO983295 UYJ983295:UYK983295 VIF983295:VIG983295 VSB983295:VSC983295 WBX983295:WBY983295 WLT983295:WLU983295 WVP983295:WVQ983295" xr:uid="{829F5698-D998-4141-A195-3F00A1AD0B4E}"/>
  </dataValidations>
  <hyperlinks>
    <hyperlink ref="E270" r:id="rId1" xr:uid="{62D928E9-7D8B-4E93-943A-967133099B6B}"/>
  </hyperlinks>
  <pageMargins left="0.7" right="0.7" top="0.75" bottom="0.75" header="0.3" footer="0.3"/>
  <pageSetup orientation="portrait" verticalDpi="0"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F0B4F59-3FE4-4DBC-8B1D-3E9B6BD129D7}">
  <dimension ref="A1:G39"/>
  <sheetViews>
    <sheetView topLeftCell="A9" workbookViewId="0">
      <selection activeCell="E14" sqref="E14"/>
    </sheetView>
  </sheetViews>
  <sheetFormatPr defaultRowHeight="12.75" x14ac:dyDescent="0.2"/>
  <cols>
    <col min="1" max="1" width="43.28515625" customWidth="1"/>
    <col min="3" max="3" width="33.85546875" bestFit="1" customWidth="1"/>
    <col min="4" max="4" width="16.28515625" bestFit="1" customWidth="1"/>
    <col min="5" max="5" width="36" customWidth="1"/>
    <col min="7" max="7" width="11.7109375" bestFit="1" customWidth="1"/>
  </cols>
  <sheetData>
    <row r="1" spans="1:5" x14ac:dyDescent="0.2">
      <c r="A1" s="331"/>
    </row>
    <row r="3" spans="1:5" x14ac:dyDescent="0.2">
      <c r="A3" s="20" t="s">
        <v>255</v>
      </c>
      <c r="B3" s="20" t="s">
        <v>258</v>
      </c>
      <c r="C3" s="20" t="s">
        <v>259</v>
      </c>
      <c r="D3" s="20" t="s">
        <v>261</v>
      </c>
    </row>
    <row r="4" spans="1:5" x14ac:dyDescent="0.2">
      <c r="A4" s="20" t="s">
        <v>256</v>
      </c>
      <c r="B4">
        <v>112102</v>
      </c>
      <c r="C4" s="330">
        <v>3.4</v>
      </c>
      <c r="D4" s="354">
        <f>B4*C4</f>
        <v>381146.8</v>
      </c>
    </row>
    <row r="5" spans="1:5" x14ac:dyDescent="0.2">
      <c r="A5" s="20" t="s">
        <v>257</v>
      </c>
      <c r="B5">
        <v>396854</v>
      </c>
      <c r="C5" s="330">
        <v>3.4</v>
      </c>
      <c r="D5" s="354">
        <f>B5*C5</f>
        <v>1349303.5999999999</v>
      </c>
    </row>
    <row r="6" spans="1:5" ht="13.5" thickBot="1" x14ac:dyDescent="0.25">
      <c r="C6" s="20" t="s">
        <v>262</v>
      </c>
      <c r="D6" s="354">
        <f>D4+D5</f>
        <v>1730450.4</v>
      </c>
    </row>
    <row r="7" spans="1:5" ht="13.5" thickBot="1" x14ac:dyDescent="0.25">
      <c r="C7" s="20" t="s">
        <v>263</v>
      </c>
      <c r="D7" s="354">
        <f>D6*1.5</f>
        <v>2595675.5999999996</v>
      </c>
      <c r="E7" s="332" t="s">
        <v>270</v>
      </c>
    </row>
    <row r="8" spans="1:5" x14ac:dyDescent="0.2">
      <c r="C8" s="366" t="s">
        <v>265</v>
      </c>
      <c r="D8" s="367">
        <f>D6*5</f>
        <v>8652252</v>
      </c>
      <c r="E8" s="364" t="s">
        <v>267</v>
      </c>
    </row>
    <row r="9" spans="1:5" ht="13.5" thickBot="1" x14ac:dyDescent="0.25">
      <c r="C9" s="368" t="s">
        <v>264</v>
      </c>
      <c r="D9" s="369">
        <f>D8+(D7*15)</f>
        <v>47587385.999999993</v>
      </c>
      <c r="E9" s="365" t="s">
        <v>266</v>
      </c>
    </row>
    <row r="10" spans="1:5" x14ac:dyDescent="0.2">
      <c r="C10" s="20"/>
    </row>
    <row r="11" spans="1:5" x14ac:dyDescent="0.2">
      <c r="A11" s="370" t="s">
        <v>269</v>
      </c>
      <c r="B11" s="370"/>
      <c r="C11" s="370"/>
    </row>
    <row r="12" spans="1:5" x14ac:dyDescent="0.2">
      <c r="C12" s="20"/>
      <c r="E12">
        <f>76893/5</f>
        <v>15378.6</v>
      </c>
    </row>
    <row r="13" spans="1:5" x14ac:dyDescent="0.2">
      <c r="C13" s="20"/>
      <c r="D13" t="s">
        <v>325</v>
      </c>
      <c r="E13" t="s">
        <v>326</v>
      </c>
    </row>
    <row r="14" spans="1:5" ht="13.5" thickBot="1" x14ac:dyDescent="0.25">
      <c r="C14">
        <v>2025</v>
      </c>
      <c r="D14">
        <v>1730450</v>
      </c>
      <c r="E14">
        <v>15378.6</v>
      </c>
    </row>
    <row r="15" spans="1:5" ht="13.5" thickBot="1" x14ac:dyDescent="0.25">
      <c r="A15" s="350" t="s">
        <v>241</v>
      </c>
      <c r="B15" s="351"/>
      <c r="C15">
        <v>2026</v>
      </c>
      <c r="D15">
        <v>1730450</v>
      </c>
      <c r="E15">
        <v>15378.6</v>
      </c>
    </row>
    <row r="16" spans="1:5" ht="12.75" customHeight="1" x14ac:dyDescent="0.2">
      <c r="A16" s="352" t="s">
        <v>242</v>
      </c>
      <c r="B16" s="353"/>
      <c r="C16">
        <v>2027</v>
      </c>
      <c r="D16">
        <v>1730450</v>
      </c>
      <c r="E16">
        <v>15378.6</v>
      </c>
    </row>
    <row r="17" spans="1:7" x14ac:dyDescent="0.2">
      <c r="A17" s="334"/>
      <c r="B17" s="347"/>
      <c r="C17">
        <v>2028</v>
      </c>
      <c r="D17">
        <v>1730450</v>
      </c>
      <c r="E17">
        <v>15378.6</v>
      </c>
    </row>
    <row r="18" spans="1:7" x14ac:dyDescent="0.2">
      <c r="A18" s="334"/>
      <c r="B18" s="347"/>
      <c r="C18">
        <v>2029</v>
      </c>
      <c r="D18">
        <v>1730450</v>
      </c>
      <c r="E18">
        <v>15378.6</v>
      </c>
    </row>
    <row r="19" spans="1:7" x14ac:dyDescent="0.2">
      <c r="A19" s="334"/>
      <c r="B19" s="347"/>
      <c r="C19">
        <v>2030</v>
      </c>
      <c r="D19">
        <v>1730450</v>
      </c>
      <c r="E19">
        <v>15378.6</v>
      </c>
    </row>
    <row r="20" spans="1:7" ht="13.5" thickBot="1" x14ac:dyDescent="0.25">
      <c r="A20" s="348"/>
      <c r="B20" s="349"/>
      <c r="C20">
        <v>2031</v>
      </c>
      <c r="D20">
        <v>1730450</v>
      </c>
      <c r="E20">
        <v>15378.6</v>
      </c>
    </row>
    <row r="21" spans="1:7" x14ac:dyDescent="0.2">
      <c r="A21" s="346" t="s">
        <v>243</v>
      </c>
      <c r="B21" s="346" t="s">
        <v>244</v>
      </c>
      <c r="C21">
        <v>2032</v>
      </c>
      <c r="D21">
        <v>1730450</v>
      </c>
      <c r="E21">
        <v>15378.6</v>
      </c>
    </row>
    <row r="22" spans="1:7" x14ac:dyDescent="0.2">
      <c r="A22" s="344" t="s">
        <v>245</v>
      </c>
      <c r="B22" s="345">
        <v>27.5</v>
      </c>
      <c r="C22">
        <v>2033</v>
      </c>
      <c r="D22">
        <v>1730450</v>
      </c>
      <c r="E22">
        <v>15378.6</v>
      </c>
    </row>
    <row r="23" spans="1:7" x14ac:dyDescent="0.2">
      <c r="A23" s="338" t="s">
        <v>246</v>
      </c>
      <c r="B23" s="339">
        <v>27.5</v>
      </c>
      <c r="C23">
        <v>2034</v>
      </c>
      <c r="D23">
        <v>1730450</v>
      </c>
      <c r="E23">
        <v>15378.6</v>
      </c>
      <c r="G23" s="371"/>
    </row>
    <row r="24" spans="1:7" x14ac:dyDescent="0.2">
      <c r="A24" s="338" t="s">
        <v>247</v>
      </c>
      <c r="B24" s="339">
        <v>20.2</v>
      </c>
      <c r="C24">
        <v>2035</v>
      </c>
      <c r="D24">
        <v>1730450</v>
      </c>
      <c r="E24">
        <v>15378.6</v>
      </c>
      <c r="G24" s="308"/>
    </row>
    <row r="25" spans="1:7" x14ac:dyDescent="0.2">
      <c r="A25" s="338" t="s">
        <v>248</v>
      </c>
      <c r="B25" s="339">
        <v>20.2</v>
      </c>
      <c r="C25">
        <v>2036</v>
      </c>
      <c r="D25">
        <v>2595676</v>
      </c>
      <c r="E25">
        <v>16916.29</v>
      </c>
    </row>
    <row r="26" spans="1:7" x14ac:dyDescent="0.2">
      <c r="A26" s="340" t="s">
        <v>249</v>
      </c>
      <c r="B26" s="341">
        <v>3.4</v>
      </c>
      <c r="C26">
        <v>2037</v>
      </c>
      <c r="D26">
        <v>2595676</v>
      </c>
      <c r="E26">
        <v>16916.29</v>
      </c>
    </row>
    <row r="27" spans="1:7" x14ac:dyDescent="0.2">
      <c r="A27" s="338" t="s">
        <v>250</v>
      </c>
      <c r="B27" s="339">
        <v>3.4</v>
      </c>
      <c r="C27">
        <v>2038</v>
      </c>
      <c r="D27">
        <v>2595676</v>
      </c>
      <c r="E27">
        <v>16916.29</v>
      </c>
    </row>
    <row r="28" spans="1:7" x14ac:dyDescent="0.2">
      <c r="A28" s="338" t="s">
        <v>251</v>
      </c>
      <c r="B28" s="339">
        <v>6</v>
      </c>
      <c r="C28">
        <v>2039</v>
      </c>
      <c r="D28">
        <v>2595676</v>
      </c>
      <c r="E28">
        <v>16916.29</v>
      </c>
    </row>
    <row r="29" spans="1:7" ht="13.5" thickBot="1" x14ac:dyDescent="0.25">
      <c r="A29" s="342" t="s">
        <v>252</v>
      </c>
      <c r="B29" s="343">
        <v>6</v>
      </c>
      <c r="C29">
        <v>2040</v>
      </c>
      <c r="D29">
        <v>2595676</v>
      </c>
      <c r="E29">
        <v>16916.29</v>
      </c>
    </row>
    <row r="30" spans="1:7" x14ac:dyDescent="0.2">
      <c r="A30" s="309" t="s">
        <v>253</v>
      </c>
      <c r="B30" s="296"/>
      <c r="C30">
        <v>2041</v>
      </c>
      <c r="D30">
        <v>2595676</v>
      </c>
      <c r="E30">
        <v>16916.29</v>
      </c>
    </row>
    <row r="31" spans="1:7" x14ac:dyDescent="0.2">
      <c r="A31" s="309"/>
      <c r="B31" s="296"/>
      <c r="C31">
        <v>2042</v>
      </c>
      <c r="D31">
        <v>2595676</v>
      </c>
      <c r="E31">
        <v>16916.29</v>
      </c>
    </row>
    <row r="32" spans="1:7" ht="30" customHeight="1" x14ac:dyDescent="0.2">
      <c r="A32" s="310" t="s">
        <v>254</v>
      </c>
      <c r="B32" s="296"/>
      <c r="C32">
        <v>2043</v>
      </c>
      <c r="D32">
        <v>2595676</v>
      </c>
      <c r="E32">
        <v>16916.29</v>
      </c>
    </row>
    <row r="33" spans="1:5" ht="13.5" thickBot="1" x14ac:dyDescent="0.25">
      <c r="A33" s="336" t="s">
        <v>260</v>
      </c>
      <c r="B33" s="337"/>
      <c r="C33">
        <v>2044</v>
      </c>
      <c r="D33">
        <v>2595676</v>
      </c>
      <c r="E33">
        <v>16916.29</v>
      </c>
    </row>
    <row r="34" spans="1:5" x14ac:dyDescent="0.2">
      <c r="C34">
        <v>2045</v>
      </c>
      <c r="D34">
        <v>2595676</v>
      </c>
      <c r="E34">
        <v>16916.29</v>
      </c>
    </row>
    <row r="35" spans="1:5" x14ac:dyDescent="0.2">
      <c r="C35">
        <v>2046</v>
      </c>
      <c r="D35">
        <v>2595676</v>
      </c>
      <c r="E35">
        <v>16916.29</v>
      </c>
    </row>
    <row r="36" spans="1:5" x14ac:dyDescent="0.2">
      <c r="C36">
        <v>2047</v>
      </c>
      <c r="D36">
        <v>2595676</v>
      </c>
      <c r="E36">
        <v>16916.29</v>
      </c>
    </row>
    <row r="37" spans="1:5" x14ac:dyDescent="0.2">
      <c r="C37">
        <v>2048</v>
      </c>
      <c r="D37">
        <v>2595676</v>
      </c>
      <c r="E37">
        <v>16916.29</v>
      </c>
    </row>
    <row r="38" spans="1:5" x14ac:dyDescent="0.2">
      <c r="C38">
        <v>2049</v>
      </c>
      <c r="D38">
        <v>2595676</v>
      </c>
      <c r="E38">
        <v>16916.29</v>
      </c>
    </row>
    <row r="39" spans="1:5" x14ac:dyDescent="0.2">
      <c r="C39">
        <v>2050</v>
      </c>
      <c r="D39">
        <v>2595676</v>
      </c>
      <c r="E39">
        <v>16916.29</v>
      </c>
    </row>
  </sheetData>
  <mergeCells count="4">
    <mergeCell ref="A30:A31"/>
    <mergeCell ref="A16:B20"/>
    <mergeCell ref="A15:B15"/>
    <mergeCell ref="A11:C11"/>
  </mergeCells>
  <hyperlinks>
    <hyperlink ref="A33" r:id="rId1" xr:uid="{CAED998E-009C-4167-AF9A-2FD0D912AD67}"/>
    <hyperlink ref="A11" r:id="rId2" display="https://www.epa.gov/energy/greenhouse-gas-equivalencies-calculator" xr:uid="{3708E4A8-A1FB-4579-98A6-F6E2F185277D}"/>
  </hyperlink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EB081BD-F073-4640-846D-CFF9C24989A4}">
  <dimension ref="A2:H49"/>
  <sheetViews>
    <sheetView topLeftCell="A11" workbookViewId="0">
      <selection activeCell="E35" sqref="E35"/>
    </sheetView>
  </sheetViews>
  <sheetFormatPr defaultRowHeight="12.75" x14ac:dyDescent="0.2"/>
  <cols>
    <col min="2" max="2" width="24.85546875" customWidth="1"/>
    <col min="3" max="3" width="18" customWidth="1"/>
    <col min="4" max="4" width="27.5703125" customWidth="1"/>
    <col min="5" max="5" width="38.85546875" customWidth="1"/>
    <col min="7" max="7" width="5.140625" bestFit="1" customWidth="1"/>
    <col min="8" max="8" width="28.28515625" customWidth="1"/>
  </cols>
  <sheetData>
    <row r="2" spans="1:8" ht="13.5" thickBot="1" x14ac:dyDescent="0.25"/>
    <row r="3" spans="1:8" ht="16.5" thickBot="1" x14ac:dyDescent="0.3">
      <c r="A3" s="384"/>
      <c r="B3" s="373" t="s">
        <v>298</v>
      </c>
      <c r="C3" s="374"/>
      <c r="D3" s="374"/>
      <c r="E3" s="375"/>
      <c r="F3" s="385"/>
      <c r="G3" s="385"/>
      <c r="H3" s="333"/>
    </row>
    <row r="4" spans="1:8" x14ac:dyDescent="0.2">
      <c r="A4" s="335"/>
      <c r="B4" s="315"/>
      <c r="C4" s="315" t="s">
        <v>299</v>
      </c>
      <c r="D4" s="315"/>
      <c r="E4" s="315"/>
      <c r="F4" s="315"/>
      <c r="G4" s="315"/>
      <c r="H4" s="296"/>
    </row>
    <row r="5" spans="1:8" x14ac:dyDescent="0.2">
      <c r="A5" s="335"/>
      <c r="B5" s="315"/>
      <c r="C5" s="315"/>
      <c r="D5" s="315"/>
      <c r="E5" s="315"/>
      <c r="F5" s="315"/>
      <c r="G5" s="315"/>
      <c r="H5" s="296"/>
    </row>
    <row r="6" spans="1:8" x14ac:dyDescent="0.2">
      <c r="A6" s="335"/>
      <c r="B6" s="315"/>
      <c r="C6" s="315"/>
      <c r="D6" s="315"/>
      <c r="E6" s="315"/>
      <c r="F6" s="315"/>
      <c r="G6" s="315"/>
      <c r="H6" s="296"/>
    </row>
    <row r="7" spans="1:8" x14ac:dyDescent="0.2">
      <c r="A7" s="335"/>
      <c r="B7" s="315"/>
      <c r="C7" s="315"/>
      <c r="D7" s="315"/>
      <c r="E7" s="315"/>
      <c r="F7" s="315"/>
      <c r="G7" s="315"/>
      <c r="H7" s="296"/>
    </row>
    <row r="8" spans="1:8" x14ac:dyDescent="0.2">
      <c r="A8" s="386" t="s">
        <v>278</v>
      </c>
      <c r="B8" s="315"/>
      <c r="C8" s="315"/>
      <c r="D8" s="315"/>
      <c r="E8" s="315"/>
      <c r="F8" s="315"/>
      <c r="G8" s="315"/>
      <c r="H8" s="296"/>
    </row>
    <row r="9" spans="1:8" x14ac:dyDescent="0.2">
      <c r="A9" s="387" t="s">
        <v>280</v>
      </c>
      <c r="B9" s="315"/>
      <c r="C9" s="315"/>
      <c r="D9" s="315"/>
      <c r="E9" s="388" t="s">
        <v>281</v>
      </c>
      <c r="F9" s="315"/>
      <c r="G9" s="315"/>
      <c r="H9" s="296"/>
    </row>
    <row r="10" spans="1:8" ht="13.5" thickBot="1" x14ac:dyDescent="0.25">
      <c r="A10" s="387" t="s">
        <v>279</v>
      </c>
      <c r="B10" s="315"/>
      <c r="C10" s="315"/>
      <c r="D10" s="315"/>
      <c r="E10" s="389">
        <f>(10000*12)</f>
        <v>120000</v>
      </c>
      <c r="F10" s="315" t="s">
        <v>302</v>
      </c>
      <c r="G10" s="315"/>
      <c r="H10" s="296"/>
    </row>
    <row r="11" spans="1:8" x14ac:dyDescent="0.2">
      <c r="A11" s="387"/>
      <c r="B11" s="315"/>
      <c r="C11" s="315"/>
      <c r="D11" s="384" t="s">
        <v>282</v>
      </c>
      <c r="E11" s="333">
        <v>13</v>
      </c>
      <c r="F11" s="315"/>
      <c r="G11" s="315"/>
      <c r="H11" s="296"/>
    </row>
    <row r="12" spans="1:8" ht="13.5" thickBot="1" x14ac:dyDescent="0.25">
      <c r="A12" s="335"/>
      <c r="B12" s="315"/>
      <c r="C12" s="315"/>
      <c r="D12" s="390" t="s">
        <v>283</v>
      </c>
      <c r="E12" s="337">
        <v>20</v>
      </c>
      <c r="F12" s="315"/>
      <c r="G12" s="315"/>
      <c r="H12" s="296"/>
    </row>
    <row r="13" spans="1:8" x14ac:dyDescent="0.2">
      <c r="A13" s="335"/>
      <c r="B13" s="418" t="s">
        <v>300</v>
      </c>
      <c r="C13" s="418" t="s">
        <v>301</v>
      </c>
      <c r="D13" s="418"/>
      <c r="E13" s="419">
        <f>((460*(24*0.95))*365)</f>
        <v>3828119.9999999995</v>
      </c>
      <c r="F13" s="418" t="s">
        <v>303</v>
      </c>
      <c r="G13" s="418"/>
      <c r="H13" s="420"/>
    </row>
    <row r="14" spans="1:8" x14ac:dyDescent="0.2">
      <c r="A14" s="335"/>
      <c r="B14" s="315"/>
      <c r="C14" s="315"/>
      <c r="D14" s="315"/>
      <c r="E14" s="315"/>
      <c r="F14" s="315"/>
      <c r="G14" s="315"/>
      <c r="H14" s="296"/>
    </row>
    <row r="15" spans="1:8" x14ac:dyDescent="0.2">
      <c r="A15" s="335"/>
      <c r="B15" s="315"/>
      <c r="C15" s="315"/>
      <c r="D15" s="315"/>
      <c r="E15" s="315"/>
      <c r="F15" s="315"/>
      <c r="G15" s="315"/>
      <c r="H15" s="296"/>
    </row>
    <row r="16" spans="1:8" x14ac:dyDescent="0.2">
      <c r="A16" s="335"/>
      <c r="B16" s="315"/>
      <c r="C16" s="315"/>
      <c r="D16" s="315"/>
      <c r="E16" s="315" t="s">
        <v>304</v>
      </c>
      <c r="F16" s="315"/>
      <c r="G16" s="315"/>
      <c r="H16" s="296"/>
    </row>
    <row r="17" spans="1:8" x14ac:dyDescent="0.2">
      <c r="A17" s="335"/>
      <c r="B17" s="315"/>
      <c r="C17" s="315"/>
      <c r="D17" s="315" t="s">
        <v>285</v>
      </c>
      <c r="E17" s="389">
        <f>(E13-(13*120000))*5</f>
        <v>11340599.999999998</v>
      </c>
      <c r="F17" s="315"/>
      <c r="G17" s="315"/>
      <c r="H17" s="296"/>
    </row>
    <row r="18" spans="1:8" x14ac:dyDescent="0.2">
      <c r="A18" s="335"/>
      <c r="B18" s="315"/>
      <c r="C18" s="315"/>
      <c r="D18" s="315" t="s">
        <v>284</v>
      </c>
      <c r="E18" s="389">
        <f>((E13-(20*E10))*15)+(E17*2)</f>
        <v>44102999.999999985</v>
      </c>
      <c r="F18" s="315"/>
      <c r="G18" s="315"/>
      <c r="H18" s="296"/>
    </row>
    <row r="19" spans="1:8" ht="13.5" thickBot="1" x14ac:dyDescent="0.25">
      <c r="A19" s="335"/>
      <c r="B19" s="315"/>
      <c r="C19" s="315"/>
      <c r="D19" s="315"/>
      <c r="E19" s="315"/>
      <c r="F19" s="315"/>
      <c r="G19" s="315"/>
      <c r="H19" s="296"/>
    </row>
    <row r="20" spans="1:8" x14ac:dyDescent="0.2">
      <c r="A20" s="335"/>
      <c r="B20" s="315"/>
      <c r="C20" s="315"/>
      <c r="D20" s="382" t="s">
        <v>286</v>
      </c>
      <c r="E20" s="380">
        <v>7922</v>
      </c>
      <c r="F20" s="376" t="s">
        <v>288</v>
      </c>
      <c r="G20" s="376"/>
      <c r="H20" s="377"/>
    </row>
    <row r="21" spans="1:8" ht="13.5" thickBot="1" x14ac:dyDescent="0.25">
      <c r="A21" s="335"/>
      <c r="B21" s="315"/>
      <c r="C21" s="315"/>
      <c r="D21" s="383" t="s">
        <v>287</v>
      </c>
      <c r="E21" s="381">
        <v>30810</v>
      </c>
      <c r="F21" s="378" t="s">
        <v>288</v>
      </c>
      <c r="G21" s="378"/>
      <c r="H21" s="379"/>
    </row>
    <row r="22" spans="1:8" ht="13.5" thickBot="1" x14ac:dyDescent="0.25">
      <c r="A22" s="390"/>
      <c r="B22" s="391"/>
      <c r="C22" s="391"/>
      <c r="D22" s="391"/>
      <c r="E22" s="391"/>
      <c r="F22" s="391"/>
      <c r="G22" s="391"/>
      <c r="H22" s="337"/>
    </row>
    <row r="24" spans="1:8" x14ac:dyDescent="0.2">
      <c r="C24" t="s">
        <v>327</v>
      </c>
      <c r="D24">
        <v>2025</v>
      </c>
    </row>
    <row r="25" spans="1:8" x14ac:dyDescent="0.2">
      <c r="C25" t="s">
        <v>327</v>
      </c>
      <c r="D25">
        <v>2026</v>
      </c>
    </row>
    <row r="26" spans="1:8" x14ac:dyDescent="0.2">
      <c r="C26" t="s">
        <v>327</v>
      </c>
      <c r="D26" s="315">
        <v>2027</v>
      </c>
    </row>
    <row r="27" spans="1:8" x14ac:dyDescent="0.2">
      <c r="C27" t="s">
        <v>327</v>
      </c>
      <c r="D27">
        <v>2028</v>
      </c>
    </row>
    <row r="28" spans="1:8" x14ac:dyDescent="0.2">
      <c r="C28" t="s">
        <v>327</v>
      </c>
      <c r="D28">
        <v>2029</v>
      </c>
    </row>
    <row r="29" spans="1:8" x14ac:dyDescent="0.2">
      <c r="C29" t="s">
        <v>327</v>
      </c>
      <c r="D29" s="315">
        <v>2030</v>
      </c>
    </row>
    <row r="30" spans="1:8" x14ac:dyDescent="0.2">
      <c r="C30" t="s">
        <v>327</v>
      </c>
      <c r="D30">
        <v>2031</v>
      </c>
    </row>
    <row r="31" spans="1:8" x14ac:dyDescent="0.2">
      <c r="C31" t="s">
        <v>327</v>
      </c>
      <c r="D31">
        <v>2032</v>
      </c>
    </row>
    <row r="32" spans="1:8" x14ac:dyDescent="0.2">
      <c r="C32" t="s">
        <v>327</v>
      </c>
      <c r="D32" s="315">
        <v>2033</v>
      </c>
    </row>
    <row r="33" spans="3:5" x14ac:dyDescent="0.2">
      <c r="C33" t="s">
        <v>327</v>
      </c>
      <c r="D33">
        <v>2034</v>
      </c>
    </row>
    <row r="34" spans="3:5" x14ac:dyDescent="0.2">
      <c r="C34" s="437" t="s">
        <v>328</v>
      </c>
      <c r="D34" s="437">
        <v>2035</v>
      </c>
      <c r="E34" s="20" t="s">
        <v>329</v>
      </c>
    </row>
    <row r="35" spans="3:5" x14ac:dyDescent="0.2">
      <c r="C35" t="s">
        <v>328</v>
      </c>
      <c r="D35" s="315">
        <v>2036</v>
      </c>
    </row>
    <row r="36" spans="3:5" x14ac:dyDescent="0.2">
      <c r="C36" t="s">
        <v>328</v>
      </c>
      <c r="D36">
        <v>2037</v>
      </c>
    </row>
    <row r="37" spans="3:5" x14ac:dyDescent="0.2">
      <c r="C37" t="s">
        <v>328</v>
      </c>
      <c r="D37">
        <v>2038</v>
      </c>
    </row>
    <row r="38" spans="3:5" x14ac:dyDescent="0.2">
      <c r="C38" t="s">
        <v>328</v>
      </c>
      <c r="D38" s="315">
        <v>2039</v>
      </c>
    </row>
    <row r="39" spans="3:5" x14ac:dyDescent="0.2">
      <c r="C39" t="s">
        <v>328</v>
      </c>
      <c r="D39">
        <v>2040</v>
      </c>
    </row>
    <row r="40" spans="3:5" x14ac:dyDescent="0.2">
      <c r="C40" t="s">
        <v>328</v>
      </c>
      <c r="D40">
        <v>2041</v>
      </c>
    </row>
    <row r="41" spans="3:5" x14ac:dyDescent="0.2">
      <c r="C41" t="s">
        <v>328</v>
      </c>
      <c r="D41" s="315">
        <v>2042</v>
      </c>
    </row>
    <row r="42" spans="3:5" x14ac:dyDescent="0.2">
      <c r="C42" t="s">
        <v>328</v>
      </c>
      <c r="D42">
        <v>2043</v>
      </c>
    </row>
    <row r="43" spans="3:5" x14ac:dyDescent="0.2">
      <c r="C43" t="s">
        <v>328</v>
      </c>
      <c r="D43">
        <v>2044</v>
      </c>
    </row>
    <row r="44" spans="3:5" x14ac:dyDescent="0.2">
      <c r="C44" t="s">
        <v>328</v>
      </c>
      <c r="D44" s="315">
        <v>2045</v>
      </c>
    </row>
    <row r="45" spans="3:5" x14ac:dyDescent="0.2">
      <c r="C45" t="s">
        <v>328</v>
      </c>
      <c r="D45">
        <v>2046</v>
      </c>
    </row>
    <row r="46" spans="3:5" x14ac:dyDescent="0.2">
      <c r="C46" t="s">
        <v>328</v>
      </c>
      <c r="D46">
        <v>2047</v>
      </c>
    </row>
    <row r="47" spans="3:5" x14ac:dyDescent="0.2">
      <c r="C47" t="s">
        <v>328</v>
      </c>
      <c r="D47" s="315">
        <v>2048</v>
      </c>
    </row>
    <row r="48" spans="3:5" x14ac:dyDescent="0.2">
      <c r="C48" t="s">
        <v>328</v>
      </c>
      <c r="D48">
        <v>2049</v>
      </c>
    </row>
    <row r="49" spans="3:4" x14ac:dyDescent="0.2">
      <c r="C49" t="s">
        <v>328</v>
      </c>
      <c r="D49">
        <v>2050</v>
      </c>
    </row>
  </sheetData>
  <mergeCells count="1">
    <mergeCell ref="B3:E3"/>
  </mergeCells>
  <phoneticPr fontId="52" type="noConversion"/>
  <hyperlinks>
    <hyperlink ref="A8" r:id="rId1" xr:uid="{3226357F-72B4-479E-8031-9A43D5554D99}"/>
  </hyperlink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9EFF42-264C-44FE-87B6-5C80902903D5}">
  <dimension ref="A2:H47"/>
  <sheetViews>
    <sheetView topLeftCell="A15" workbookViewId="0">
      <selection activeCell="D51" sqref="D51"/>
    </sheetView>
  </sheetViews>
  <sheetFormatPr defaultRowHeight="12.75" x14ac:dyDescent="0.2"/>
  <cols>
    <col min="1" max="1" width="21.5703125" customWidth="1"/>
    <col min="2" max="2" width="24.85546875" customWidth="1"/>
    <col min="3" max="3" width="13.5703125" customWidth="1"/>
    <col min="4" max="4" width="27.5703125" customWidth="1"/>
    <col min="5" max="5" width="38.85546875" customWidth="1"/>
    <col min="6" max="6" width="11.85546875" customWidth="1"/>
    <col min="7" max="7" width="10.140625" customWidth="1"/>
    <col min="8" max="8" width="53.42578125" customWidth="1"/>
  </cols>
  <sheetData>
    <row r="2" spans="1:8" ht="13.5" thickBot="1" x14ac:dyDescent="0.25"/>
    <row r="3" spans="1:8" ht="16.5" thickBot="1" x14ac:dyDescent="0.3">
      <c r="A3" s="384"/>
      <c r="B3" s="373" t="s">
        <v>296</v>
      </c>
      <c r="C3" s="374"/>
      <c r="D3" s="374"/>
      <c r="E3" s="375"/>
      <c r="F3" s="385"/>
      <c r="G3" s="385"/>
      <c r="H3" s="333"/>
    </row>
    <row r="4" spans="1:8" x14ac:dyDescent="0.2">
      <c r="A4" s="335"/>
      <c r="B4" s="315"/>
      <c r="C4" s="315"/>
      <c r="D4" s="315"/>
      <c r="E4" s="315"/>
      <c r="F4" s="315"/>
      <c r="G4" s="315"/>
      <c r="H4" s="296"/>
    </row>
    <row r="5" spans="1:8" x14ac:dyDescent="0.2">
      <c r="A5" s="335"/>
      <c r="B5" s="315"/>
      <c r="C5" s="315"/>
      <c r="D5" s="315"/>
      <c r="E5" s="315"/>
      <c r="F5" s="315"/>
      <c r="G5" s="315"/>
      <c r="H5" s="296"/>
    </row>
    <row r="6" spans="1:8" x14ac:dyDescent="0.2">
      <c r="A6" s="386" t="s">
        <v>271</v>
      </c>
      <c r="B6" s="315"/>
      <c r="C6" s="315"/>
      <c r="D6" s="315"/>
      <c r="E6" s="315"/>
      <c r="F6" s="315"/>
      <c r="G6" s="315"/>
      <c r="H6" s="296"/>
    </row>
    <row r="7" spans="1:8" x14ac:dyDescent="0.2">
      <c r="A7" s="387" t="s">
        <v>272</v>
      </c>
      <c r="B7" s="315"/>
      <c r="C7" s="315"/>
      <c r="D7" s="315"/>
      <c r="E7" s="315"/>
      <c r="F7" s="315"/>
      <c r="G7" s="315"/>
      <c r="H7" s="296"/>
    </row>
    <row r="8" spans="1:8" x14ac:dyDescent="0.2">
      <c r="A8" s="387" t="s">
        <v>273</v>
      </c>
      <c r="B8" s="315"/>
      <c r="C8" s="315"/>
      <c r="D8" s="315"/>
      <c r="E8" s="315"/>
      <c r="F8" s="315"/>
      <c r="G8" s="315"/>
      <c r="H8" s="296"/>
    </row>
    <row r="9" spans="1:8" ht="13.5" thickBot="1" x14ac:dyDescent="0.25">
      <c r="A9" s="335" t="s">
        <v>313</v>
      </c>
      <c r="B9" s="315"/>
      <c r="C9" s="315"/>
      <c r="D9" s="315"/>
      <c r="E9" s="315"/>
      <c r="F9" s="315"/>
      <c r="G9" s="315"/>
      <c r="H9" s="296"/>
    </row>
    <row r="10" spans="1:8" x14ac:dyDescent="0.2">
      <c r="A10" s="335"/>
      <c r="B10" s="393" t="s">
        <v>274</v>
      </c>
      <c r="C10" s="413" t="s">
        <v>275</v>
      </c>
      <c r="D10" s="414" t="s">
        <v>276</v>
      </c>
      <c r="E10" s="415" t="s">
        <v>277</v>
      </c>
      <c r="F10" s="315"/>
      <c r="G10" s="315"/>
      <c r="H10" s="296"/>
    </row>
    <row r="11" spans="1:8" ht="13.5" thickBot="1" x14ac:dyDescent="0.25">
      <c r="A11" s="335"/>
      <c r="B11" s="342">
        <v>5</v>
      </c>
      <c r="C11" s="322">
        <v>6</v>
      </c>
      <c r="D11" s="416">
        <f>(8760/4)*5</f>
        <v>10950</v>
      </c>
      <c r="E11" s="417">
        <f>D11*1000</f>
        <v>10950000</v>
      </c>
      <c r="F11" s="315"/>
      <c r="G11" s="315"/>
      <c r="H11" s="296"/>
    </row>
    <row r="12" spans="1:8" x14ac:dyDescent="0.2">
      <c r="A12" s="335"/>
      <c r="B12" s="315"/>
      <c r="C12" s="315"/>
      <c r="D12" s="315"/>
      <c r="E12" s="315"/>
      <c r="F12" s="315"/>
      <c r="G12" s="315"/>
      <c r="H12" s="296"/>
    </row>
    <row r="13" spans="1:8" ht="13.5" thickBot="1" x14ac:dyDescent="0.25">
      <c r="A13" s="335"/>
      <c r="B13" s="315"/>
      <c r="C13" s="315"/>
      <c r="D13" s="315"/>
      <c r="E13" s="315"/>
      <c r="F13" s="315"/>
      <c r="G13" s="411" t="s">
        <v>268</v>
      </c>
      <c r="H13" s="296"/>
    </row>
    <row r="14" spans="1:8" ht="13.5" thickBot="1" x14ac:dyDescent="0.25">
      <c r="A14" s="335"/>
      <c r="B14" s="315"/>
      <c r="C14" s="315"/>
      <c r="D14" s="382" t="s">
        <v>286</v>
      </c>
      <c r="E14" s="389">
        <f>E11*5</f>
        <v>54750000</v>
      </c>
      <c r="F14" s="315" t="s">
        <v>297</v>
      </c>
      <c r="G14" s="412">
        <v>38248</v>
      </c>
      <c r="H14" s="372" t="s">
        <v>288</v>
      </c>
    </row>
    <row r="15" spans="1:8" ht="13.5" thickBot="1" x14ac:dyDescent="0.25">
      <c r="A15" s="335"/>
      <c r="B15" s="315"/>
      <c r="C15" s="315"/>
      <c r="D15" s="383" t="s">
        <v>287</v>
      </c>
      <c r="E15" s="389">
        <f>E11*25</f>
        <v>273750000</v>
      </c>
      <c r="F15" s="315" t="s">
        <v>297</v>
      </c>
      <c r="G15" s="412">
        <v>191239</v>
      </c>
      <c r="H15" s="372" t="s">
        <v>288</v>
      </c>
    </row>
    <row r="16" spans="1:8" x14ac:dyDescent="0.2">
      <c r="A16" s="335"/>
      <c r="B16" s="315"/>
      <c r="C16" s="315"/>
      <c r="D16" s="315"/>
      <c r="E16" s="315"/>
      <c r="F16" s="315"/>
      <c r="G16" s="315"/>
      <c r="H16" s="296"/>
    </row>
    <row r="17" spans="1:8" ht="13.5" thickBot="1" x14ac:dyDescent="0.25">
      <c r="A17" s="390"/>
      <c r="B17" s="391"/>
      <c r="C17" s="391"/>
      <c r="D17" s="391"/>
      <c r="E17" s="391"/>
      <c r="F17" s="391"/>
      <c r="G17" s="391"/>
      <c r="H17" s="337"/>
    </row>
    <row r="18" spans="1:8" x14ac:dyDescent="0.2">
      <c r="B18" t="s">
        <v>315</v>
      </c>
      <c r="D18" t="s">
        <v>316</v>
      </c>
    </row>
    <row r="19" spans="1:8" x14ac:dyDescent="0.2">
      <c r="B19" s="6" t="s">
        <v>314</v>
      </c>
      <c r="D19" t="s">
        <v>317</v>
      </c>
    </row>
    <row r="20" spans="1:8" x14ac:dyDescent="0.2">
      <c r="A20">
        <v>2025</v>
      </c>
      <c r="B20" s="354">
        <v>10950000</v>
      </c>
      <c r="D20" s="371">
        <f>B20*6</f>
        <v>65700000</v>
      </c>
    </row>
    <row r="21" spans="1:8" x14ac:dyDescent="0.2">
      <c r="A21">
        <v>2026</v>
      </c>
      <c r="B21" s="354">
        <v>10950000</v>
      </c>
      <c r="D21" s="371">
        <f t="shared" ref="D21:D45" si="0">B21*6</f>
        <v>65700000</v>
      </c>
    </row>
    <row r="22" spans="1:8" x14ac:dyDescent="0.2">
      <c r="A22">
        <v>2027</v>
      </c>
      <c r="B22" s="354">
        <v>10950000</v>
      </c>
      <c r="D22" s="371">
        <f t="shared" si="0"/>
        <v>65700000</v>
      </c>
    </row>
    <row r="23" spans="1:8" x14ac:dyDescent="0.2">
      <c r="A23">
        <v>2028</v>
      </c>
      <c r="B23" s="354">
        <v>10950000</v>
      </c>
      <c r="D23" s="371">
        <f t="shared" si="0"/>
        <v>65700000</v>
      </c>
    </row>
    <row r="24" spans="1:8" x14ac:dyDescent="0.2">
      <c r="A24">
        <v>2029</v>
      </c>
      <c r="B24" s="354">
        <v>10950000</v>
      </c>
      <c r="D24" s="371">
        <f t="shared" si="0"/>
        <v>65700000</v>
      </c>
    </row>
    <row r="25" spans="1:8" x14ac:dyDescent="0.2">
      <c r="A25">
        <v>2030</v>
      </c>
      <c r="B25" s="354">
        <v>10950000</v>
      </c>
      <c r="D25" s="371">
        <f t="shared" si="0"/>
        <v>65700000</v>
      </c>
    </row>
    <row r="26" spans="1:8" x14ac:dyDescent="0.2">
      <c r="A26">
        <v>2031</v>
      </c>
      <c r="B26" s="354">
        <v>10950000</v>
      </c>
      <c r="D26" s="371">
        <f t="shared" si="0"/>
        <v>65700000</v>
      </c>
    </row>
    <row r="27" spans="1:8" x14ac:dyDescent="0.2">
      <c r="A27">
        <v>2032</v>
      </c>
      <c r="B27" s="354">
        <v>10950000</v>
      </c>
      <c r="D27" s="371">
        <f t="shared" si="0"/>
        <v>65700000</v>
      </c>
    </row>
    <row r="28" spans="1:8" x14ac:dyDescent="0.2">
      <c r="A28">
        <v>2033</v>
      </c>
      <c r="B28" s="354">
        <v>10950000</v>
      </c>
      <c r="D28" s="371">
        <f t="shared" si="0"/>
        <v>65700000</v>
      </c>
    </row>
    <row r="29" spans="1:8" x14ac:dyDescent="0.2">
      <c r="A29">
        <v>2034</v>
      </c>
      <c r="B29" s="354">
        <v>10950000</v>
      </c>
      <c r="D29" s="371">
        <f t="shared" si="0"/>
        <v>65700000</v>
      </c>
    </row>
    <row r="30" spans="1:8" x14ac:dyDescent="0.2">
      <c r="A30">
        <v>2035</v>
      </c>
      <c r="B30" s="354">
        <v>10950000</v>
      </c>
      <c r="D30" s="371">
        <f t="shared" si="0"/>
        <v>65700000</v>
      </c>
    </row>
    <row r="31" spans="1:8" x14ac:dyDescent="0.2">
      <c r="A31">
        <v>2036</v>
      </c>
      <c r="B31" s="354">
        <v>10950000</v>
      </c>
      <c r="D31" s="371">
        <f t="shared" si="0"/>
        <v>65700000</v>
      </c>
    </row>
    <row r="32" spans="1:8" x14ac:dyDescent="0.2">
      <c r="A32">
        <v>2037</v>
      </c>
      <c r="B32" s="354">
        <v>10950000</v>
      </c>
      <c r="D32" s="371">
        <f t="shared" si="0"/>
        <v>65700000</v>
      </c>
    </row>
    <row r="33" spans="1:5" x14ac:dyDescent="0.2">
      <c r="A33">
        <v>2038</v>
      </c>
      <c r="B33" s="354">
        <v>10950000</v>
      </c>
      <c r="D33" s="371">
        <f t="shared" si="0"/>
        <v>65700000</v>
      </c>
    </row>
    <row r="34" spans="1:5" x14ac:dyDescent="0.2">
      <c r="A34">
        <v>2039</v>
      </c>
      <c r="B34" s="354">
        <v>10950000</v>
      </c>
      <c r="D34" s="371">
        <f t="shared" si="0"/>
        <v>65700000</v>
      </c>
    </row>
    <row r="35" spans="1:5" x14ac:dyDescent="0.2">
      <c r="A35">
        <v>2040</v>
      </c>
      <c r="B35" s="354">
        <v>10950000</v>
      </c>
      <c r="D35" s="371">
        <f t="shared" si="0"/>
        <v>65700000</v>
      </c>
    </row>
    <row r="36" spans="1:5" x14ac:dyDescent="0.2">
      <c r="A36">
        <v>2041</v>
      </c>
      <c r="B36" s="354">
        <v>10950000</v>
      </c>
      <c r="D36" s="371">
        <f t="shared" si="0"/>
        <v>65700000</v>
      </c>
    </row>
    <row r="37" spans="1:5" x14ac:dyDescent="0.2">
      <c r="A37">
        <v>2042</v>
      </c>
      <c r="B37" s="354">
        <v>10950000</v>
      </c>
      <c r="D37" s="371">
        <f t="shared" si="0"/>
        <v>65700000</v>
      </c>
    </row>
    <row r="38" spans="1:5" x14ac:dyDescent="0.2">
      <c r="A38">
        <v>2043</v>
      </c>
      <c r="B38" s="354">
        <v>10950000</v>
      </c>
      <c r="D38" s="371">
        <f t="shared" si="0"/>
        <v>65700000</v>
      </c>
    </row>
    <row r="39" spans="1:5" x14ac:dyDescent="0.2">
      <c r="A39">
        <v>2044</v>
      </c>
      <c r="B39" s="354">
        <v>10950000</v>
      </c>
      <c r="D39" s="371">
        <f t="shared" si="0"/>
        <v>65700000</v>
      </c>
    </row>
    <row r="40" spans="1:5" x14ac:dyDescent="0.2">
      <c r="A40">
        <v>2045</v>
      </c>
      <c r="B40" s="354">
        <v>10950000</v>
      </c>
      <c r="D40" s="371">
        <f t="shared" si="0"/>
        <v>65700000</v>
      </c>
    </row>
    <row r="41" spans="1:5" x14ac:dyDescent="0.2">
      <c r="A41">
        <v>2046</v>
      </c>
      <c r="B41" s="354">
        <v>10950000</v>
      </c>
      <c r="D41" s="371">
        <f t="shared" si="0"/>
        <v>65700000</v>
      </c>
    </row>
    <row r="42" spans="1:5" x14ac:dyDescent="0.2">
      <c r="A42">
        <v>2047</v>
      </c>
      <c r="B42" s="354">
        <v>10950000</v>
      </c>
      <c r="D42" s="371">
        <f t="shared" si="0"/>
        <v>65700000</v>
      </c>
    </row>
    <row r="43" spans="1:5" x14ac:dyDescent="0.2">
      <c r="A43">
        <v>2048</v>
      </c>
      <c r="B43" s="354">
        <v>10950000</v>
      </c>
      <c r="D43" s="371">
        <f t="shared" si="0"/>
        <v>65700000</v>
      </c>
    </row>
    <row r="44" spans="1:5" x14ac:dyDescent="0.2">
      <c r="A44">
        <v>2049</v>
      </c>
      <c r="B44" s="354">
        <v>10950000</v>
      </c>
      <c r="D44" s="371">
        <f t="shared" si="0"/>
        <v>65700000</v>
      </c>
    </row>
    <row r="45" spans="1:5" x14ac:dyDescent="0.2">
      <c r="A45">
        <v>2050</v>
      </c>
      <c r="B45" s="354" t="s">
        <v>319</v>
      </c>
      <c r="D45" s="371" t="s">
        <v>319</v>
      </c>
    </row>
    <row r="46" spans="1:5" ht="13.5" thickBot="1" x14ac:dyDescent="0.25">
      <c r="A46" t="s">
        <v>318</v>
      </c>
      <c r="B46" s="371">
        <f>SUM(B20:B45)</f>
        <v>273750000</v>
      </c>
      <c r="C46" s="371"/>
      <c r="D46" s="371">
        <f t="shared" ref="C46:D46" si="1">SUM(D20:D45)</f>
        <v>1642500000</v>
      </c>
      <c r="E46" t="s">
        <v>321</v>
      </c>
    </row>
    <row r="47" spans="1:5" ht="13.5" thickBot="1" x14ac:dyDescent="0.25">
      <c r="A47" t="s">
        <v>320</v>
      </c>
      <c r="B47" s="412">
        <v>191239</v>
      </c>
      <c r="D47">
        <f>B47*6</f>
        <v>1147434</v>
      </c>
      <c r="E47">
        <f>D47-B47</f>
        <v>956195</v>
      </c>
    </row>
  </sheetData>
  <mergeCells count="1">
    <mergeCell ref="B3:E3"/>
  </mergeCells>
  <hyperlinks>
    <hyperlink ref="A6" r:id="rId1" xr:uid="{FBFECCF5-79B8-4688-A331-A6C22EFD4872}"/>
    <hyperlink ref="G13" r:id="rId2" xr:uid="{3B6CC99B-820D-40EA-8C5F-09B0A722AE16}"/>
  </hyperlinks>
  <pageMargins left="0.7" right="0.7" top="0.75" bottom="0.75" header="0.3" footer="0.3"/>
  <pageSetup orientation="portrait" verticalDpi="0"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A1:P75"/>
  <sheetViews>
    <sheetView zoomScaleNormal="100" workbookViewId="0">
      <selection sqref="A1:D1"/>
    </sheetView>
  </sheetViews>
  <sheetFormatPr defaultColWidth="9.140625" defaultRowHeight="12.75" x14ac:dyDescent="0.2"/>
  <cols>
    <col min="1" max="1" width="1.85546875" style="14" customWidth="1"/>
    <col min="2" max="2" width="9" style="14" customWidth="1"/>
    <col min="3" max="3" width="14.7109375" style="14" customWidth="1"/>
    <col min="4" max="4" width="15.5703125" style="14" customWidth="1"/>
    <col min="5" max="5" width="3.140625" style="14" customWidth="1"/>
    <col min="6" max="6" width="6.7109375" style="14" customWidth="1"/>
    <col min="7" max="7" width="6.140625" style="14" customWidth="1"/>
    <col min="8" max="8" width="24.85546875" style="14" customWidth="1"/>
    <col min="9" max="9" width="14" style="14" customWidth="1"/>
    <col min="10" max="10" width="5.42578125" style="14" customWidth="1"/>
    <col min="11" max="11" width="3.7109375" style="14" customWidth="1"/>
    <col min="12" max="12" width="9.42578125" style="14" customWidth="1"/>
    <col min="13" max="13" width="18.28515625" style="14" customWidth="1"/>
    <col min="14" max="14" width="6.28515625" style="14" customWidth="1"/>
    <col min="15" max="15" width="9.140625" style="14"/>
    <col min="16" max="16" width="13.42578125" style="14" customWidth="1"/>
    <col min="17" max="16384" width="9.140625" style="14"/>
  </cols>
  <sheetData>
    <row r="1" spans="1:13" ht="18" x14ac:dyDescent="0.25">
      <c r="A1" s="192" t="s">
        <v>7</v>
      </c>
      <c r="B1" s="192"/>
      <c r="C1" s="192"/>
      <c r="D1" s="192"/>
      <c r="E1" s="193" t="s">
        <v>54</v>
      </c>
      <c r="F1" s="193"/>
      <c r="G1" s="193"/>
      <c r="H1" s="59"/>
      <c r="I1" s="48"/>
      <c r="J1" s="48"/>
      <c r="K1" s="48"/>
      <c r="L1" s="48"/>
      <c r="M1" s="48"/>
    </row>
    <row r="2" spans="1:13" x14ac:dyDescent="0.2">
      <c r="A2" s="48"/>
      <c r="B2" s="48"/>
      <c r="C2" s="48"/>
      <c r="D2" s="48"/>
      <c r="E2" s="48"/>
      <c r="F2" s="48"/>
      <c r="G2" s="48"/>
      <c r="H2" s="48"/>
      <c r="I2" s="48"/>
      <c r="J2" s="48"/>
      <c r="K2" s="48"/>
      <c r="L2" s="48"/>
      <c r="M2" s="48"/>
    </row>
    <row r="3" spans="1:13" x14ac:dyDescent="0.2">
      <c r="A3" s="48"/>
      <c r="B3" s="44" t="s">
        <v>38</v>
      </c>
      <c r="C3" s="45"/>
      <c r="D3" s="45"/>
      <c r="E3" s="45"/>
      <c r="F3" s="45"/>
      <c r="G3" s="45"/>
      <c r="H3" s="45"/>
      <c r="I3" s="45"/>
      <c r="J3" s="45"/>
      <c r="K3" s="45"/>
      <c r="L3" s="45"/>
      <c r="M3" s="46"/>
    </row>
    <row r="4" spans="1:13" x14ac:dyDescent="0.2">
      <c r="A4" s="48"/>
      <c r="B4" s="47" t="s">
        <v>33</v>
      </c>
      <c r="C4" s="48"/>
      <c r="D4" s="48"/>
      <c r="E4" s="48"/>
      <c r="F4" s="48"/>
      <c r="G4" s="48"/>
      <c r="H4" s="48"/>
      <c r="I4" s="48"/>
      <c r="J4" s="48"/>
      <c r="K4" s="48"/>
      <c r="L4" s="48"/>
      <c r="M4" s="49"/>
    </row>
    <row r="5" spans="1:13" ht="15" customHeight="1" x14ac:dyDescent="0.2">
      <c r="A5" s="48"/>
      <c r="B5" s="50">
        <v>8760</v>
      </c>
      <c r="C5" s="48" t="s">
        <v>4</v>
      </c>
      <c r="D5" s="48"/>
      <c r="E5" s="48"/>
      <c r="F5" s="48"/>
      <c r="G5" s="48"/>
      <c r="H5" s="48"/>
      <c r="I5" s="48"/>
      <c r="J5" s="48"/>
      <c r="K5" s="48"/>
      <c r="L5" s="48"/>
      <c r="M5" s="49"/>
    </row>
    <row r="6" spans="1:13" ht="15" customHeight="1" x14ac:dyDescent="0.2">
      <c r="A6" s="48"/>
      <c r="B6" s="51">
        <v>365</v>
      </c>
      <c r="C6" s="48" t="s">
        <v>6</v>
      </c>
      <c r="D6" s="48"/>
      <c r="E6" s="48"/>
      <c r="F6" s="48"/>
      <c r="G6" s="48"/>
      <c r="H6" s="48"/>
      <c r="I6" s="48"/>
      <c r="J6" s="48"/>
      <c r="K6" s="48"/>
      <c r="L6" s="48"/>
      <c r="M6" s="49"/>
    </row>
    <row r="7" spans="1:13" ht="15" customHeight="1" x14ac:dyDescent="0.2">
      <c r="A7" s="48"/>
      <c r="B7" s="51">
        <v>24</v>
      </c>
      <c r="C7" s="48" t="s">
        <v>25</v>
      </c>
      <c r="D7" s="48"/>
      <c r="E7" s="48"/>
      <c r="F7" s="48"/>
      <c r="G7" s="48"/>
      <c r="H7" s="48"/>
      <c r="I7" s="48"/>
      <c r="J7" s="48"/>
      <c r="K7" s="48"/>
      <c r="L7" s="48"/>
      <c r="M7" s="49"/>
    </row>
    <row r="8" spans="1:13" ht="15" customHeight="1" x14ac:dyDescent="0.2">
      <c r="A8" s="48"/>
      <c r="B8" s="51">
        <v>60</v>
      </c>
      <c r="C8" s="48" t="s">
        <v>26</v>
      </c>
      <c r="D8" s="48"/>
      <c r="E8" s="48"/>
      <c r="F8" s="48"/>
      <c r="G8" s="48"/>
      <c r="H8" s="48"/>
      <c r="I8" s="48"/>
      <c r="J8" s="48"/>
      <c r="K8" s="48"/>
      <c r="L8" s="48"/>
      <c r="M8" s="49"/>
    </row>
    <row r="9" spans="1:13" ht="15" customHeight="1" x14ac:dyDescent="0.2">
      <c r="A9" s="48"/>
      <c r="B9" s="52">
        <v>1000</v>
      </c>
      <c r="C9" s="48" t="s">
        <v>20</v>
      </c>
      <c r="D9" s="48"/>
      <c r="E9" s="48"/>
      <c r="F9" s="48"/>
      <c r="G9" s="48"/>
      <c r="H9" s="48"/>
      <c r="I9" s="48"/>
      <c r="J9" s="48"/>
      <c r="K9" s="48"/>
      <c r="L9" s="48"/>
      <c r="M9" s="49"/>
    </row>
    <row r="10" spans="1:13" ht="15" customHeight="1" x14ac:dyDescent="0.2">
      <c r="A10" s="48"/>
      <c r="B10" s="50">
        <v>2000</v>
      </c>
      <c r="C10" s="48" t="s">
        <v>16</v>
      </c>
      <c r="D10" s="48"/>
      <c r="E10" s="48"/>
      <c r="F10" s="48"/>
      <c r="G10" s="48"/>
      <c r="H10" s="48"/>
      <c r="I10" s="48"/>
      <c r="J10" s="48"/>
      <c r="K10" s="48"/>
      <c r="L10" s="48"/>
      <c r="M10" s="49"/>
    </row>
    <row r="11" spans="1:13" ht="15" customHeight="1" x14ac:dyDescent="0.2">
      <c r="A11" s="48"/>
      <c r="B11" s="53">
        <v>0.90720000000000001</v>
      </c>
      <c r="C11" s="48" t="s">
        <v>5</v>
      </c>
      <c r="D11" s="48"/>
      <c r="E11" s="48"/>
      <c r="F11" s="48"/>
      <c r="G11" s="48"/>
      <c r="H11" s="48"/>
      <c r="I11" s="48"/>
      <c r="J11" s="48"/>
      <c r="K11" s="48"/>
      <c r="L11" s="48"/>
      <c r="M11" s="49"/>
    </row>
    <row r="12" spans="1:13" ht="15" customHeight="1" x14ac:dyDescent="0.2">
      <c r="A12" s="48"/>
      <c r="B12" s="52">
        <v>1000000</v>
      </c>
      <c r="C12" s="48" t="s">
        <v>24</v>
      </c>
      <c r="D12" s="48"/>
      <c r="E12" s="48"/>
      <c r="F12" s="48"/>
      <c r="G12" s="48"/>
      <c r="H12" s="48"/>
      <c r="I12" s="48"/>
      <c r="J12" s="48"/>
      <c r="K12" s="48"/>
      <c r="L12" s="48"/>
      <c r="M12" s="49"/>
    </row>
    <row r="13" spans="1:13" ht="15" customHeight="1" x14ac:dyDescent="0.2">
      <c r="A13" s="48"/>
      <c r="B13" s="52">
        <v>1000000</v>
      </c>
      <c r="C13" s="48" t="s">
        <v>23</v>
      </c>
      <c r="D13" s="48"/>
      <c r="E13" s="48"/>
      <c r="F13" s="48"/>
      <c r="G13" s="48"/>
      <c r="H13" s="48"/>
      <c r="I13" s="48"/>
      <c r="J13" s="48"/>
      <c r="K13" s="48"/>
      <c r="L13" s="48"/>
      <c r="M13" s="49"/>
    </row>
    <row r="14" spans="1:13" ht="15" customHeight="1" x14ac:dyDescent="0.2">
      <c r="A14" s="48"/>
      <c r="B14" s="54" t="s">
        <v>34</v>
      </c>
      <c r="C14" s="48"/>
      <c r="D14" s="48"/>
      <c r="E14" s="48"/>
      <c r="F14" s="48"/>
      <c r="G14" s="48"/>
      <c r="H14" s="48"/>
      <c r="I14" s="48"/>
      <c r="J14" s="48"/>
      <c r="K14" s="48"/>
      <c r="L14" s="48"/>
      <c r="M14" s="49"/>
    </row>
    <row r="15" spans="1:13" ht="15" customHeight="1" x14ac:dyDescent="0.2">
      <c r="A15" s="48"/>
      <c r="B15" s="53">
        <v>4.2299999999999997E-2</v>
      </c>
      <c r="C15" s="48" t="s">
        <v>17</v>
      </c>
      <c r="D15" s="48"/>
      <c r="E15" s="48"/>
      <c r="F15" s="48"/>
      <c r="G15" s="48"/>
      <c r="H15" s="48"/>
      <c r="I15" s="48"/>
      <c r="J15" s="48"/>
      <c r="K15" s="48"/>
      <c r="L15" s="48"/>
      <c r="M15" s="49"/>
    </row>
    <row r="16" spans="1:13" ht="15" customHeight="1" x14ac:dyDescent="0.2">
      <c r="A16" s="48"/>
      <c r="B16" s="55">
        <v>0.5</v>
      </c>
      <c r="C16" s="48" t="s">
        <v>18</v>
      </c>
      <c r="D16" s="48"/>
      <c r="E16" s="48"/>
      <c r="F16" s="48"/>
      <c r="G16" s="48"/>
      <c r="H16" s="48"/>
      <c r="I16" s="48"/>
      <c r="J16" s="48"/>
      <c r="K16" s="48"/>
      <c r="L16" s="48"/>
      <c r="M16" s="49"/>
    </row>
    <row r="17" spans="1:13" ht="15" customHeight="1" x14ac:dyDescent="0.2">
      <c r="A17" s="48"/>
      <c r="B17" s="56" t="s">
        <v>35</v>
      </c>
      <c r="C17" s="48"/>
      <c r="D17" s="48"/>
      <c r="E17" s="48"/>
      <c r="F17" s="48"/>
      <c r="G17" s="48"/>
      <c r="H17" s="48"/>
      <c r="I17" s="48"/>
      <c r="J17" s="48"/>
      <c r="K17" s="48"/>
      <c r="L17" s="48"/>
      <c r="M17" s="49"/>
    </row>
    <row r="18" spans="1:13" ht="15" customHeight="1" x14ac:dyDescent="0.2">
      <c r="A18" s="48"/>
      <c r="B18" s="50">
        <v>1012</v>
      </c>
      <c r="C18" s="48" t="s">
        <v>39</v>
      </c>
      <c r="D18" s="48"/>
      <c r="E18" s="57" t="s">
        <v>40</v>
      </c>
      <c r="F18" s="57"/>
      <c r="G18" s="48"/>
      <c r="H18" s="48"/>
      <c r="I18" s="48"/>
      <c r="J18" s="48"/>
      <c r="K18" s="48"/>
      <c r="L18" s="48"/>
      <c r="M18" s="49"/>
    </row>
    <row r="19" spans="1:13" ht="15" customHeight="1" x14ac:dyDescent="0.2">
      <c r="A19" s="48"/>
      <c r="B19" s="50">
        <v>1050</v>
      </c>
      <c r="C19" s="48" t="s">
        <v>19</v>
      </c>
      <c r="D19" s="48"/>
      <c r="E19" s="61" t="s">
        <v>70</v>
      </c>
      <c r="F19" s="57"/>
      <c r="G19" s="48"/>
      <c r="H19" s="48"/>
      <c r="I19" s="48"/>
      <c r="J19" s="48"/>
      <c r="K19" s="48"/>
      <c r="L19" s="48"/>
      <c r="M19" s="49"/>
    </row>
    <row r="20" spans="1:13" ht="15" customHeight="1" x14ac:dyDescent="0.2">
      <c r="A20" s="48"/>
      <c r="B20" s="50"/>
      <c r="C20" s="48"/>
      <c r="D20" s="48"/>
      <c r="E20" s="178" t="s">
        <v>81</v>
      </c>
      <c r="F20" s="194"/>
      <c r="G20" s="194"/>
      <c r="H20" s="194"/>
      <c r="I20" s="194"/>
      <c r="J20" s="62" t="s">
        <v>82</v>
      </c>
      <c r="K20" s="20"/>
      <c r="L20" s="20"/>
      <c r="M20" s="49"/>
    </row>
    <row r="21" spans="1:13" ht="15" customHeight="1" x14ac:dyDescent="0.2">
      <c r="A21" s="48"/>
      <c r="B21" s="50">
        <v>11700</v>
      </c>
      <c r="C21" s="48" t="s">
        <v>21</v>
      </c>
      <c r="D21" s="48"/>
      <c r="E21" s="48"/>
      <c r="F21" s="48"/>
      <c r="G21" s="48"/>
      <c r="H21" s="48"/>
      <c r="I21" s="48"/>
      <c r="J21" s="48"/>
      <c r="K21" s="48"/>
      <c r="L21" s="48"/>
      <c r="M21" s="49"/>
    </row>
    <row r="22" spans="1:13" ht="15" customHeight="1" x14ac:dyDescent="0.2">
      <c r="A22" s="48"/>
      <c r="B22" s="58" t="s">
        <v>36</v>
      </c>
      <c r="C22" s="48"/>
      <c r="D22" s="48"/>
      <c r="E22" s="48"/>
      <c r="F22" s="48"/>
      <c r="G22" s="48"/>
      <c r="H22" s="48"/>
      <c r="I22" s="48"/>
      <c r="J22" s="48"/>
      <c r="K22" s="48"/>
      <c r="L22" s="48"/>
      <c r="M22" s="49"/>
    </row>
    <row r="23" spans="1:13" ht="15" customHeight="1" x14ac:dyDescent="0.3">
      <c r="A23" s="48"/>
      <c r="B23" s="64" t="s">
        <v>72</v>
      </c>
      <c r="C23" s="65" t="s">
        <v>88</v>
      </c>
      <c r="D23" s="20"/>
      <c r="E23" s="20"/>
      <c r="F23" s="20"/>
      <c r="G23" s="20"/>
      <c r="H23" s="20"/>
      <c r="I23" s="20"/>
      <c r="J23" s="20"/>
      <c r="K23" s="20"/>
      <c r="L23" s="20"/>
      <c r="M23" s="66"/>
    </row>
    <row r="24" spans="1:13" ht="15" customHeight="1" x14ac:dyDescent="0.2">
      <c r="A24" s="48"/>
      <c r="B24" s="67">
        <v>1.4378134943080068</v>
      </c>
      <c r="C24" s="20" t="s">
        <v>89</v>
      </c>
      <c r="D24" s="20"/>
      <c r="E24" s="20"/>
      <c r="F24" s="20"/>
      <c r="G24" s="20"/>
      <c r="H24" s="20"/>
      <c r="I24" s="68"/>
      <c r="J24" s="20"/>
      <c r="K24" s="20"/>
      <c r="L24" s="20"/>
      <c r="M24" s="66"/>
    </row>
    <row r="25" spans="1:13" ht="15" customHeight="1" x14ac:dyDescent="0.2">
      <c r="A25" s="48"/>
      <c r="B25" s="69">
        <v>0.12037</v>
      </c>
      <c r="C25" s="20" t="s">
        <v>22</v>
      </c>
      <c r="D25" s="20"/>
      <c r="E25" s="20"/>
      <c r="F25" s="20"/>
      <c r="G25" s="20"/>
      <c r="H25" s="68" t="s">
        <v>73</v>
      </c>
      <c r="I25" s="20"/>
      <c r="J25" s="20"/>
      <c r="K25" s="20"/>
      <c r="L25" s="20"/>
      <c r="M25" s="66"/>
    </row>
    <row r="26" spans="1:13" ht="15" customHeight="1" x14ac:dyDescent="0.2">
      <c r="A26" s="48"/>
      <c r="B26" s="69"/>
      <c r="C26" s="20"/>
      <c r="D26" s="20"/>
      <c r="E26" s="20"/>
      <c r="F26" s="20"/>
      <c r="G26" s="20"/>
      <c r="H26" s="68" t="s">
        <v>74</v>
      </c>
      <c r="I26" s="20"/>
      <c r="J26" s="20"/>
      <c r="K26" s="20"/>
      <c r="L26" s="20"/>
      <c r="M26" s="66"/>
    </row>
    <row r="27" spans="1:13" ht="15" customHeight="1" x14ac:dyDescent="0.2">
      <c r="A27" s="48"/>
      <c r="B27" s="69"/>
      <c r="C27" s="20"/>
      <c r="D27" s="20"/>
      <c r="E27" s="20"/>
      <c r="F27" s="20"/>
      <c r="G27" s="20"/>
      <c r="H27" s="195" t="s">
        <v>79</v>
      </c>
      <c r="I27" s="105"/>
      <c r="J27" s="105"/>
      <c r="K27" s="105"/>
      <c r="L27" s="62" t="s">
        <v>83</v>
      </c>
      <c r="M27" s="70"/>
    </row>
    <row r="28" spans="1:13" ht="15" customHeight="1" x14ac:dyDescent="0.2">
      <c r="A28" s="48"/>
      <c r="B28" s="71" t="s">
        <v>45</v>
      </c>
      <c r="C28" s="20"/>
      <c r="D28" s="20"/>
      <c r="E28" s="20"/>
      <c r="F28" s="20"/>
      <c r="G28" s="20"/>
      <c r="H28" s="20"/>
      <c r="I28" s="20"/>
      <c r="J28" s="20"/>
      <c r="K28" s="20"/>
      <c r="L28" s="20"/>
      <c r="M28" s="66"/>
    </row>
    <row r="29" spans="1:13" ht="15" customHeight="1" x14ac:dyDescent="0.2">
      <c r="A29" s="48"/>
      <c r="B29" s="72">
        <v>0.93</v>
      </c>
      <c r="C29" s="20" t="s">
        <v>43</v>
      </c>
      <c r="D29" s="20"/>
      <c r="E29" s="20"/>
      <c r="F29" s="20"/>
      <c r="G29" s="20"/>
      <c r="H29" s="20"/>
      <c r="I29" s="20"/>
      <c r="J29" s="20"/>
      <c r="K29" s="20"/>
      <c r="L29" s="20"/>
      <c r="M29" s="66"/>
    </row>
    <row r="30" spans="1:13" ht="15" customHeight="1" x14ac:dyDescent="0.2">
      <c r="A30" s="48"/>
      <c r="B30" s="72">
        <v>0.85</v>
      </c>
      <c r="C30" s="20" t="s">
        <v>44</v>
      </c>
      <c r="D30" s="20"/>
      <c r="E30" s="20"/>
      <c r="F30" s="20"/>
      <c r="G30" s="20"/>
      <c r="H30" s="20"/>
      <c r="I30" s="20"/>
      <c r="J30" s="20"/>
      <c r="K30" s="20"/>
      <c r="L30" s="20"/>
      <c r="M30" s="66"/>
    </row>
    <row r="31" spans="1:13" ht="15" customHeight="1" x14ac:dyDescent="0.2">
      <c r="A31" s="48"/>
      <c r="B31" s="72">
        <v>0.91</v>
      </c>
      <c r="C31" s="20" t="s">
        <v>49</v>
      </c>
      <c r="D31" s="20"/>
      <c r="E31" s="20"/>
      <c r="F31" s="20"/>
      <c r="G31" s="20"/>
      <c r="H31" s="20"/>
      <c r="I31" s="73"/>
      <c r="J31" s="20"/>
      <c r="K31" s="20"/>
      <c r="L31" s="20"/>
      <c r="M31" s="66"/>
    </row>
    <row r="32" spans="1:13" ht="15" customHeight="1" x14ac:dyDescent="0.2">
      <c r="A32" s="48"/>
      <c r="B32" s="72">
        <v>0.9</v>
      </c>
      <c r="C32" s="20" t="s">
        <v>50</v>
      </c>
      <c r="D32" s="20"/>
      <c r="E32" s="20"/>
      <c r="F32" s="20"/>
      <c r="G32" s="20"/>
      <c r="H32" s="20"/>
      <c r="I32" s="20"/>
      <c r="J32" s="20"/>
      <c r="K32" s="20"/>
      <c r="L32" s="20"/>
      <c r="M32" s="66"/>
    </row>
    <row r="33" spans="1:13" ht="15" customHeight="1" x14ac:dyDescent="0.2">
      <c r="A33" s="48"/>
      <c r="B33" s="74" t="s">
        <v>37</v>
      </c>
      <c r="C33" s="20"/>
      <c r="D33" s="20"/>
      <c r="E33" s="20"/>
      <c r="F33" s="20"/>
      <c r="G33" s="20"/>
      <c r="H33" s="20"/>
      <c r="I33" s="20"/>
      <c r="J33" s="20"/>
      <c r="K33" s="20"/>
      <c r="L33" s="20"/>
      <c r="M33" s="66"/>
    </row>
    <row r="34" spans="1:13" ht="15" customHeight="1" x14ac:dyDescent="0.2">
      <c r="A34" s="48"/>
      <c r="B34" s="75">
        <v>28</v>
      </c>
      <c r="C34" s="76" t="s">
        <v>92</v>
      </c>
      <c r="D34" s="76"/>
      <c r="E34" s="76"/>
      <c r="F34" s="76"/>
      <c r="G34" s="76"/>
      <c r="H34" s="76"/>
      <c r="I34" s="76"/>
      <c r="J34" s="76"/>
      <c r="K34" s="76"/>
      <c r="L34" s="76"/>
      <c r="M34" s="77"/>
    </row>
    <row r="35" spans="1:13" ht="15" customHeight="1" x14ac:dyDescent="0.2">
      <c r="A35" s="48"/>
      <c r="B35" s="78"/>
      <c r="C35" s="20"/>
      <c r="D35" s="20"/>
      <c r="E35" s="20"/>
      <c r="F35" s="20"/>
      <c r="G35" s="20"/>
      <c r="H35" s="20"/>
      <c r="I35" s="20"/>
      <c r="J35" s="20"/>
      <c r="K35" s="20"/>
      <c r="L35" s="20"/>
      <c r="M35" s="20"/>
    </row>
    <row r="36" spans="1:13" ht="15" customHeight="1" x14ac:dyDescent="0.2">
      <c r="A36" s="48"/>
      <c r="B36" s="79" t="s">
        <v>30</v>
      </c>
      <c r="C36" s="80"/>
      <c r="D36" s="80"/>
      <c r="E36" s="80"/>
      <c r="F36" s="80"/>
      <c r="G36" s="80"/>
      <c r="H36" s="80"/>
      <c r="I36" s="80"/>
      <c r="J36" s="80"/>
      <c r="K36" s="80"/>
      <c r="L36" s="80"/>
      <c r="M36" s="81"/>
    </row>
    <row r="37" spans="1:13" ht="15" customHeight="1" x14ac:dyDescent="0.2">
      <c r="A37" s="48"/>
      <c r="B37" s="171" t="s">
        <v>93</v>
      </c>
      <c r="C37" s="172"/>
      <c r="D37" s="172"/>
      <c r="E37" s="172"/>
      <c r="F37" s="172"/>
      <c r="G37" s="172"/>
      <c r="H37" s="172"/>
      <c r="I37" s="172"/>
      <c r="J37" s="172"/>
      <c r="K37" s="172"/>
      <c r="L37" s="172"/>
      <c r="M37" s="173"/>
    </row>
    <row r="38" spans="1:13" ht="15" customHeight="1" x14ac:dyDescent="0.2">
      <c r="A38" s="48"/>
      <c r="B38" s="168"/>
      <c r="C38" s="169"/>
      <c r="D38" s="169"/>
      <c r="E38" s="169"/>
      <c r="F38" s="169"/>
      <c r="G38" s="169"/>
      <c r="H38" s="169"/>
      <c r="I38" s="169"/>
      <c r="J38" s="169"/>
      <c r="K38" s="169"/>
      <c r="L38" s="169"/>
      <c r="M38" s="170"/>
    </row>
    <row r="39" spans="1:13" x14ac:dyDescent="0.2">
      <c r="A39" s="48"/>
      <c r="B39" s="174"/>
      <c r="C39" s="175"/>
      <c r="D39" s="175"/>
      <c r="E39" s="175"/>
      <c r="F39" s="175"/>
      <c r="G39" s="175"/>
      <c r="H39" s="175"/>
      <c r="I39" s="175"/>
      <c r="J39" s="175"/>
      <c r="K39" s="175"/>
      <c r="L39" s="175"/>
      <c r="M39" s="176"/>
    </row>
    <row r="40" spans="1:13" ht="15" customHeight="1" x14ac:dyDescent="0.3">
      <c r="A40" s="48"/>
      <c r="B40" s="162" t="s">
        <v>94</v>
      </c>
      <c r="C40" s="163"/>
      <c r="D40" s="163"/>
      <c r="E40" s="163"/>
      <c r="F40" s="163"/>
      <c r="G40" s="163"/>
      <c r="H40" s="163"/>
      <c r="I40" s="163"/>
      <c r="J40" s="163"/>
      <c r="K40" s="163"/>
      <c r="L40" s="163"/>
      <c r="M40" s="164"/>
    </row>
    <row r="41" spans="1:13" ht="15" customHeight="1" x14ac:dyDescent="0.2">
      <c r="A41" s="48"/>
      <c r="B41" s="78"/>
      <c r="C41" s="20"/>
      <c r="D41" s="20"/>
      <c r="E41" s="20"/>
      <c r="F41" s="20"/>
      <c r="G41" s="20"/>
      <c r="H41" s="20"/>
      <c r="I41" s="20"/>
      <c r="J41" s="20"/>
      <c r="K41" s="20"/>
      <c r="L41" s="20"/>
      <c r="M41" s="20"/>
    </row>
    <row r="42" spans="1:13" ht="15" customHeight="1" x14ac:dyDescent="0.2">
      <c r="A42" s="48"/>
      <c r="B42" s="82" t="s">
        <v>31</v>
      </c>
      <c r="C42" s="83"/>
      <c r="D42" s="83"/>
      <c r="E42" s="83"/>
      <c r="F42" s="83"/>
      <c r="G42" s="83"/>
      <c r="H42" s="83"/>
      <c r="I42" s="83"/>
      <c r="J42" s="83"/>
      <c r="K42" s="83"/>
      <c r="L42" s="83"/>
      <c r="M42" s="84"/>
    </row>
    <row r="43" spans="1:13" ht="15" customHeight="1" x14ac:dyDescent="0.2">
      <c r="A43" s="48"/>
      <c r="B43" s="168" t="s">
        <v>96</v>
      </c>
      <c r="C43" s="169"/>
      <c r="D43" s="169"/>
      <c r="E43" s="169"/>
      <c r="F43" s="169"/>
      <c r="G43" s="169"/>
      <c r="H43" s="169"/>
      <c r="I43" s="169"/>
      <c r="J43" s="169"/>
      <c r="K43" s="169"/>
      <c r="L43" s="169"/>
      <c r="M43" s="170"/>
    </row>
    <row r="44" spans="1:13" x14ac:dyDescent="0.2">
      <c r="A44" s="48"/>
      <c r="B44" s="168"/>
      <c r="C44" s="169"/>
      <c r="D44" s="169"/>
      <c r="E44" s="169"/>
      <c r="F44" s="169"/>
      <c r="G44" s="169"/>
      <c r="H44" s="169"/>
      <c r="I44" s="169"/>
      <c r="J44" s="169"/>
      <c r="K44" s="169"/>
      <c r="L44" s="169"/>
      <c r="M44" s="170"/>
    </row>
    <row r="45" spans="1:13" ht="15" customHeight="1" x14ac:dyDescent="0.3">
      <c r="A45" s="48"/>
      <c r="B45" s="165" t="s">
        <v>32</v>
      </c>
      <c r="C45" s="166"/>
      <c r="D45" s="166"/>
      <c r="E45" s="166"/>
      <c r="F45" s="166"/>
      <c r="G45" s="166"/>
      <c r="H45" s="166"/>
      <c r="I45" s="166"/>
      <c r="J45" s="166"/>
      <c r="K45" s="166"/>
      <c r="L45" s="166"/>
      <c r="M45" s="167"/>
    </row>
    <row r="46" spans="1:13" ht="15" customHeight="1" x14ac:dyDescent="0.2">
      <c r="A46" s="48"/>
      <c r="B46" s="78"/>
      <c r="C46" s="20"/>
      <c r="D46" s="20"/>
      <c r="E46" s="20"/>
      <c r="F46" s="20"/>
      <c r="G46" s="20"/>
      <c r="H46" s="20"/>
      <c r="I46" s="20"/>
      <c r="J46" s="20"/>
      <c r="K46" s="20"/>
      <c r="L46" s="20"/>
      <c r="M46" s="20"/>
    </row>
    <row r="47" spans="1:13" ht="15" customHeight="1" x14ac:dyDescent="0.2">
      <c r="A47" s="48"/>
      <c r="B47" s="79" t="s">
        <v>51</v>
      </c>
      <c r="C47" s="80"/>
      <c r="D47" s="80"/>
      <c r="E47" s="80"/>
      <c r="F47" s="80"/>
      <c r="G47" s="80"/>
      <c r="H47" s="80"/>
      <c r="I47" s="80"/>
      <c r="J47" s="80"/>
      <c r="K47" s="80"/>
      <c r="L47" s="80"/>
      <c r="M47" s="81"/>
    </row>
    <row r="48" spans="1:13" ht="15" customHeight="1" x14ac:dyDescent="0.2">
      <c r="A48" s="48"/>
      <c r="B48" s="171" t="s">
        <v>95</v>
      </c>
      <c r="C48" s="172"/>
      <c r="D48" s="172"/>
      <c r="E48" s="172"/>
      <c r="F48" s="172"/>
      <c r="G48" s="172"/>
      <c r="H48" s="172"/>
      <c r="I48" s="172"/>
      <c r="J48" s="172"/>
      <c r="K48" s="172"/>
      <c r="L48" s="172"/>
      <c r="M48" s="173"/>
    </row>
    <row r="49" spans="1:16" ht="15" customHeight="1" x14ac:dyDescent="0.2">
      <c r="A49" s="48"/>
      <c r="B49" s="168"/>
      <c r="C49" s="169"/>
      <c r="D49" s="169"/>
      <c r="E49" s="169"/>
      <c r="F49" s="169"/>
      <c r="G49" s="169"/>
      <c r="H49" s="169"/>
      <c r="I49" s="169"/>
      <c r="J49" s="169"/>
      <c r="K49" s="169"/>
      <c r="L49" s="169"/>
      <c r="M49" s="170"/>
    </row>
    <row r="50" spans="1:16" x14ac:dyDescent="0.2">
      <c r="A50" s="48"/>
      <c r="B50" s="174"/>
      <c r="C50" s="175"/>
      <c r="D50" s="175"/>
      <c r="E50" s="175"/>
      <c r="F50" s="175"/>
      <c r="G50" s="175"/>
      <c r="H50" s="175"/>
      <c r="I50" s="175"/>
      <c r="J50" s="175"/>
      <c r="K50" s="175"/>
      <c r="L50" s="175"/>
      <c r="M50" s="176"/>
    </row>
    <row r="51" spans="1:16" ht="15" customHeight="1" x14ac:dyDescent="0.3">
      <c r="A51" s="48"/>
      <c r="B51" s="162" t="s">
        <v>94</v>
      </c>
      <c r="C51" s="163"/>
      <c r="D51" s="163"/>
      <c r="E51" s="163"/>
      <c r="F51" s="163"/>
      <c r="G51" s="163"/>
      <c r="H51" s="163"/>
      <c r="I51" s="163"/>
      <c r="J51" s="163"/>
      <c r="K51" s="163"/>
      <c r="L51" s="163"/>
      <c r="M51" s="164"/>
    </row>
    <row r="52" spans="1:16" ht="15" customHeight="1" x14ac:dyDescent="0.2">
      <c r="A52" s="48"/>
      <c r="B52" s="78"/>
      <c r="C52" s="20"/>
      <c r="D52" s="20"/>
      <c r="E52" s="20"/>
      <c r="F52" s="20"/>
      <c r="G52" s="20"/>
      <c r="H52" s="20"/>
      <c r="I52" s="20"/>
      <c r="J52" s="20"/>
      <c r="K52" s="20"/>
      <c r="L52" s="20"/>
      <c r="M52" s="20"/>
    </row>
    <row r="53" spans="1:16" ht="15" customHeight="1" x14ac:dyDescent="0.2">
      <c r="A53" s="48"/>
      <c r="B53" s="79" t="s">
        <v>52</v>
      </c>
      <c r="C53" s="80"/>
      <c r="D53" s="80"/>
      <c r="E53" s="80"/>
      <c r="F53" s="80"/>
      <c r="G53" s="80"/>
      <c r="H53" s="80"/>
      <c r="I53" s="80"/>
      <c r="J53" s="80"/>
      <c r="K53" s="80"/>
      <c r="L53" s="80"/>
      <c r="M53" s="81"/>
    </row>
    <row r="54" spans="1:16" ht="15" customHeight="1" x14ac:dyDescent="0.2">
      <c r="A54" s="48"/>
      <c r="B54" s="171" t="s">
        <v>66</v>
      </c>
      <c r="C54" s="172"/>
      <c r="D54" s="172"/>
      <c r="E54" s="172"/>
      <c r="F54" s="172"/>
      <c r="G54" s="172"/>
      <c r="H54" s="172"/>
      <c r="I54" s="172"/>
      <c r="J54" s="172"/>
      <c r="K54" s="172"/>
      <c r="L54" s="172"/>
      <c r="M54" s="173"/>
    </row>
    <row r="55" spans="1:16" ht="15" customHeight="1" x14ac:dyDescent="0.2">
      <c r="A55" s="48"/>
      <c r="B55" s="168"/>
      <c r="C55" s="169"/>
      <c r="D55" s="169"/>
      <c r="E55" s="169"/>
      <c r="F55" s="169"/>
      <c r="G55" s="169"/>
      <c r="H55" s="169"/>
      <c r="I55" s="169"/>
      <c r="J55" s="169"/>
      <c r="K55" s="169"/>
      <c r="L55" s="169"/>
      <c r="M55" s="170"/>
    </row>
    <row r="56" spans="1:16" ht="15" customHeight="1" x14ac:dyDescent="0.2">
      <c r="A56" s="48"/>
      <c r="B56" s="168"/>
      <c r="C56" s="169"/>
      <c r="D56" s="169"/>
      <c r="E56" s="169"/>
      <c r="F56" s="169"/>
      <c r="G56" s="169"/>
      <c r="H56" s="169"/>
      <c r="I56" s="169"/>
      <c r="J56" s="169"/>
      <c r="K56" s="169"/>
      <c r="L56" s="169"/>
      <c r="M56" s="170"/>
    </row>
    <row r="57" spans="1:16" x14ac:dyDescent="0.2">
      <c r="A57" s="48"/>
      <c r="B57" s="174"/>
      <c r="C57" s="175"/>
      <c r="D57" s="175"/>
      <c r="E57" s="175"/>
      <c r="F57" s="175"/>
      <c r="G57" s="175"/>
      <c r="H57" s="175"/>
      <c r="I57" s="175"/>
      <c r="J57" s="175"/>
      <c r="K57" s="175"/>
      <c r="L57" s="175"/>
      <c r="M57" s="176"/>
    </row>
    <row r="58" spans="1:16" ht="15" customHeight="1" x14ac:dyDescent="0.3">
      <c r="A58" s="48"/>
      <c r="B58" s="162" t="s">
        <v>32</v>
      </c>
      <c r="C58" s="163"/>
      <c r="D58" s="163"/>
      <c r="E58" s="163"/>
      <c r="F58" s="163"/>
      <c r="G58" s="163"/>
      <c r="H58" s="163"/>
      <c r="I58" s="163"/>
      <c r="J58" s="163"/>
      <c r="K58" s="163"/>
      <c r="L58" s="163"/>
      <c r="M58" s="164"/>
    </row>
    <row r="59" spans="1:16" ht="15" customHeight="1" x14ac:dyDescent="0.2">
      <c r="A59" s="48"/>
      <c r="B59" s="78"/>
      <c r="C59" s="20"/>
      <c r="D59" s="20"/>
      <c r="E59" s="20"/>
      <c r="F59" s="20"/>
      <c r="G59" s="20"/>
      <c r="H59" s="20"/>
      <c r="I59" s="20"/>
      <c r="J59" s="20"/>
      <c r="K59" s="20"/>
      <c r="L59" s="20"/>
      <c r="M59" s="20"/>
    </row>
    <row r="60" spans="1:16" x14ac:dyDescent="0.2">
      <c r="A60" s="48"/>
      <c r="B60" s="85" t="s">
        <v>46</v>
      </c>
      <c r="C60" s="80"/>
      <c r="D60" s="63"/>
      <c r="E60" s="80"/>
      <c r="F60" s="80"/>
      <c r="G60" s="80"/>
      <c r="H60" s="80"/>
      <c r="I60" s="80"/>
      <c r="J60" s="80"/>
      <c r="K60" s="80"/>
      <c r="L60" s="80"/>
      <c r="M60" s="81"/>
      <c r="N60" s="21"/>
    </row>
    <row r="61" spans="1:16" x14ac:dyDescent="0.2">
      <c r="A61" s="48"/>
      <c r="B61" s="86">
        <v>0.84</v>
      </c>
      <c r="C61" s="80" t="s">
        <v>64</v>
      </c>
      <c r="D61" s="87"/>
      <c r="E61" s="87"/>
      <c r="F61" s="87"/>
      <c r="G61" s="87"/>
      <c r="H61" s="87"/>
      <c r="I61" s="183" t="s">
        <v>77</v>
      </c>
      <c r="J61" s="184"/>
      <c r="K61" s="184"/>
      <c r="L61" s="184"/>
      <c r="M61" s="185"/>
      <c r="N61" s="22"/>
      <c r="O61" s="18"/>
      <c r="P61" s="18"/>
    </row>
    <row r="62" spans="1:16" x14ac:dyDescent="0.2">
      <c r="A62" s="48"/>
      <c r="B62" s="72">
        <v>181.38</v>
      </c>
      <c r="C62" s="20" t="s">
        <v>67</v>
      </c>
      <c r="D62" s="68"/>
      <c r="E62" s="68"/>
      <c r="F62" s="68"/>
      <c r="G62" s="68"/>
      <c r="H62" s="68"/>
      <c r="I62" s="186"/>
      <c r="J62" s="187"/>
      <c r="K62" s="187"/>
      <c r="L62" s="187"/>
      <c r="M62" s="188"/>
      <c r="N62" s="22"/>
      <c r="O62" s="18"/>
      <c r="P62" s="18"/>
    </row>
    <row r="63" spans="1:16" x14ac:dyDescent="0.2">
      <c r="A63" s="48"/>
      <c r="B63" s="88">
        <v>0.43</v>
      </c>
      <c r="C63" s="20" t="s">
        <v>68</v>
      </c>
      <c r="D63" s="68"/>
      <c r="E63" s="68"/>
      <c r="F63" s="68"/>
      <c r="G63" s="68"/>
      <c r="H63" s="68"/>
      <c r="I63" s="186"/>
      <c r="J63" s="187"/>
      <c r="K63" s="187"/>
      <c r="L63" s="187"/>
      <c r="M63" s="188"/>
      <c r="N63" s="22"/>
      <c r="O63" s="18"/>
      <c r="P63" s="18"/>
    </row>
    <row r="64" spans="1:16" x14ac:dyDescent="0.2">
      <c r="A64" s="48"/>
      <c r="B64" s="89">
        <v>8.8870000000000008E-3</v>
      </c>
      <c r="C64" s="76" t="s">
        <v>69</v>
      </c>
      <c r="D64" s="90"/>
      <c r="E64" s="90"/>
      <c r="F64" s="90"/>
      <c r="G64" s="90"/>
      <c r="H64" s="90"/>
      <c r="I64" s="189"/>
      <c r="J64" s="190"/>
      <c r="K64" s="190"/>
      <c r="L64" s="190"/>
      <c r="M64" s="191"/>
      <c r="N64" s="22"/>
      <c r="O64" s="18"/>
      <c r="P64" s="18"/>
    </row>
    <row r="65" spans="1:16" x14ac:dyDescent="0.2">
      <c r="A65" s="48"/>
      <c r="B65" s="91">
        <v>10566</v>
      </c>
      <c r="C65" s="20" t="s">
        <v>42</v>
      </c>
      <c r="D65" s="92"/>
      <c r="E65" s="92"/>
      <c r="F65" s="92"/>
      <c r="G65" s="92"/>
      <c r="H65" s="92"/>
      <c r="I65"/>
      <c r="J65"/>
      <c r="K65"/>
      <c r="L65"/>
      <c r="M65" s="93"/>
      <c r="N65" s="22"/>
      <c r="O65" s="18"/>
      <c r="P65" s="18"/>
    </row>
    <row r="66" spans="1:16" x14ac:dyDescent="0.2">
      <c r="A66" s="48"/>
      <c r="B66" s="94">
        <v>56000</v>
      </c>
      <c r="C66" s="76" t="s">
        <v>62</v>
      </c>
      <c r="D66" s="95"/>
      <c r="E66" s="95"/>
      <c r="F66" s="95"/>
      <c r="G66" s="95"/>
      <c r="H66" s="95"/>
      <c r="I66" s="96"/>
      <c r="J66" s="96"/>
      <c r="K66" s="96"/>
      <c r="L66" s="96"/>
      <c r="M66" s="97"/>
      <c r="N66" s="22"/>
      <c r="O66" s="18"/>
      <c r="P66" s="18"/>
    </row>
    <row r="67" spans="1:16" x14ac:dyDescent="0.2">
      <c r="A67" s="48"/>
      <c r="B67" s="98" t="s">
        <v>41</v>
      </c>
      <c r="C67" s="20"/>
      <c r="D67" s="20"/>
      <c r="E67" s="20"/>
      <c r="F67" s="20"/>
      <c r="G67" s="20"/>
      <c r="H67" s="20"/>
      <c r="I67" s="20"/>
      <c r="J67" s="20"/>
      <c r="K67" s="20"/>
      <c r="L67" s="20"/>
      <c r="M67" s="66"/>
      <c r="N67" s="21"/>
    </row>
    <row r="68" spans="1:16" x14ac:dyDescent="0.2">
      <c r="A68" s="48"/>
      <c r="B68" s="180" t="s">
        <v>80</v>
      </c>
      <c r="C68" s="181"/>
      <c r="D68" s="181"/>
      <c r="E68" s="181"/>
      <c r="F68" s="181"/>
      <c r="G68" s="181"/>
      <c r="H68" s="181"/>
      <c r="I68" s="181"/>
      <c r="J68" s="181"/>
      <c r="K68" s="181"/>
      <c r="L68" s="181"/>
      <c r="M68" s="182"/>
      <c r="N68" s="40"/>
      <c r="O68" s="39"/>
    </row>
    <row r="69" spans="1:16" x14ac:dyDescent="0.2">
      <c r="A69" s="48"/>
      <c r="B69" s="177" t="s">
        <v>84</v>
      </c>
      <c r="C69" s="178"/>
      <c r="D69" s="178"/>
      <c r="E69" s="178"/>
      <c r="F69" s="178"/>
      <c r="G69" s="178"/>
      <c r="H69" s="178"/>
      <c r="I69" s="178"/>
      <c r="J69" s="178"/>
      <c r="K69" s="178"/>
      <c r="L69" s="178"/>
      <c r="M69" s="179"/>
      <c r="N69" s="40"/>
      <c r="O69" s="39"/>
    </row>
    <row r="70" spans="1:16" x14ac:dyDescent="0.2">
      <c r="A70" s="48"/>
      <c r="B70" s="177" t="s">
        <v>85</v>
      </c>
      <c r="C70" s="178"/>
      <c r="D70" s="178"/>
      <c r="E70" s="178"/>
      <c r="F70" s="178"/>
      <c r="G70" s="178"/>
      <c r="H70" s="178"/>
      <c r="I70" s="178"/>
      <c r="J70" s="178"/>
      <c r="K70" s="178"/>
      <c r="L70" s="178"/>
      <c r="M70" s="179"/>
      <c r="N70" s="39"/>
      <c r="O70" s="39"/>
    </row>
    <row r="71" spans="1:16" x14ac:dyDescent="0.2">
      <c r="A71" s="48"/>
      <c r="B71" s="177" t="s">
        <v>86</v>
      </c>
      <c r="C71" s="178"/>
      <c r="D71" s="178"/>
      <c r="E71" s="178"/>
      <c r="F71" s="178"/>
      <c r="G71" s="178"/>
      <c r="H71" s="178"/>
      <c r="I71" s="178"/>
      <c r="J71" s="178"/>
      <c r="K71" s="178"/>
      <c r="L71" s="178"/>
      <c r="M71" s="179"/>
      <c r="N71" s="39"/>
      <c r="O71" s="60"/>
    </row>
    <row r="72" spans="1:16" x14ac:dyDescent="0.2">
      <c r="A72" s="48"/>
      <c r="B72" s="99" t="s">
        <v>90</v>
      </c>
      <c r="C72" s="100"/>
      <c r="D72" s="100"/>
      <c r="E72" s="100"/>
      <c r="F72" s="100"/>
      <c r="G72" s="100"/>
      <c r="H72" s="100"/>
      <c r="I72" s="100"/>
      <c r="J72" s="20"/>
      <c r="K72" s="100"/>
      <c r="L72" s="101"/>
      <c r="M72" s="102"/>
      <c r="N72" s="39"/>
      <c r="O72" s="39"/>
      <c r="P72" s="39"/>
    </row>
    <row r="73" spans="1:16" x14ac:dyDescent="0.2">
      <c r="A73" s="48"/>
      <c r="B73" s="160" t="s">
        <v>91</v>
      </c>
      <c r="C73" s="161"/>
      <c r="D73" s="161"/>
      <c r="E73" s="161"/>
      <c r="F73" s="161"/>
      <c r="G73" s="161"/>
      <c r="H73" s="161"/>
      <c r="I73" s="76"/>
      <c r="J73" s="76"/>
      <c r="K73" s="76"/>
      <c r="L73" s="76"/>
      <c r="M73" s="77"/>
    </row>
    <row r="74" spans="1:16" x14ac:dyDescent="0.2">
      <c r="A74" s="48"/>
      <c r="B74" s="20"/>
      <c r="C74" s="20"/>
      <c r="D74" s="20"/>
      <c r="E74" s="20"/>
      <c r="F74" s="20"/>
      <c r="G74" s="20"/>
      <c r="H74" s="20"/>
      <c r="I74" s="20"/>
      <c r="J74" s="20"/>
      <c r="K74" s="20"/>
      <c r="L74" s="20"/>
      <c r="M74" s="20"/>
    </row>
    <row r="75" spans="1:16" x14ac:dyDescent="0.2">
      <c r="B75" s="20"/>
      <c r="C75" s="20"/>
      <c r="D75" s="20"/>
      <c r="E75" s="20"/>
      <c r="F75" s="20"/>
      <c r="G75" s="20"/>
      <c r="H75" s="20"/>
      <c r="I75" s="20"/>
      <c r="J75" s="20"/>
      <c r="K75" s="20"/>
      <c r="L75" s="20"/>
      <c r="M75" s="20"/>
    </row>
  </sheetData>
  <sheetProtection algorithmName="SHA-512" hashValue="TCSYgK+5nHMQ37OLosziTpToB/sMQN2dTbCu6ho7WWHJ9JqJklTOx3aDVkQMiH2VNLxrCiAjgOrJBidN9C0Hbw==" saltValue="O1spu/Dwlv7ppKBKHqvM1g==" spinCount="100000" sheet="1" objects="1" scenarios="1"/>
  <mergeCells count="18">
    <mergeCell ref="A1:D1"/>
    <mergeCell ref="E1:G1"/>
    <mergeCell ref="B54:M57"/>
    <mergeCell ref="B58:M58"/>
    <mergeCell ref="B37:M39"/>
    <mergeCell ref="E20:I20"/>
    <mergeCell ref="H27:K27"/>
    <mergeCell ref="B73:H73"/>
    <mergeCell ref="B40:M40"/>
    <mergeCell ref="B45:M45"/>
    <mergeCell ref="B51:M51"/>
    <mergeCell ref="B43:M44"/>
    <mergeCell ref="B48:M50"/>
    <mergeCell ref="B69:M69"/>
    <mergeCell ref="B68:M68"/>
    <mergeCell ref="B71:M71"/>
    <mergeCell ref="B70:M70"/>
    <mergeCell ref="I61:M64"/>
  </mergeCells>
  <phoneticPr fontId="5" type="noConversion"/>
  <hyperlinks>
    <hyperlink ref="E1:G1" location="Tool!B2" display="Return to Tool" xr:uid="{00000000-0004-0000-0200-000000000000}"/>
    <hyperlink ref="I61:M64" r:id="rId1" display="https://www.epa.gov/energy/greenhouse-gas-equivalencies-calculator" xr:uid="{00000000-0004-0000-0200-000002000000}"/>
    <hyperlink ref="B68:M68" r:id="rId2" location="pineforests" display="• For acres of forest:  Greenhouse Gas Equivalencies Calculator at https://www.epa.gov/energy/greenhouse-gases-equivalencies-calculator-calculations-and-references#pineforests" xr:uid="{00000000-0004-0000-0200-000003000000}"/>
    <hyperlink ref="E20" r:id="rId3" xr:uid="{00000000-0004-0000-0200-000004000000}"/>
    <hyperlink ref="B69:M69" r:id="rId4" location="railcars" display="• For railcars of coal:  Greenhouse Gas Equivalencies Calculator at https://www.epa.gov/energy/greenhouse-gases-equivalencies-calculator-calculations-and-references#railcars" xr:uid="{00000000-0004-0000-0200-000005000000}"/>
    <hyperlink ref="B70:M70" r:id="rId5" location="oil" display="• For barrels of oil:  Greenhouse Gas Equivalencies Calculator at https://www.epa.gov/energy/greenhouse-gases-equivalencies-calculator-calculations-and-references#oil" xr:uid="{00000000-0004-0000-0200-000006000000}"/>
    <hyperlink ref="B71:M71" r:id="rId6" location="gasoline" display="• For gallons of gasoline:  Greenhouse Gas Equivalencies Calculator at https://www.epa.gov/energy/greenhouse-gases-equivalencies-calculator-calculations-and-references#gasoline" xr:uid="{00000000-0004-0000-0200-000007000000}"/>
    <hyperlink ref="H27" r:id="rId7" xr:uid="{00000000-0004-0000-0200-00000A000000}"/>
    <hyperlink ref="B73" r:id="rId8" xr:uid="{00000000-0004-0000-0200-000001000000}"/>
    <hyperlink ref="B73:H73" r:id="rId9" display="https://www.eia.gov/consumption/residential/data/2020/index.php?view=consumption" xr:uid="{C479FD14-8A47-45B1-9CEE-6823CF7C7A3E}"/>
  </hyperlinks>
  <printOptions horizontalCentered="1"/>
  <pageMargins left="0.2" right="0.2" top="0.8" bottom="0.8" header="0.5" footer="0.5"/>
  <pageSetup scale="92" orientation="landscape" horizontalDpi="1200" verticalDpi="1200" r:id="rId10"/>
  <headerFooter alignWithMargins="0">
    <oddFooter>&amp;LLFGE Benefits Calculator
https://www.epa.gov/lmop/
landfill-gas-energy-benefits-calculator&amp;CPage &amp;P+2 of 5&amp;RLast updated May 2023</oddFooter>
  </headerFooter>
  <rowBreaks count="2" manualBreakCount="2">
    <brk id="35" max="12" man="1"/>
    <brk id="59" max="12" man="1"/>
  </rowBreaks>
  <cellWatches>
    <cellWatch r="E20"/>
  </cellWatche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99B5B2F-6C16-432C-9C0F-07EFF137B52B}">
  <dimension ref="B1:S84"/>
  <sheetViews>
    <sheetView workbookViewId="0">
      <selection activeCell="B4" sqref="B4:P5"/>
    </sheetView>
  </sheetViews>
  <sheetFormatPr defaultRowHeight="12.75" x14ac:dyDescent="0.2"/>
  <cols>
    <col min="1" max="1" width="6.42578125" style="196" customWidth="1"/>
    <col min="2" max="15" width="9.140625" style="196"/>
    <col min="16" max="16" width="9.85546875" style="196" customWidth="1"/>
    <col min="17" max="17" width="9.140625" style="196"/>
    <col min="18" max="18" width="11.42578125" style="196" customWidth="1"/>
    <col min="19" max="19" width="27.5703125" style="196" customWidth="1"/>
    <col min="20" max="256" width="9.140625" style="196"/>
    <col min="257" max="257" width="6.42578125" style="196" customWidth="1"/>
    <col min="258" max="271" width="9.140625" style="196"/>
    <col min="272" max="272" width="9.85546875" style="196" customWidth="1"/>
    <col min="273" max="273" width="9.140625" style="196"/>
    <col min="274" max="274" width="11.42578125" style="196" customWidth="1"/>
    <col min="275" max="275" width="27.5703125" style="196" customWidth="1"/>
    <col min="276" max="512" width="9.140625" style="196"/>
    <col min="513" max="513" width="6.42578125" style="196" customWidth="1"/>
    <col min="514" max="527" width="9.140625" style="196"/>
    <col min="528" max="528" width="9.85546875" style="196" customWidth="1"/>
    <col min="529" max="529" width="9.140625" style="196"/>
    <col min="530" max="530" width="11.42578125" style="196" customWidth="1"/>
    <col min="531" max="531" width="27.5703125" style="196" customWidth="1"/>
    <col min="532" max="768" width="9.140625" style="196"/>
    <col min="769" max="769" width="6.42578125" style="196" customWidth="1"/>
    <col min="770" max="783" width="9.140625" style="196"/>
    <col min="784" max="784" width="9.85546875" style="196" customWidth="1"/>
    <col min="785" max="785" width="9.140625" style="196"/>
    <col min="786" max="786" width="11.42578125" style="196" customWidth="1"/>
    <col min="787" max="787" width="27.5703125" style="196" customWidth="1"/>
    <col min="788" max="1024" width="9.140625" style="196"/>
    <col min="1025" max="1025" width="6.42578125" style="196" customWidth="1"/>
    <col min="1026" max="1039" width="9.140625" style="196"/>
    <col min="1040" max="1040" width="9.85546875" style="196" customWidth="1"/>
    <col min="1041" max="1041" width="9.140625" style="196"/>
    <col min="1042" max="1042" width="11.42578125" style="196" customWidth="1"/>
    <col min="1043" max="1043" width="27.5703125" style="196" customWidth="1"/>
    <col min="1044" max="1280" width="9.140625" style="196"/>
    <col min="1281" max="1281" width="6.42578125" style="196" customWidth="1"/>
    <col min="1282" max="1295" width="9.140625" style="196"/>
    <col min="1296" max="1296" width="9.85546875" style="196" customWidth="1"/>
    <col min="1297" max="1297" width="9.140625" style="196"/>
    <col min="1298" max="1298" width="11.42578125" style="196" customWidth="1"/>
    <col min="1299" max="1299" width="27.5703125" style="196" customWidth="1"/>
    <col min="1300" max="1536" width="9.140625" style="196"/>
    <col min="1537" max="1537" width="6.42578125" style="196" customWidth="1"/>
    <col min="1538" max="1551" width="9.140625" style="196"/>
    <col min="1552" max="1552" width="9.85546875" style="196" customWidth="1"/>
    <col min="1553" max="1553" width="9.140625" style="196"/>
    <col min="1554" max="1554" width="11.42578125" style="196" customWidth="1"/>
    <col min="1555" max="1555" width="27.5703125" style="196" customWidth="1"/>
    <col min="1556" max="1792" width="9.140625" style="196"/>
    <col min="1793" max="1793" width="6.42578125" style="196" customWidth="1"/>
    <col min="1794" max="1807" width="9.140625" style="196"/>
    <col min="1808" max="1808" width="9.85546875" style="196" customWidth="1"/>
    <col min="1809" max="1809" width="9.140625" style="196"/>
    <col min="1810" max="1810" width="11.42578125" style="196" customWidth="1"/>
    <col min="1811" max="1811" width="27.5703125" style="196" customWidth="1"/>
    <col min="1812" max="2048" width="9.140625" style="196"/>
    <col min="2049" max="2049" width="6.42578125" style="196" customWidth="1"/>
    <col min="2050" max="2063" width="9.140625" style="196"/>
    <col min="2064" max="2064" width="9.85546875" style="196" customWidth="1"/>
    <col min="2065" max="2065" width="9.140625" style="196"/>
    <col min="2066" max="2066" width="11.42578125" style="196" customWidth="1"/>
    <col min="2067" max="2067" width="27.5703125" style="196" customWidth="1"/>
    <col min="2068" max="2304" width="9.140625" style="196"/>
    <col min="2305" max="2305" width="6.42578125" style="196" customWidth="1"/>
    <col min="2306" max="2319" width="9.140625" style="196"/>
    <col min="2320" max="2320" width="9.85546875" style="196" customWidth="1"/>
    <col min="2321" max="2321" width="9.140625" style="196"/>
    <col min="2322" max="2322" width="11.42578125" style="196" customWidth="1"/>
    <col min="2323" max="2323" width="27.5703125" style="196" customWidth="1"/>
    <col min="2324" max="2560" width="9.140625" style="196"/>
    <col min="2561" max="2561" width="6.42578125" style="196" customWidth="1"/>
    <col min="2562" max="2575" width="9.140625" style="196"/>
    <col min="2576" max="2576" width="9.85546875" style="196" customWidth="1"/>
    <col min="2577" max="2577" width="9.140625" style="196"/>
    <col min="2578" max="2578" width="11.42578125" style="196" customWidth="1"/>
    <col min="2579" max="2579" width="27.5703125" style="196" customWidth="1"/>
    <col min="2580" max="2816" width="9.140625" style="196"/>
    <col min="2817" max="2817" width="6.42578125" style="196" customWidth="1"/>
    <col min="2818" max="2831" width="9.140625" style="196"/>
    <col min="2832" max="2832" width="9.85546875" style="196" customWidth="1"/>
    <col min="2833" max="2833" width="9.140625" style="196"/>
    <col min="2834" max="2834" width="11.42578125" style="196" customWidth="1"/>
    <col min="2835" max="2835" width="27.5703125" style="196" customWidth="1"/>
    <col min="2836" max="3072" width="9.140625" style="196"/>
    <col min="3073" max="3073" width="6.42578125" style="196" customWidth="1"/>
    <col min="3074" max="3087" width="9.140625" style="196"/>
    <col min="3088" max="3088" width="9.85546875" style="196" customWidth="1"/>
    <col min="3089" max="3089" width="9.140625" style="196"/>
    <col min="3090" max="3090" width="11.42578125" style="196" customWidth="1"/>
    <col min="3091" max="3091" width="27.5703125" style="196" customWidth="1"/>
    <col min="3092" max="3328" width="9.140625" style="196"/>
    <col min="3329" max="3329" width="6.42578125" style="196" customWidth="1"/>
    <col min="3330" max="3343" width="9.140625" style="196"/>
    <col min="3344" max="3344" width="9.85546875" style="196" customWidth="1"/>
    <col min="3345" max="3345" width="9.140625" style="196"/>
    <col min="3346" max="3346" width="11.42578125" style="196" customWidth="1"/>
    <col min="3347" max="3347" width="27.5703125" style="196" customWidth="1"/>
    <col min="3348" max="3584" width="9.140625" style="196"/>
    <col min="3585" max="3585" width="6.42578125" style="196" customWidth="1"/>
    <col min="3586" max="3599" width="9.140625" style="196"/>
    <col min="3600" max="3600" width="9.85546875" style="196" customWidth="1"/>
    <col min="3601" max="3601" width="9.140625" style="196"/>
    <col min="3602" max="3602" width="11.42578125" style="196" customWidth="1"/>
    <col min="3603" max="3603" width="27.5703125" style="196" customWidth="1"/>
    <col min="3604" max="3840" width="9.140625" style="196"/>
    <col min="3841" max="3841" width="6.42578125" style="196" customWidth="1"/>
    <col min="3842" max="3855" width="9.140625" style="196"/>
    <col min="3856" max="3856" width="9.85546875" style="196" customWidth="1"/>
    <col min="3857" max="3857" width="9.140625" style="196"/>
    <col min="3858" max="3858" width="11.42578125" style="196" customWidth="1"/>
    <col min="3859" max="3859" width="27.5703125" style="196" customWidth="1"/>
    <col min="3860" max="4096" width="9.140625" style="196"/>
    <col min="4097" max="4097" width="6.42578125" style="196" customWidth="1"/>
    <col min="4098" max="4111" width="9.140625" style="196"/>
    <col min="4112" max="4112" width="9.85546875" style="196" customWidth="1"/>
    <col min="4113" max="4113" width="9.140625" style="196"/>
    <col min="4114" max="4114" width="11.42578125" style="196" customWidth="1"/>
    <col min="4115" max="4115" width="27.5703125" style="196" customWidth="1"/>
    <col min="4116" max="4352" width="9.140625" style="196"/>
    <col min="4353" max="4353" width="6.42578125" style="196" customWidth="1"/>
    <col min="4354" max="4367" width="9.140625" style="196"/>
    <col min="4368" max="4368" width="9.85546875" style="196" customWidth="1"/>
    <col min="4369" max="4369" width="9.140625" style="196"/>
    <col min="4370" max="4370" width="11.42578125" style="196" customWidth="1"/>
    <col min="4371" max="4371" width="27.5703125" style="196" customWidth="1"/>
    <col min="4372" max="4608" width="9.140625" style="196"/>
    <col min="4609" max="4609" width="6.42578125" style="196" customWidth="1"/>
    <col min="4610" max="4623" width="9.140625" style="196"/>
    <col min="4624" max="4624" width="9.85546875" style="196" customWidth="1"/>
    <col min="4625" max="4625" width="9.140625" style="196"/>
    <col min="4626" max="4626" width="11.42578125" style="196" customWidth="1"/>
    <col min="4627" max="4627" width="27.5703125" style="196" customWidth="1"/>
    <col min="4628" max="4864" width="9.140625" style="196"/>
    <col min="4865" max="4865" width="6.42578125" style="196" customWidth="1"/>
    <col min="4866" max="4879" width="9.140625" style="196"/>
    <col min="4880" max="4880" width="9.85546875" style="196" customWidth="1"/>
    <col min="4881" max="4881" width="9.140625" style="196"/>
    <col min="4882" max="4882" width="11.42578125" style="196" customWidth="1"/>
    <col min="4883" max="4883" width="27.5703125" style="196" customWidth="1"/>
    <col min="4884" max="5120" width="9.140625" style="196"/>
    <col min="5121" max="5121" width="6.42578125" style="196" customWidth="1"/>
    <col min="5122" max="5135" width="9.140625" style="196"/>
    <col min="5136" max="5136" width="9.85546875" style="196" customWidth="1"/>
    <col min="5137" max="5137" width="9.140625" style="196"/>
    <col min="5138" max="5138" width="11.42578125" style="196" customWidth="1"/>
    <col min="5139" max="5139" width="27.5703125" style="196" customWidth="1"/>
    <col min="5140" max="5376" width="9.140625" style="196"/>
    <col min="5377" max="5377" width="6.42578125" style="196" customWidth="1"/>
    <col min="5378" max="5391" width="9.140625" style="196"/>
    <col min="5392" max="5392" width="9.85546875" style="196" customWidth="1"/>
    <col min="5393" max="5393" width="9.140625" style="196"/>
    <col min="5394" max="5394" width="11.42578125" style="196" customWidth="1"/>
    <col min="5395" max="5395" width="27.5703125" style="196" customWidth="1"/>
    <col min="5396" max="5632" width="9.140625" style="196"/>
    <col min="5633" max="5633" width="6.42578125" style="196" customWidth="1"/>
    <col min="5634" max="5647" width="9.140625" style="196"/>
    <col min="5648" max="5648" width="9.85546875" style="196" customWidth="1"/>
    <col min="5649" max="5649" width="9.140625" style="196"/>
    <col min="5650" max="5650" width="11.42578125" style="196" customWidth="1"/>
    <col min="5651" max="5651" width="27.5703125" style="196" customWidth="1"/>
    <col min="5652" max="5888" width="9.140625" style="196"/>
    <col min="5889" max="5889" width="6.42578125" style="196" customWidth="1"/>
    <col min="5890" max="5903" width="9.140625" style="196"/>
    <col min="5904" max="5904" width="9.85546875" style="196" customWidth="1"/>
    <col min="5905" max="5905" width="9.140625" style="196"/>
    <col min="5906" max="5906" width="11.42578125" style="196" customWidth="1"/>
    <col min="5907" max="5907" width="27.5703125" style="196" customWidth="1"/>
    <col min="5908" max="6144" width="9.140625" style="196"/>
    <col min="6145" max="6145" width="6.42578125" style="196" customWidth="1"/>
    <col min="6146" max="6159" width="9.140625" style="196"/>
    <col min="6160" max="6160" width="9.85546875" style="196" customWidth="1"/>
    <col min="6161" max="6161" width="9.140625" style="196"/>
    <col min="6162" max="6162" width="11.42578125" style="196" customWidth="1"/>
    <col min="6163" max="6163" width="27.5703125" style="196" customWidth="1"/>
    <col min="6164" max="6400" width="9.140625" style="196"/>
    <col min="6401" max="6401" width="6.42578125" style="196" customWidth="1"/>
    <col min="6402" max="6415" width="9.140625" style="196"/>
    <col min="6416" max="6416" width="9.85546875" style="196" customWidth="1"/>
    <col min="6417" max="6417" width="9.140625" style="196"/>
    <col min="6418" max="6418" width="11.42578125" style="196" customWidth="1"/>
    <col min="6419" max="6419" width="27.5703125" style="196" customWidth="1"/>
    <col min="6420" max="6656" width="9.140625" style="196"/>
    <col min="6657" max="6657" width="6.42578125" style="196" customWidth="1"/>
    <col min="6658" max="6671" width="9.140625" style="196"/>
    <col min="6672" max="6672" width="9.85546875" style="196" customWidth="1"/>
    <col min="6673" max="6673" width="9.140625" style="196"/>
    <col min="6674" max="6674" width="11.42578125" style="196" customWidth="1"/>
    <col min="6675" max="6675" width="27.5703125" style="196" customWidth="1"/>
    <col min="6676" max="6912" width="9.140625" style="196"/>
    <col min="6913" max="6913" width="6.42578125" style="196" customWidth="1"/>
    <col min="6914" max="6927" width="9.140625" style="196"/>
    <col min="6928" max="6928" width="9.85546875" style="196" customWidth="1"/>
    <col min="6929" max="6929" width="9.140625" style="196"/>
    <col min="6930" max="6930" width="11.42578125" style="196" customWidth="1"/>
    <col min="6931" max="6931" width="27.5703125" style="196" customWidth="1"/>
    <col min="6932" max="7168" width="9.140625" style="196"/>
    <col min="7169" max="7169" width="6.42578125" style="196" customWidth="1"/>
    <col min="7170" max="7183" width="9.140625" style="196"/>
    <col min="7184" max="7184" width="9.85546875" style="196" customWidth="1"/>
    <col min="7185" max="7185" width="9.140625" style="196"/>
    <col min="7186" max="7186" width="11.42578125" style="196" customWidth="1"/>
    <col min="7187" max="7187" width="27.5703125" style="196" customWidth="1"/>
    <col min="7188" max="7424" width="9.140625" style="196"/>
    <col min="7425" max="7425" width="6.42578125" style="196" customWidth="1"/>
    <col min="7426" max="7439" width="9.140625" style="196"/>
    <col min="7440" max="7440" width="9.85546875" style="196" customWidth="1"/>
    <col min="7441" max="7441" width="9.140625" style="196"/>
    <col min="7442" max="7442" width="11.42578125" style="196" customWidth="1"/>
    <col min="7443" max="7443" width="27.5703125" style="196" customWidth="1"/>
    <col min="7444" max="7680" width="9.140625" style="196"/>
    <col min="7681" max="7681" width="6.42578125" style="196" customWidth="1"/>
    <col min="7682" max="7695" width="9.140625" style="196"/>
    <col min="7696" max="7696" width="9.85546875" style="196" customWidth="1"/>
    <col min="7697" max="7697" width="9.140625" style="196"/>
    <col min="7698" max="7698" width="11.42578125" style="196" customWidth="1"/>
    <col min="7699" max="7699" width="27.5703125" style="196" customWidth="1"/>
    <col min="7700" max="7936" width="9.140625" style="196"/>
    <col min="7937" max="7937" width="6.42578125" style="196" customWidth="1"/>
    <col min="7938" max="7951" width="9.140625" style="196"/>
    <col min="7952" max="7952" width="9.85546875" style="196" customWidth="1"/>
    <col min="7953" max="7953" width="9.140625" style="196"/>
    <col min="7954" max="7954" width="11.42578125" style="196" customWidth="1"/>
    <col min="7955" max="7955" width="27.5703125" style="196" customWidth="1"/>
    <col min="7956" max="8192" width="9.140625" style="196"/>
    <col min="8193" max="8193" width="6.42578125" style="196" customWidth="1"/>
    <col min="8194" max="8207" width="9.140625" style="196"/>
    <col min="8208" max="8208" width="9.85546875" style="196" customWidth="1"/>
    <col min="8209" max="8209" width="9.140625" style="196"/>
    <col min="8210" max="8210" width="11.42578125" style="196" customWidth="1"/>
    <col min="8211" max="8211" width="27.5703125" style="196" customWidth="1"/>
    <col min="8212" max="8448" width="9.140625" style="196"/>
    <col min="8449" max="8449" width="6.42578125" style="196" customWidth="1"/>
    <col min="8450" max="8463" width="9.140625" style="196"/>
    <col min="8464" max="8464" width="9.85546875" style="196" customWidth="1"/>
    <col min="8465" max="8465" width="9.140625" style="196"/>
    <col min="8466" max="8466" width="11.42578125" style="196" customWidth="1"/>
    <col min="8467" max="8467" width="27.5703125" style="196" customWidth="1"/>
    <col min="8468" max="8704" width="9.140625" style="196"/>
    <col min="8705" max="8705" width="6.42578125" style="196" customWidth="1"/>
    <col min="8706" max="8719" width="9.140625" style="196"/>
    <col min="8720" max="8720" width="9.85546875" style="196" customWidth="1"/>
    <col min="8721" max="8721" width="9.140625" style="196"/>
    <col min="8722" max="8722" width="11.42578125" style="196" customWidth="1"/>
    <col min="8723" max="8723" width="27.5703125" style="196" customWidth="1"/>
    <col min="8724" max="8960" width="9.140625" style="196"/>
    <col min="8961" max="8961" width="6.42578125" style="196" customWidth="1"/>
    <col min="8962" max="8975" width="9.140625" style="196"/>
    <col min="8976" max="8976" width="9.85546875" style="196" customWidth="1"/>
    <col min="8977" max="8977" width="9.140625" style="196"/>
    <col min="8978" max="8978" width="11.42578125" style="196" customWidth="1"/>
    <col min="8979" max="8979" width="27.5703125" style="196" customWidth="1"/>
    <col min="8980" max="9216" width="9.140625" style="196"/>
    <col min="9217" max="9217" width="6.42578125" style="196" customWidth="1"/>
    <col min="9218" max="9231" width="9.140625" style="196"/>
    <col min="9232" max="9232" width="9.85546875" style="196" customWidth="1"/>
    <col min="9233" max="9233" width="9.140625" style="196"/>
    <col min="9234" max="9234" width="11.42578125" style="196" customWidth="1"/>
    <col min="9235" max="9235" width="27.5703125" style="196" customWidth="1"/>
    <col min="9236" max="9472" width="9.140625" style="196"/>
    <col min="9473" max="9473" width="6.42578125" style="196" customWidth="1"/>
    <col min="9474" max="9487" width="9.140625" style="196"/>
    <col min="9488" max="9488" width="9.85546875" style="196" customWidth="1"/>
    <col min="9489" max="9489" width="9.140625" style="196"/>
    <col min="9490" max="9490" width="11.42578125" style="196" customWidth="1"/>
    <col min="9491" max="9491" width="27.5703125" style="196" customWidth="1"/>
    <col min="9492" max="9728" width="9.140625" style="196"/>
    <col min="9729" max="9729" width="6.42578125" style="196" customWidth="1"/>
    <col min="9730" max="9743" width="9.140625" style="196"/>
    <col min="9744" max="9744" width="9.85546875" style="196" customWidth="1"/>
    <col min="9745" max="9745" width="9.140625" style="196"/>
    <col min="9746" max="9746" width="11.42578125" style="196" customWidth="1"/>
    <col min="9747" max="9747" width="27.5703125" style="196" customWidth="1"/>
    <col min="9748" max="9984" width="9.140625" style="196"/>
    <col min="9985" max="9985" width="6.42578125" style="196" customWidth="1"/>
    <col min="9986" max="9999" width="9.140625" style="196"/>
    <col min="10000" max="10000" width="9.85546875" style="196" customWidth="1"/>
    <col min="10001" max="10001" width="9.140625" style="196"/>
    <col min="10002" max="10002" width="11.42578125" style="196" customWidth="1"/>
    <col min="10003" max="10003" width="27.5703125" style="196" customWidth="1"/>
    <col min="10004" max="10240" width="9.140625" style="196"/>
    <col min="10241" max="10241" width="6.42578125" style="196" customWidth="1"/>
    <col min="10242" max="10255" width="9.140625" style="196"/>
    <col min="10256" max="10256" width="9.85546875" style="196" customWidth="1"/>
    <col min="10257" max="10257" width="9.140625" style="196"/>
    <col min="10258" max="10258" width="11.42578125" style="196" customWidth="1"/>
    <col min="10259" max="10259" width="27.5703125" style="196" customWidth="1"/>
    <col min="10260" max="10496" width="9.140625" style="196"/>
    <col min="10497" max="10497" width="6.42578125" style="196" customWidth="1"/>
    <col min="10498" max="10511" width="9.140625" style="196"/>
    <col min="10512" max="10512" width="9.85546875" style="196" customWidth="1"/>
    <col min="10513" max="10513" width="9.140625" style="196"/>
    <col min="10514" max="10514" width="11.42578125" style="196" customWidth="1"/>
    <col min="10515" max="10515" width="27.5703125" style="196" customWidth="1"/>
    <col min="10516" max="10752" width="9.140625" style="196"/>
    <col min="10753" max="10753" width="6.42578125" style="196" customWidth="1"/>
    <col min="10754" max="10767" width="9.140625" style="196"/>
    <col min="10768" max="10768" width="9.85546875" style="196" customWidth="1"/>
    <col min="10769" max="10769" width="9.140625" style="196"/>
    <col min="10770" max="10770" width="11.42578125" style="196" customWidth="1"/>
    <col min="10771" max="10771" width="27.5703125" style="196" customWidth="1"/>
    <col min="10772" max="11008" width="9.140625" style="196"/>
    <col min="11009" max="11009" width="6.42578125" style="196" customWidth="1"/>
    <col min="11010" max="11023" width="9.140625" style="196"/>
    <col min="11024" max="11024" width="9.85546875" style="196" customWidth="1"/>
    <col min="11025" max="11025" width="9.140625" style="196"/>
    <col min="11026" max="11026" width="11.42578125" style="196" customWidth="1"/>
    <col min="11027" max="11027" width="27.5703125" style="196" customWidth="1"/>
    <col min="11028" max="11264" width="9.140625" style="196"/>
    <col min="11265" max="11265" width="6.42578125" style="196" customWidth="1"/>
    <col min="11266" max="11279" width="9.140625" style="196"/>
    <col min="11280" max="11280" width="9.85546875" style="196" customWidth="1"/>
    <col min="11281" max="11281" width="9.140625" style="196"/>
    <col min="11282" max="11282" width="11.42578125" style="196" customWidth="1"/>
    <col min="11283" max="11283" width="27.5703125" style="196" customWidth="1"/>
    <col min="11284" max="11520" width="9.140625" style="196"/>
    <col min="11521" max="11521" width="6.42578125" style="196" customWidth="1"/>
    <col min="11522" max="11535" width="9.140625" style="196"/>
    <col min="11536" max="11536" width="9.85546875" style="196" customWidth="1"/>
    <col min="11537" max="11537" width="9.140625" style="196"/>
    <col min="11538" max="11538" width="11.42578125" style="196" customWidth="1"/>
    <col min="11539" max="11539" width="27.5703125" style="196" customWidth="1"/>
    <col min="11540" max="11776" width="9.140625" style="196"/>
    <col min="11777" max="11777" width="6.42578125" style="196" customWidth="1"/>
    <col min="11778" max="11791" width="9.140625" style="196"/>
    <col min="11792" max="11792" width="9.85546875" style="196" customWidth="1"/>
    <col min="11793" max="11793" width="9.140625" style="196"/>
    <col min="11794" max="11794" width="11.42578125" style="196" customWidth="1"/>
    <col min="11795" max="11795" width="27.5703125" style="196" customWidth="1"/>
    <col min="11796" max="12032" width="9.140625" style="196"/>
    <col min="12033" max="12033" width="6.42578125" style="196" customWidth="1"/>
    <col min="12034" max="12047" width="9.140625" style="196"/>
    <col min="12048" max="12048" width="9.85546875" style="196" customWidth="1"/>
    <col min="12049" max="12049" width="9.140625" style="196"/>
    <col min="12050" max="12050" width="11.42578125" style="196" customWidth="1"/>
    <col min="12051" max="12051" width="27.5703125" style="196" customWidth="1"/>
    <col min="12052" max="12288" width="9.140625" style="196"/>
    <col min="12289" max="12289" width="6.42578125" style="196" customWidth="1"/>
    <col min="12290" max="12303" width="9.140625" style="196"/>
    <col min="12304" max="12304" width="9.85546875" style="196" customWidth="1"/>
    <col min="12305" max="12305" width="9.140625" style="196"/>
    <col min="12306" max="12306" width="11.42578125" style="196" customWidth="1"/>
    <col min="12307" max="12307" width="27.5703125" style="196" customWidth="1"/>
    <col min="12308" max="12544" width="9.140625" style="196"/>
    <col min="12545" max="12545" width="6.42578125" style="196" customWidth="1"/>
    <col min="12546" max="12559" width="9.140625" style="196"/>
    <col min="12560" max="12560" width="9.85546875" style="196" customWidth="1"/>
    <col min="12561" max="12561" width="9.140625" style="196"/>
    <col min="12562" max="12562" width="11.42578125" style="196" customWidth="1"/>
    <col min="12563" max="12563" width="27.5703125" style="196" customWidth="1"/>
    <col min="12564" max="12800" width="9.140625" style="196"/>
    <col min="12801" max="12801" width="6.42578125" style="196" customWidth="1"/>
    <col min="12802" max="12815" width="9.140625" style="196"/>
    <col min="12816" max="12816" width="9.85546875" style="196" customWidth="1"/>
    <col min="12817" max="12817" width="9.140625" style="196"/>
    <col min="12818" max="12818" width="11.42578125" style="196" customWidth="1"/>
    <col min="12819" max="12819" width="27.5703125" style="196" customWidth="1"/>
    <col min="12820" max="13056" width="9.140625" style="196"/>
    <col min="13057" max="13057" width="6.42578125" style="196" customWidth="1"/>
    <col min="13058" max="13071" width="9.140625" style="196"/>
    <col min="13072" max="13072" width="9.85546875" style="196" customWidth="1"/>
    <col min="13073" max="13073" width="9.140625" style="196"/>
    <col min="13074" max="13074" width="11.42578125" style="196" customWidth="1"/>
    <col min="13075" max="13075" width="27.5703125" style="196" customWidth="1"/>
    <col min="13076" max="13312" width="9.140625" style="196"/>
    <col min="13313" max="13313" width="6.42578125" style="196" customWidth="1"/>
    <col min="13314" max="13327" width="9.140625" style="196"/>
    <col min="13328" max="13328" width="9.85546875" style="196" customWidth="1"/>
    <col min="13329" max="13329" width="9.140625" style="196"/>
    <col min="13330" max="13330" width="11.42578125" style="196" customWidth="1"/>
    <col min="13331" max="13331" width="27.5703125" style="196" customWidth="1"/>
    <col min="13332" max="13568" width="9.140625" style="196"/>
    <col min="13569" max="13569" width="6.42578125" style="196" customWidth="1"/>
    <col min="13570" max="13583" width="9.140625" style="196"/>
    <col min="13584" max="13584" width="9.85546875" style="196" customWidth="1"/>
    <col min="13585" max="13585" width="9.140625" style="196"/>
    <col min="13586" max="13586" width="11.42578125" style="196" customWidth="1"/>
    <col min="13587" max="13587" width="27.5703125" style="196" customWidth="1"/>
    <col min="13588" max="13824" width="9.140625" style="196"/>
    <col min="13825" max="13825" width="6.42578125" style="196" customWidth="1"/>
    <col min="13826" max="13839" width="9.140625" style="196"/>
    <col min="13840" max="13840" width="9.85546875" style="196" customWidth="1"/>
    <col min="13841" max="13841" width="9.140625" style="196"/>
    <col min="13842" max="13842" width="11.42578125" style="196" customWidth="1"/>
    <col min="13843" max="13843" width="27.5703125" style="196" customWidth="1"/>
    <col min="13844" max="14080" width="9.140625" style="196"/>
    <col min="14081" max="14081" width="6.42578125" style="196" customWidth="1"/>
    <col min="14082" max="14095" width="9.140625" style="196"/>
    <col min="14096" max="14096" width="9.85546875" style="196" customWidth="1"/>
    <col min="14097" max="14097" width="9.140625" style="196"/>
    <col min="14098" max="14098" width="11.42578125" style="196" customWidth="1"/>
    <col min="14099" max="14099" width="27.5703125" style="196" customWidth="1"/>
    <col min="14100" max="14336" width="9.140625" style="196"/>
    <col min="14337" max="14337" width="6.42578125" style="196" customWidth="1"/>
    <col min="14338" max="14351" width="9.140625" style="196"/>
    <col min="14352" max="14352" width="9.85546875" style="196" customWidth="1"/>
    <col min="14353" max="14353" width="9.140625" style="196"/>
    <col min="14354" max="14354" width="11.42578125" style="196" customWidth="1"/>
    <col min="14355" max="14355" width="27.5703125" style="196" customWidth="1"/>
    <col min="14356" max="14592" width="9.140625" style="196"/>
    <col min="14593" max="14593" width="6.42578125" style="196" customWidth="1"/>
    <col min="14594" max="14607" width="9.140625" style="196"/>
    <col min="14608" max="14608" width="9.85546875" style="196" customWidth="1"/>
    <col min="14609" max="14609" width="9.140625" style="196"/>
    <col min="14610" max="14610" width="11.42578125" style="196" customWidth="1"/>
    <col min="14611" max="14611" width="27.5703125" style="196" customWidth="1"/>
    <col min="14612" max="14848" width="9.140625" style="196"/>
    <col min="14849" max="14849" width="6.42578125" style="196" customWidth="1"/>
    <col min="14850" max="14863" width="9.140625" style="196"/>
    <col min="14864" max="14864" width="9.85546875" style="196" customWidth="1"/>
    <col min="14865" max="14865" width="9.140625" style="196"/>
    <col min="14866" max="14866" width="11.42578125" style="196" customWidth="1"/>
    <col min="14867" max="14867" width="27.5703125" style="196" customWidth="1"/>
    <col min="14868" max="15104" width="9.140625" style="196"/>
    <col min="15105" max="15105" width="6.42578125" style="196" customWidth="1"/>
    <col min="15106" max="15119" width="9.140625" style="196"/>
    <col min="15120" max="15120" width="9.85546875" style="196" customWidth="1"/>
    <col min="15121" max="15121" width="9.140625" style="196"/>
    <col min="15122" max="15122" width="11.42578125" style="196" customWidth="1"/>
    <col min="15123" max="15123" width="27.5703125" style="196" customWidth="1"/>
    <col min="15124" max="15360" width="9.140625" style="196"/>
    <col min="15361" max="15361" width="6.42578125" style="196" customWidth="1"/>
    <col min="15362" max="15375" width="9.140625" style="196"/>
    <col min="15376" max="15376" width="9.85546875" style="196" customWidth="1"/>
    <col min="15377" max="15377" width="9.140625" style="196"/>
    <col min="15378" max="15378" width="11.42578125" style="196" customWidth="1"/>
    <col min="15379" max="15379" width="27.5703125" style="196" customWidth="1"/>
    <col min="15380" max="15616" width="9.140625" style="196"/>
    <col min="15617" max="15617" width="6.42578125" style="196" customWidth="1"/>
    <col min="15618" max="15631" width="9.140625" style="196"/>
    <col min="15632" max="15632" width="9.85546875" style="196" customWidth="1"/>
    <col min="15633" max="15633" width="9.140625" style="196"/>
    <col min="15634" max="15634" width="11.42578125" style="196" customWidth="1"/>
    <col min="15635" max="15635" width="27.5703125" style="196" customWidth="1"/>
    <col min="15636" max="15872" width="9.140625" style="196"/>
    <col min="15873" max="15873" width="6.42578125" style="196" customWidth="1"/>
    <col min="15874" max="15887" width="9.140625" style="196"/>
    <col min="15888" max="15888" width="9.85546875" style="196" customWidth="1"/>
    <col min="15889" max="15889" width="9.140625" style="196"/>
    <col min="15890" max="15890" width="11.42578125" style="196" customWidth="1"/>
    <col min="15891" max="15891" width="27.5703125" style="196" customWidth="1"/>
    <col min="15892" max="16128" width="9.140625" style="196"/>
    <col min="16129" max="16129" width="6.42578125" style="196" customWidth="1"/>
    <col min="16130" max="16143" width="9.140625" style="196"/>
    <col min="16144" max="16144" width="9.85546875" style="196" customWidth="1"/>
    <col min="16145" max="16145" width="9.140625" style="196"/>
    <col min="16146" max="16146" width="11.42578125" style="196" customWidth="1"/>
    <col min="16147" max="16147" width="27.5703125" style="196" customWidth="1"/>
    <col min="16148" max="16384" width="9.140625" style="196"/>
  </cols>
  <sheetData>
    <row r="1" spans="2:19" ht="13.5" thickBot="1" x14ac:dyDescent="0.25"/>
    <row r="2" spans="2:19" ht="13.5" thickBot="1" x14ac:dyDescent="0.25">
      <c r="B2" s="197"/>
      <c r="C2" s="198"/>
      <c r="D2" s="198"/>
      <c r="E2" s="198"/>
      <c r="F2" s="198"/>
      <c r="G2" s="198"/>
      <c r="H2" s="198"/>
      <c r="I2" s="198"/>
      <c r="J2" s="198"/>
      <c r="K2" s="198"/>
      <c r="L2" s="198"/>
      <c r="M2" s="198"/>
      <c r="N2" s="198"/>
      <c r="O2" s="198"/>
      <c r="P2" s="199"/>
      <c r="R2" s="200" t="s">
        <v>97</v>
      </c>
      <c r="S2" s="200"/>
    </row>
    <row r="3" spans="2:19" ht="18" x14ac:dyDescent="0.25">
      <c r="B3" s="201" t="s">
        <v>98</v>
      </c>
      <c r="C3" s="202"/>
      <c r="D3" s="202"/>
      <c r="E3" s="202"/>
      <c r="F3" s="202"/>
      <c r="G3" s="202"/>
      <c r="H3" s="202"/>
      <c r="I3" s="202"/>
      <c r="J3" s="202"/>
      <c r="K3" s="202"/>
      <c r="L3" s="202"/>
      <c r="M3" s="202"/>
      <c r="N3" s="202"/>
      <c r="O3" s="202"/>
      <c r="P3" s="203"/>
      <c r="R3" s="204"/>
      <c r="S3" s="205" t="s">
        <v>99</v>
      </c>
    </row>
    <row r="4" spans="2:19" ht="15" customHeight="1" x14ac:dyDescent="0.2">
      <c r="B4" s="206" t="s">
        <v>100</v>
      </c>
      <c r="C4" s="207"/>
      <c r="D4" s="207"/>
      <c r="E4" s="207"/>
      <c r="F4" s="207"/>
      <c r="G4" s="207"/>
      <c r="H4" s="207"/>
      <c r="I4" s="207"/>
      <c r="J4" s="207"/>
      <c r="K4" s="207"/>
      <c r="L4" s="207"/>
      <c r="M4" s="207"/>
      <c r="N4" s="207"/>
      <c r="O4" s="207"/>
      <c r="P4" s="208"/>
      <c r="R4" s="209"/>
      <c r="S4" s="210" t="s">
        <v>101</v>
      </c>
    </row>
    <row r="5" spans="2:19" ht="15.75" customHeight="1" thickBot="1" x14ac:dyDescent="0.25">
      <c r="B5" s="206"/>
      <c r="C5" s="207"/>
      <c r="D5" s="207"/>
      <c r="E5" s="207"/>
      <c r="F5" s="207"/>
      <c r="G5" s="207"/>
      <c r="H5" s="207"/>
      <c r="I5" s="207"/>
      <c r="J5" s="207"/>
      <c r="K5" s="207"/>
      <c r="L5" s="207"/>
      <c r="M5" s="207"/>
      <c r="N5" s="207"/>
      <c r="O5" s="207"/>
      <c r="P5" s="208"/>
      <c r="R5" s="211" t="s">
        <v>102</v>
      </c>
      <c r="S5" s="210" t="s">
        <v>103</v>
      </c>
    </row>
    <row r="6" spans="2:19" ht="13.5" thickBot="1" x14ac:dyDescent="0.25">
      <c r="B6" s="212"/>
      <c r="C6" s="202"/>
      <c r="D6" s="202"/>
      <c r="E6" s="202"/>
      <c r="F6" s="202"/>
      <c r="G6" s="202"/>
      <c r="H6" s="202"/>
      <c r="I6" s="202"/>
      <c r="J6" s="202"/>
      <c r="K6" s="202"/>
      <c r="L6" s="202"/>
      <c r="M6" s="202"/>
      <c r="N6" s="202"/>
      <c r="O6" s="202"/>
      <c r="P6" s="203"/>
      <c r="R6" s="213" t="s">
        <v>104</v>
      </c>
      <c r="S6" s="214"/>
    </row>
    <row r="7" spans="2:19" ht="15" x14ac:dyDescent="0.25">
      <c r="B7" s="215" t="s">
        <v>105</v>
      </c>
      <c r="C7" s="202"/>
      <c r="D7" s="202"/>
      <c r="E7" s="202"/>
      <c r="F7" s="202"/>
      <c r="G7" s="202"/>
      <c r="H7" s="202"/>
      <c r="I7" s="202"/>
      <c r="J7" s="202"/>
      <c r="K7" s="202"/>
      <c r="L7" s="202"/>
      <c r="M7" s="202"/>
      <c r="N7" s="202"/>
      <c r="O7" s="202"/>
      <c r="P7" s="203"/>
      <c r="R7" s="216"/>
      <c r="S7" s="205" t="s">
        <v>99</v>
      </c>
    </row>
    <row r="8" spans="2:19" ht="16.5" customHeight="1" x14ac:dyDescent="0.2">
      <c r="B8" s="217" t="s">
        <v>106</v>
      </c>
      <c r="C8" s="218"/>
      <c r="D8" s="218"/>
      <c r="E8" s="218"/>
      <c r="F8" s="218"/>
      <c r="G8" s="218"/>
      <c r="H8" s="218"/>
      <c r="I8" s="218"/>
      <c r="J8" s="218"/>
      <c r="K8" s="218"/>
      <c r="L8" s="218"/>
      <c r="M8" s="218"/>
      <c r="N8" s="218"/>
      <c r="O8" s="218"/>
      <c r="P8" s="219"/>
      <c r="R8" s="220"/>
      <c r="S8" s="205" t="s">
        <v>107</v>
      </c>
    </row>
    <row r="9" spans="2:19" ht="16.5" customHeight="1" thickBot="1" x14ac:dyDescent="0.25">
      <c r="B9" s="221"/>
      <c r="C9" s="218"/>
      <c r="D9" s="218"/>
      <c r="E9" s="218"/>
      <c r="F9" s="218"/>
      <c r="G9" s="218"/>
      <c r="H9" s="218"/>
      <c r="I9" s="218"/>
      <c r="J9" s="218"/>
      <c r="K9" s="218"/>
      <c r="L9" s="218"/>
      <c r="M9" s="218"/>
      <c r="N9" s="218"/>
      <c r="O9" s="218"/>
      <c r="P9" s="219"/>
      <c r="R9" s="222"/>
      <c r="S9" s="223" t="s">
        <v>108</v>
      </c>
    </row>
    <row r="10" spans="2:19" ht="16.5" customHeight="1" x14ac:dyDescent="0.2">
      <c r="B10" s="221"/>
      <c r="C10" s="218"/>
      <c r="D10" s="218"/>
      <c r="E10" s="218"/>
      <c r="F10" s="218"/>
      <c r="G10" s="218"/>
      <c r="H10" s="218"/>
      <c r="I10" s="218"/>
      <c r="J10" s="218"/>
      <c r="K10" s="218"/>
      <c r="L10" s="218"/>
      <c r="M10" s="218"/>
      <c r="N10" s="218"/>
      <c r="O10" s="218"/>
      <c r="P10" s="219"/>
    </row>
    <row r="11" spans="2:19" ht="16.5" customHeight="1" x14ac:dyDescent="0.2">
      <c r="B11" s="221"/>
      <c r="C11" s="218"/>
      <c r="D11" s="218"/>
      <c r="E11" s="218"/>
      <c r="F11" s="218"/>
      <c r="G11" s="218"/>
      <c r="H11" s="218"/>
      <c r="I11" s="218"/>
      <c r="J11" s="218"/>
      <c r="K11" s="218"/>
      <c r="L11" s="218"/>
      <c r="M11" s="218"/>
      <c r="N11" s="218"/>
      <c r="O11" s="218"/>
      <c r="P11" s="219"/>
    </row>
    <row r="12" spans="2:19" ht="16.5" customHeight="1" x14ac:dyDescent="0.2">
      <c r="B12" s="221"/>
      <c r="C12" s="218"/>
      <c r="D12" s="218"/>
      <c r="E12" s="218"/>
      <c r="F12" s="218"/>
      <c r="G12" s="218"/>
      <c r="H12" s="218"/>
      <c r="I12" s="218"/>
      <c r="J12" s="218"/>
      <c r="K12" s="218"/>
      <c r="L12" s="218"/>
      <c r="M12" s="218"/>
      <c r="N12" s="218"/>
      <c r="O12" s="218"/>
      <c r="P12" s="219"/>
    </row>
    <row r="13" spans="2:19" ht="16.5" customHeight="1" x14ac:dyDescent="0.2">
      <c r="B13" s="221"/>
      <c r="C13" s="218"/>
      <c r="D13" s="218"/>
      <c r="E13" s="218"/>
      <c r="F13" s="218"/>
      <c r="G13" s="218"/>
      <c r="H13" s="218"/>
      <c r="I13" s="218"/>
      <c r="J13" s="218"/>
      <c r="K13" s="218"/>
      <c r="L13" s="218"/>
      <c r="M13" s="218"/>
      <c r="N13" s="218"/>
      <c r="O13" s="218"/>
      <c r="P13" s="219"/>
    </row>
    <row r="14" spans="2:19" ht="16.5" customHeight="1" x14ac:dyDescent="0.2">
      <c r="B14" s="221"/>
      <c r="C14" s="218"/>
      <c r="D14" s="218"/>
      <c r="E14" s="218"/>
      <c r="F14" s="218"/>
      <c r="G14" s="218"/>
      <c r="H14" s="218"/>
      <c r="I14" s="218"/>
      <c r="J14" s="218"/>
      <c r="K14" s="218"/>
      <c r="L14" s="218"/>
      <c r="M14" s="218"/>
      <c r="N14" s="218"/>
      <c r="O14" s="218"/>
      <c r="P14" s="219"/>
    </row>
    <row r="15" spans="2:19" ht="16.5" customHeight="1" x14ac:dyDescent="0.2">
      <c r="B15" s="221"/>
      <c r="C15" s="218"/>
      <c r="D15" s="218"/>
      <c r="E15" s="218"/>
      <c r="F15" s="218"/>
      <c r="G15" s="218"/>
      <c r="H15" s="218"/>
      <c r="I15" s="218"/>
      <c r="J15" s="218"/>
      <c r="K15" s="218"/>
      <c r="L15" s="218"/>
      <c r="M15" s="218"/>
      <c r="N15" s="218"/>
      <c r="O15" s="218"/>
      <c r="P15" s="219"/>
    </row>
    <row r="16" spans="2:19" ht="16.5" customHeight="1" x14ac:dyDescent="0.2">
      <c r="B16" s="221"/>
      <c r="C16" s="218"/>
      <c r="D16" s="218"/>
      <c r="E16" s="218"/>
      <c r="F16" s="218"/>
      <c r="G16" s="218"/>
      <c r="H16" s="218"/>
      <c r="I16" s="218"/>
      <c r="J16" s="218"/>
      <c r="K16" s="218"/>
      <c r="L16" s="218"/>
      <c r="M16" s="218"/>
      <c r="N16" s="218"/>
      <c r="O16" s="218"/>
      <c r="P16" s="219"/>
    </row>
    <row r="17" spans="2:16" ht="16.5" customHeight="1" x14ac:dyDescent="0.2">
      <c r="B17" s="221"/>
      <c r="C17" s="218"/>
      <c r="D17" s="218"/>
      <c r="E17" s="218"/>
      <c r="F17" s="218"/>
      <c r="G17" s="218"/>
      <c r="H17" s="218"/>
      <c r="I17" s="218"/>
      <c r="J17" s="218"/>
      <c r="K17" s="218"/>
      <c r="L17" s="218"/>
      <c r="M17" s="218"/>
      <c r="N17" s="218"/>
      <c r="O17" s="218"/>
      <c r="P17" s="219"/>
    </row>
    <row r="18" spans="2:16" ht="16.5" customHeight="1" x14ac:dyDescent="0.2">
      <c r="B18" s="221"/>
      <c r="C18" s="218"/>
      <c r="D18" s="218"/>
      <c r="E18" s="218"/>
      <c r="F18" s="218"/>
      <c r="G18" s="218"/>
      <c r="H18" s="218"/>
      <c r="I18" s="218"/>
      <c r="J18" s="218"/>
      <c r="K18" s="218"/>
      <c r="L18" s="218"/>
      <c r="M18" s="218"/>
      <c r="N18" s="218"/>
      <c r="O18" s="218"/>
      <c r="P18" s="219"/>
    </row>
    <row r="19" spans="2:16" ht="16.5" customHeight="1" x14ac:dyDescent="0.2">
      <c r="B19" s="221"/>
      <c r="C19" s="218"/>
      <c r="D19" s="218"/>
      <c r="E19" s="218"/>
      <c r="F19" s="218"/>
      <c r="G19" s="218"/>
      <c r="H19" s="218"/>
      <c r="I19" s="218"/>
      <c r="J19" s="218"/>
      <c r="K19" s="218"/>
      <c r="L19" s="218"/>
      <c r="M19" s="218"/>
      <c r="N19" s="218"/>
      <c r="O19" s="218"/>
      <c r="P19" s="219"/>
    </row>
    <row r="20" spans="2:16" ht="16.5" customHeight="1" x14ac:dyDescent="0.2">
      <c r="B20" s="221"/>
      <c r="C20" s="218"/>
      <c r="D20" s="218"/>
      <c r="E20" s="218"/>
      <c r="F20" s="218"/>
      <c r="G20" s="218"/>
      <c r="H20" s="218"/>
      <c r="I20" s="218"/>
      <c r="J20" s="218"/>
      <c r="K20" s="218"/>
      <c r="L20" s="218"/>
      <c r="M20" s="218"/>
      <c r="N20" s="218"/>
      <c r="O20" s="218"/>
      <c r="P20" s="219"/>
    </row>
    <row r="21" spans="2:16" ht="16.5" customHeight="1" x14ac:dyDescent="0.2">
      <c r="B21" s="221"/>
      <c r="C21" s="218"/>
      <c r="D21" s="218"/>
      <c r="E21" s="218"/>
      <c r="F21" s="218"/>
      <c r="G21" s="218"/>
      <c r="H21" s="218"/>
      <c r="I21" s="218"/>
      <c r="J21" s="218"/>
      <c r="K21" s="218"/>
      <c r="L21" s="218"/>
      <c r="M21" s="218"/>
      <c r="N21" s="218"/>
      <c r="O21" s="218"/>
      <c r="P21" s="219"/>
    </row>
    <row r="22" spans="2:16" ht="16.5" customHeight="1" x14ac:dyDescent="0.2">
      <c r="B22" s="221"/>
      <c r="C22" s="218"/>
      <c r="D22" s="218"/>
      <c r="E22" s="218"/>
      <c r="F22" s="218"/>
      <c r="G22" s="218"/>
      <c r="H22" s="218"/>
      <c r="I22" s="218"/>
      <c r="J22" s="218"/>
      <c r="K22" s="218"/>
      <c r="L22" s="218"/>
      <c r="M22" s="218"/>
      <c r="N22" s="218"/>
      <c r="O22" s="218"/>
      <c r="P22" s="219"/>
    </row>
    <row r="23" spans="2:16" ht="16.5" customHeight="1" x14ac:dyDescent="0.2">
      <c r="B23" s="221"/>
      <c r="C23" s="218"/>
      <c r="D23" s="218"/>
      <c r="E23" s="218"/>
      <c r="F23" s="218"/>
      <c r="G23" s="218"/>
      <c r="H23" s="218"/>
      <c r="I23" s="218"/>
      <c r="J23" s="218"/>
      <c r="K23" s="218"/>
      <c r="L23" s="218"/>
      <c r="M23" s="218"/>
      <c r="N23" s="218"/>
      <c r="O23" s="218"/>
      <c r="P23" s="219"/>
    </row>
    <row r="24" spans="2:16" ht="16.5" customHeight="1" x14ac:dyDescent="0.2">
      <c r="B24" s="221"/>
      <c r="C24" s="218"/>
      <c r="D24" s="218"/>
      <c r="E24" s="218"/>
      <c r="F24" s="218"/>
      <c r="G24" s="218"/>
      <c r="H24" s="218"/>
      <c r="I24" s="218"/>
      <c r="J24" s="218"/>
      <c r="K24" s="218"/>
      <c r="L24" s="218"/>
      <c r="M24" s="218"/>
      <c r="N24" s="218"/>
      <c r="O24" s="218"/>
      <c r="P24" s="219"/>
    </row>
    <row r="25" spans="2:16" ht="16.5" customHeight="1" x14ac:dyDescent="0.2">
      <c r="B25" s="221"/>
      <c r="C25" s="218"/>
      <c r="D25" s="218"/>
      <c r="E25" s="218"/>
      <c r="F25" s="218"/>
      <c r="G25" s="218"/>
      <c r="H25" s="218"/>
      <c r="I25" s="218"/>
      <c r="J25" s="218"/>
      <c r="K25" s="218"/>
      <c r="L25" s="218"/>
      <c r="M25" s="218"/>
      <c r="N25" s="218"/>
      <c r="O25" s="218"/>
      <c r="P25" s="219"/>
    </row>
    <row r="26" spans="2:16" ht="15" x14ac:dyDescent="0.25">
      <c r="B26" s="215" t="s">
        <v>109</v>
      </c>
      <c r="C26" s="202"/>
      <c r="D26" s="202"/>
      <c r="E26" s="202"/>
      <c r="F26" s="202"/>
      <c r="G26" s="202"/>
      <c r="H26" s="202"/>
      <c r="I26" s="202"/>
      <c r="J26" s="202"/>
      <c r="K26" s="202"/>
      <c r="L26" s="202"/>
      <c r="M26" s="202"/>
      <c r="N26" s="202"/>
      <c r="O26" s="202"/>
      <c r="P26" s="203"/>
    </row>
    <row r="27" spans="2:16" x14ac:dyDescent="0.2">
      <c r="B27" s="217" t="s">
        <v>110</v>
      </c>
      <c r="C27" s="224"/>
      <c r="D27" s="224"/>
      <c r="E27" s="224"/>
      <c r="F27" s="224"/>
      <c r="G27" s="224"/>
      <c r="H27" s="224"/>
      <c r="I27" s="224"/>
      <c r="J27" s="224"/>
      <c r="K27" s="224"/>
      <c r="L27" s="224"/>
      <c r="M27" s="224"/>
      <c r="N27" s="224"/>
      <c r="O27" s="224"/>
      <c r="P27" s="225"/>
    </row>
    <row r="28" spans="2:16" x14ac:dyDescent="0.2">
      <c r="B28" s="217"/>
      <c r="C28" s="224"/>
      <c r="D28" s="224"/>
      <c r="E28" s="224"/>
      <c r="F28" s="224"/>
      <c r="G28" s="224"/>
      <c r="H28" s="224"/>
      <c r="I28" s="224"/>
      <c r="J28" s="224"/>
      <c r="K28" s="224"/>
      <c r="L28" s="224"/>
      <c r="M28" s="224"/>
      <c r="N28" s="224"/>
      <c r="O28" s="224"/>
      <c r="P28" s="225"/>
    </row>
    <row r="29" spans="2:16" x14ac:dyDescent="0.2">
      <c r="B29" s="217"/>
      <c r="C29" s="224"/>
      <c r="D29" s="224"/>
      <c r="E29" s="224"/>
      <c r="F29" s="224"/>
      <c r="G29" s="224"/>
      <c r="H29" s="224"/>
      <c r="I29" s="224"/>
      <c r="J29" s="224"/>
      <c r="K29" s="224"/>
      <c r="L29" s="224"/>
      <c r="M29" s="224"/>
      <c r="N29" s="224"/>
      <c r="O29" s="224"/>
      <c r="P29" s="225"/>
    </row>
    <row r="30" spans="2:16" x14ac:dyDescent="0.2">
      <c r="B30" s="217"/>
      <c r="C30" s="224"/>
      <c r="D30" s="224"/>
      <c r="E30" s="224"/>
      <c r="F30" s="224"/>
      <c r="G30" s="224"/>
      <c r="H30" s="224"/>
      <c r="I30" s="224"/>
      <c r="J30" s="224"/>
      <c r="K30" s="224"/>
      <c r="L30" s="224"/>
      <c r="M30" s="224"/>
      <c r="N30" s="224"/>
      <c r="O30" s="224"/>
      <c r="P30" s="225"/>
    </row>
    <row r="31" spans="2:16" x14ac:dyDescent="0.2">
      <c r="B31" s="217"/>
      <c r="C31" s="224"/>
      <c r="D31" s="224"/>
      <c r="E31" s="224"/>
      <c r="F31" s="224"/>
      <c r="G31" s="224"/>
      <c r="H31" s="224"/>
      <c r="I31" s="224"/>
      <c r="J31" s="224"/>
      <c r="K31" s="224"/>
      <c r="L31" s="224"/>
      <c r="M31" s="224"/>
      <c r="N31" s="224"/>
      <c r="O31" s="224"/>
      <c r="P31" s="225"/>
    </row>
    <row r="32" spans="2:16" ht="28.5" customHeight="1" x14ac:dyDescent="0.2">
      <c r="B32" s="217"/>
      <c r="C32" s="224"/>
      <c r="D32" s="224"/>
      <c r="E32" s="224"/>
      <c r="F32" s="224"/>
      <c r="G32" s="224"/>
      <c r="H32" s="224"/>
      <c r="I32" s="224"/>
      <c r="J32" s="224"/>
      <c r="K32" s="224"/>
      <c r="L32" s="224"/>
      <c r="M32" s="224"/>
      <c r="N32" s="224"/>
      <c r="O32" s="224"/>
      <c r="P32" s="225"/>
    </row>
    <row r="33" spans="2:16" ht="15" x14ac:dyDescent="0.25">
      <c r="B33" s="215" t="s">
        <v>111</v>
      </c>
      <c r="C33" s="202"/>
      <c r="D33" s="202"/>
      <c r="E33" s="202"/>
      <c r="F33" s="202"/>
      <c r="G33" s="202"/>
      <c r="H33" s="202"/>
      <c r="I33" s="202"/>
      <c r="J33" s="202"/>
      <c r="K33" s="202"/>
      <c r="L33" s="202"/>
      <c r="M33" s="202"/>
      <c r="N33" s="202"/>
      <c r="O33" s="202"/>
      <c r="P33" s="203"/>
    </row>
    <row r="34" spans="2:16" x14ac:dyDescent="0.2">
      <c r="B34" s="217" t="s">
        <v>112</v>
      </c>
      <c r="C34" s="224"/>
      <c r="D34" s="224"/>
      <c r="E34" s="224"/>
      <c r="F34" s="224"/>
      <c r="G34" s="224"/>
      <c r="H34" s="224"/>
      <c r="I34" s="224"/>
      <c r="J34" s="224"/>
      <c r="K34" s="224"/>
      <c r="L34" s="224"/>
      <c r="M34" s="224"/>
      <c r="N34" s="224"/>
      <c r="O34" s="224"/>
      <c r="P34" s="225"/>
    </row>
    <row r="35" spans="2:16" x14ac:dyDescent="0.2">
      <c r="B35" s="217"/>
      <c r="C35" s="224"/>
      <c r="D35" s="224"/>
      <c r="E35" s="224"/>
      <c r="F35" s="224"/>
      <c r="G35" s="224"/>
      <c r="H35" s="224"/>
      <c r="I35" s="224"/>
      <c r="J35" s="224"/>
      <c r="K35" s="224"/>
      <c r="L35" s="224"/>
      <c r="M35" s="224"/>
      <c r="N35" s="224"/>
      <c r="O35" s="224"/>
      <c r="P35" s="225"/>
    </row>
    <row r="36" spans="2:16" x14ac:dyDescent="0.2">
      <c r="B36" s="217"/>
      <c r="C36" s="224"/>
      <c r="D36" s="224"/>
      <c r="E36" s="224"/>
      <c r="F36" s="224"/>
      <c r="G36" s="224"/>
      <c r="H36" s="224"/>
      <c r="I36" s="224"/>
      <c r="J36" s="224"/>
      <c r="K36" s="224"/>
      <c r="L36" s="224"/>
      <c r="M36" s="224"/>
      <c r="N36" s="224"/>
      <c r="O36" s="224"/>
      <c r="P36" s="225"/>
    </row>
    <row r="37" spans="2:16" x14ac:dyDescent="0.2">
      <c r="B37" s="217"/>
      <c r="C37" s="224"/>
      <c r="D37" s="224"/>
      <c r="E37" s="224"/>
      <c r="F37" s="224"/>
      <c r="G37" s="224"/>
      <c r="H37" s="224"/>
      <c r="I37" s="224"/>
      <c r="J37" s="224"/>
      <c r="K37" s="224"/>
      <c r="L37" s="224"/>
      <c r="M37" s="224"/>
      <c r="N37" s="224"/>
      <c r="O37" s="224"/>
      <c r="P37" s="225"/>
    </row>
    <row r="38" spans="2:16" x14ac:dyDescent="0.2">
      <c r="B38" s="217"/>
      <c r="C38" s="224"/>
      <c r="D38" s="224"/>
      <c r="E38" s="224"/>
      <c r="F38" s="224"/>
      <c r="G38" s="224"/>
      <c r="H38" s="224"/>
      <c r="I38" s="224"/>
      <c r="J38" s="224"/>
      <c r="K38" s="224"/>
      <c r="L38" s="224"/>
      <c r="M38" s="224"/>
      <c r="N38" s="224"/>
      <c r="O38" s="224"/>
      <c r="P38" s="225"/>
    </row>
    <row r="39" spans="2:16" x14ac:dyDescent="0.2">
      <c r="B39" s="217"/>
      <c r="C39" s="224"/>
      <c r="D39" s="224"/>
      <c r="E39" s="224"/>
      <c r="F39" s="224"/>
      <c r="G39" s="224"/>
      <c r="H39" s="224"/>
      <c r="I39" s="224"/>
      <c r="J39" s="224"/>
      <c r="K39" s="224"/>
      <c r="L39" s="224"/>
      <c r="M39" s="224"/>
      <c r="N39" s="224"/>
      <c r="O39" s="224"/>
      <c r="P39" s="225"/>
    </row>
    <row r="40" spans="2:16" ht="14.25" x14ac:dyDescent="0.2">
      <c r="B40" s="226" t="s">
        <v>113</v>
      </c>
      <c r="C40" s="202"/>
      <c r="D40" s="202"/>
      <c r="E40" s="202"/>
      <c r="F40" s="202"/>
      <c r="G40" s="202"/>
      <c r="H40" s="202"/>
      <c r="I40" s="202"/>
      <c r="J40" s="202"/>
      <c r="K40" s="202"/>
      <c r="L40" s="202"/>
      <c r="M40" s="202"/>
      <c r="N40" s="202"/>
      <c r="O40" s="202"/>
      <c r="P40" s="203"/>
    </row>
    <row r="41" spans="2:16" ht="16.5" customHeight="1" x14ac:dyDescent="0.2">
      <c r="B41" s="227" t="s">
        <v>114</v>
      </c>
      <c r="C41" s="218"/>
      <c r="D41" s="218"/>
      <c r="E41" s="218"/>
      <c r="F41" s="218"/>
      <c r="G41" s="218"/>
      <c r="H41" s="218"/>
      <c r="I41" s="218"/>
      <c r="J41" s="218"/>
      <c r="K41" s="218"/>
      <c r="L41" s="218"/>
      <c r="M41" s="218"/>
      <c r="N41" s="218"/>
      <c r="O41" s="218"/>
      <c r="P41" s="219"/>
    </row>
    <row r="42" spans="2:16" ht="16.5" customHeight="1" x14ac:dyDescent="0.2">
      <c r="B42" s="221"/>
      <c r="C42" s="218"/>
      <c r="D42" s="218"/>
      <c r="E42" s="218"/>
      <c r="F42" s="218"/>
      <c r="G42" s="218"/>
      <c r="H42" s="218"/>
      <c r="I42" s="218"/>
      <c r="J42" s="218"/>
      <c r="K42" s="218"/>
      <c r="L42" s="218"/>
      <c r="M42" s="218"/>
      <c r="N42" s="218"/>
      <c r="O42" s="218"/>
      <c r="P42" s="219"/>
    </row>
    <row r="43" spans="2:16" ht="16.5" customHeight="1" x14ac:dyDescent="0.2">
      <c r="B43" s="221"/>
      <c r="C43" s="218"/>
      <c r="D43" s="218"/>
      <c r="E43" s="218"/>
      <c r="F43" s="218"/>
      <c r="G43" s="218"/>
      <c r="H43" s="218"/>
      <c r="I43" s="218"/>
      <c r="J43" s="218"/>
      <c r="K43" s="218"/>
      <c r="L43" s="218"/>
      <c r="M43" s="218"/>
      <c r="N43" s="218"/>
      <c r="O43" s="218"/>
      <c r="P43" s="219"/>
    </row>
    <row r="44" spans="2:16" ht="16.5" customHeight="1" x14ac:dyDescent="0.2">
      <c r="B44" s="221"/>
      <c r="C44" s="218"/>
      <c r="D44" s="218"/>
      <c r="E44" s="218"/>
      <c r="F44" s="218"/>
      <c r="G44" s="218"/>
      <c r="H44" s="218"/>
      <c r="I44" s="218"/>
      <c r="J44" s="218"/>
      <c r="K44" s="218"/>
      <c r="L44" s="218"/>
      <c r="M44" s="218"/>
      <c r="N44" s="218"/>
      <c r="O44" s="218"/>
      <c r="P44" s="219"/>
    </row>
    <row r="45" spans="2:16" ht="16.5" customHeight="1" x14ac:dyDescent="0.2">
      <c r="B45" s="221"/>
      <c r="C45" s="218"/>
      <c r="D45" s="218"/>
      <c r="E45" s="218"/>
      <c r="F45" s="218"/>
      <c r="G45" s="218"/>
      <c r="H45" s="218"/>
      <c r="I45" s="218"/>
      <c r="J45" s="218"/>
      <c r="K45" s="218"/>
      <c r="L45" s="218"/>
      <c r="M45" s="218"/>
      <c r="N45" s="218"/>
      <c r="O45" s="218"/>
      <c r="P45" s="219"/>
    </row>
    <row r="46" spans="2:16" ht="16.5" customHeight="1" x14ac:dyDescent="0.2">
      <c r="B46" s="221"/>
      <c r="C46" s="218"/>
      <c r="D46" s="218"/>
      <c r="E46" s="218"/>
      <c r="F46" s="218"/>
      <c r="G46" s="218"/>
      <c r="H46" s="218"/>
      <c r="I46" s="218"/>
      <c r="J46" s="218"/>
      <c r="K46" s="218"/>
      <c r="L46" s="218"/>
      <c r="M46" s="218"/>
      <c r="N46" s="218"/>
      <c r="O46" s="218"/>
      <c r="P46" s="219"/>
    </row>
    <row r="47" spans="2:16" ht="16.5" customHeight="1" x14ac:dyDescent="0.2">
      <c r="B47" s="221"/>
      <c r="C47" s="218"/>
      <c r="D47" s="218"/>
      <c r="E47" s="218"/>
      <c r="F47" s="218"/>
      <c r="G47" s="218"/>
      <c r="H47" s="218"/>
      <c r="I47" s="218"/>
      <c r="J47" s="218"/>
      <c r="K47" s="218"/>
      <c r="L47" s="218"/>
      <c r="M47" s="218"/>
      <c r="N47" s="218"/>
      <c r="O47" s="218"/>
      <c r="P47" s="219"/>
    </row>
    <row r="48" spans="2:16" ht="16.5" customHeight="1" x14ac:dyDescent="0.2">
      <c r="B48" s="221"/>
      <c r="C48" s="218"/>
      <c r="D48" s="218"/>
      <c r="E48" s="218"/>
      <c r="F48" s="218"/>
      <c r="G48" s="218"/>
      <c r="H48" s="218"/>
      <c r="I48" s="218"/>
      <c r="J48" s="218"/>
      <c r="K48" s="218"/>
      <c r="L48" s="218"/>
      <c r="M48" s="218"/>
      <c r="N48" s="218"/>
      <c r="O48" s="218"/>
      <c r="P48" s="219"/>
    </row>
    <row r="49" spans="2:16" ht="16.5" customHeight="1" x14ac:dyDescent="0.2">
      <c r="B49" s="221"/>
      <c r="C49" s="218"/>
      <c r="D49" s="218"/>
      <c r="E49" s="218"/>
      <c r="F49" s="218"/>
      <c r="G49" s="218"/>
      <c r="H49" s="218"/>
      <c r="I49" s="218"/>
      <c r="J49" s="218"/>
      <c r="K49" s="218"/>
      <c r="L49" s="218"/>
      <c r="M49" s="218"/>
      <c r="N49" s="218"/>
      <c r="O49" s="218"/>
      <c r="P49" s="219"/>
    </row>
    <row r="50" spans="2:16" ht="16.5" customHeight="1" x14ac:dyDescent="0.2">
      <c r="B50" s="221"/>
      <c r="C50" s="218"/>
      <c r="D50" s="218"/>
      <c r="E50" s="218"/>
      <c r="F50" s="218"/>
      <c r="G50" s="218"/>
      <c r="H50" s="218"/>
      <c r="I50" s="218"/>
      <c r="J50" s="218"/>
      <c r="K50" s="218"/>
      <c r="L50" s="218"/>
      <c r="M50" s="218"/>
      <c r="N50" s="218"/>
      <c r="O50" s="218"/>
      <c r="P50" s="219"/>
    </row>
    <row r="51" spans="2:16" ht="16.5" customHeight="1" x14ac:dyDescent="0.2">
      <c r="B51" s="221"/>
      <c r="C51" s="218"/>
      <c r="D51" s="218"/>
      <c r="E51" s="218"/>
      <c r="F51" s="218"/>
      <c r="G51" s="218"/>
      <c r="H51" s="218"/>
      <c r="I51" s="218"/>
      <c r="J51" s="218"/>
      <c r="K51" s="218"/>
      <c r="L51" s="218"/>
      <c r="M51" s="218"/>
      <c r="N51" s="218"/>
      <c r="O51" s="218"/>
      <c r="P51" s="219"/>
    </row>
    <row r="52" spans="2:16" ht="16.5" customHeight="1" x14ac:dyDescent="0.2">
      <c r="B52" s="221"/>
      <c r="C52" s="218"/>
      <c r="D52" s="218"/>
      <c r="E52" s="218"/>
      <c r="F52" s="218"/>
      <c r="G52" s="218"/>
      <c r="H52" s="218"/>
      <c r="I52" s="218"/>
      <c r="J52" s="218"/>
      <c r="K52" s="218"/>
      <c r="L52" s="218"/>
      <c r="M52" s="218"/>
      <c r="N52" s="218"/>
      <c r="O52" s="218"/>
      <c r="P52" s="219"/>
    </row>
    <row r="53" spans="2:16" ht="16.5" customHeight="1" x14ac:dyDescent="0.2">
      <c r="B53" s="221"/>
      <c r="C53" s="218"/>
      <c r="D53" s="218"/>
      <c r="E53" s="218"/>
      <c r="F53" s="218"/>
      <c r="G53" s="218"/>
      <c r="H53" s="218"/>
      <c r="I53" s="218"/>
      <c r="J53" s="218"/>
      <c r="K53" s="218"/>
      <c r="L53" s="218"/>
      <c r="M53" s="218"/>
      <c r="N53" s="218"/>
      <c r="O53" s="218"/>
      <c r="P53" s="219"/>
    </row>
    <row r="54" spans="2:16" ht="16.5" customHeight="1" x14ac:dyDescent="0.2">
      <c r="B54" s="221"/>
      <c r="C54" s="218"/>
      <c r="D54" s="218"/>
      <c r="E54" s="218"/>
      <c r="F54" s="218"/>
      <c r="G54" s="218"/>
      <c r="H54" s="218"/>
      <c r="I54" s="218"/>
      <c r="J54" s="218"/>
      <c r="K54" s="218"/>
      <c r="L54" s="218"/>
      <c r="M54" s="218"/>
      <c r="N54" s="218"/>
      <c r="O54" s="218"/>
      <c r="P54" s="219"/>
    </row>
    <row r="55" spans="2:16" ht="16.5" customHeight="1" x14ac:dyDescent="0.2">
      <c r="B55" s="221"/>
      <c r="C55" s="218"/>
      <c r="D55" s="218"/>
      <c r="E55" s="218"/>
      <c r="F55" s="218"/>
      <c r="G55" s="218"/>
      <c r="H55" s="218"/>
      <c r="I55" s="218"/>
      <c r="J55" s="218"/>
      <c r="K55" s="218"/>
      <c r="L55" s="218"/>
      <c r="M55" s="218"/>
      <c r="N55" s="218"/>
      <c r="O55" s="218"/>
      <c r="P55" s="219"/>
    </row>
    <row r="56" spans="2:16" ht="16.5" customHeight="1" x14ac:dyDescent="0.2">
      <c r="B56" s="221"/>
      <c r="C56" s="218"/>
      <c r="D56" s="218"/>
      <c r="E56" s="218"/>
      <c r="F56" s="218"/>
      <c r="G56" s="218"/>
      <c r="H56" s="218"/>
      <c r="I56" s="218"/>
      <c r="J56" s="218"/>
      <c r="K56" s="218"/>
      <c r="L56" s="218"/>
      <c r="M56" s="218"/>
      <c r="N56" s="218"/>
      <c r="O56" s="218"/>
      <c r="P56" s="219"/>
    </row>
    <row r="57" spans="2:16" ht="16.5" customHeight="1" x14ac:dyDescent="0.2">
      <c r="B57" s="221"/>
      <c r="C57" s="218"/>
      <c r="D57" s="218"/>
      <c r="E57" s="218"/>
      <c r="F57" s="218"/>
      <c r="G57" s="218"/>
      <c r="H57" s="218"/>
      <c r="I57" s="218"/>
      <c r="J57" s="218"/>
      <c r="K57" s="218"/>
      <c r="L57" s="218"/>
      <c r="M57" s="218"/>
      <c r="N57" s="218"/>
      <c r="O57" s="218"/>
      <c r="P57" s="219"/>
    </row>
    <row r="58" spans="2:16" ht="16.5" customHeight="1" x14ac:dyDescent="0.2">
      <c r="B58" s="221"/>
      <c r="C58" s="218"/>
      <c r="D58" s="218"/>
      <c r="E58" s="218"/>
      <c r="F58" s="218"/>
      <c r="G58" s="218"/>
      <c r="H58" s="218"/>
      <c r="I58" s="218"/>
      <c r="J58" s="218"/>
      <c r="K58" s="218"/>
      <c r="L58" s="218"/>
      <c r="M58" s="218"/>
      <c r="N58" s="218"/>
      <c r="O58" s="218"/>
      <c r="P58" s="219"/>
    </row>
    <row r="59" spans="2:16" ht="16.5" customHeight="1" x14ac:dyDescent="0.2">
      <c r="B59" s="221"/>
      <c r="C59" s="218"/>
      <c r="D59" s="218"/>
      <c r="E59" s="218"/>
      <c r="F59" s="218"/>
      <c r="G59" s="218"/>
      <c r="H59" s="218"/>
      <c r="I59" s="218"/>
      <c r="J59" s="218"/>
      <c r="K59" s="218"/>
      <c r="L59" s="218"/>
      <c r="M59" s="218"/>
      <c r="N59" s="218"/>
      <c r="O59" s="218"/>
      <c r="P59" s="219"/>
    </row>
    <row r="60" spans="2:16" ht="16.5" customHeight="1" x14ac:dyDescent="0.2">
      <c r="B60" s="221"/>
      <c r="C60" s="218"/>
      <c r="D60" s="218"/>
      <c r="E60" s="218"/>
      <c r="F60" s="218"/>
      <c r="G60" s="218"/>
      <c r="H60" s="218"/>
      <c r="I60" s="218"/>
      <c r="J60" s="218"/>
      <c r="K60" s="218"/>
      <c r="L60" s="218"/>
      <c r="M60" s="218"/>
      <c r="N60" s="218"/>
      <c r="O60" s="218"/>
      <c r="P60" s="219"/>
    </row>
    <row r="61" spans="2:16" ht="16.5" customHeight="1" x14ac:dyDescent="0.2">
      <c r="B61" s="221"/>
      <c r="C61" s="218"/>
      <c r="D61" s="218"/>
      <c r="E61" s="218"/>
      <c r="F61" s="218"/>
      <c r="G61" s="218"/>
      <c r="H61" s="218"/>
      <c r="I61" s="218"/>
      <c r="J61" s="218"/>
      <c r="K61" s="218"/>
      <c r="L61" s="218"/>
      <c r="M61" s="218"/>
      <c r="N61" s="218"/>
      <c r="O61" s="218"/>
      <c r="P61" s="219"/>
    </row>
    <row r="62" spans="2:16" ht="16.5" customHeight="1" x14ac:dyDescent="0.2">
      <c r="B62" s="221"/>
      <c r="C62" s="218"/>
      <c r="D62" s="218"/>
      <c r="E62" s="218"/>
      <c r="F62" s="218"/>
      <c r="G62" s="218"/>
      <c r="H62" s="218"/>
      <c r="I62" s="218"/>
      <c r="J62" s="218"/>
      <c r="K62" s="218"/>
      <c r="L62" s="218"/>
      <c r="M62" s="218"/>
      <c r="N62" s="218"/>
      <c r="O62" s="218"/>
      <c r="P62" s="219"/>
    </row>
    <row r="63" spans="2:16" ht="16.5" customHeight="1" x14ac:dyDescent="0.2">
      <c r="B63" s="221"/>
      <c r="C63" s="218"/>
      <c r="D63" s="218"/>
      <c r="E63" s="218"/>
      <c r="F63" s="218"/>
      <c r="G63" s="218"/>
      <c r="H63" s="218"/>
      <c r="I63" s="218"/>
      <c r="J63" s="218"/>
      <c r="K63" s="218"/>
      <c r="L63" s="218"/>
      <c r="M63" s="218"/>
      <c r="N63" s="218"/>
      <c r="O63" s="218"/>
      <c r="P63" s="219"/>
    </row>
    <row r="64" spans="2:16" ht="16.5" customHeight="1" x14ac:dyDescent="0.2">
      <c r="B64" s="221"/>
      <c r="C64" s="218"/>
      <c r="D64" s="218"/>
      <c r="E64" s="218"/>
      <c r="F64" s="218"/>
      <c r="G64" s="218"/>
      <c r="H64" s="218"/>
      <c r="I64" s="218"/>
      <c r="J64" s="218"/>
      <c r="K64" s="218"/>
      <c r="L64" s="218"/>
      <c r="M64" s="218"/>
      <c r="N64" s="218"/>
      <c r="O64" s="218"/>
      <c r="P64" s="219"/>
    </row>
    <row r="65" spans="2:16" ht="16.5" customHeight="1" x14ac:dyDescent="0.2">
      <c r="B65" s="221"/>
      <c r="C65" s="218"/>
      <c r="D65" s="218"/>
      <c r="E65" s="218"/>
      <c r="F65" s="218"/>
      <c r="G65" s="218"/>
      <c r="H65" s="218"/>
      <c r="I65" s="218"/>
      <c r="J65" s="218"/>
      <c r="K65" s="218"/>
      <c r="L65" s="218"/>
      <c r="M65" s="218"/>
      <c r="N65" s="218"/>
      <c r="O65" s="218"/>
      <c r="P65" s="219"/>
    </row>
    <row r="66" spans="2:16" ht="16.5" customHeight="1" x14ac:dyDescent="0.2">
      <c r="B66" s="221"/>
      <c r="C66" s="218"/>
      <c r="D66" s="218"/>
      <c r="E66" s="218"/>
      <c r="F66" s="218"/>
      <c r="G66" s="218"/>
      <c r="H66" s="218"/>
      <c r="I66" s="218"/>
      <c r="J66" s="218"/>
      <c r="K66" s="218"/>
      <c r="L66" s="218"/>
      <c r="M66" s="218"/>
      <c r="N66" s="218"/>
      <c r="O66" s="218"/>
      <c r="P66" s="219"/>
    </row>
    <row r="67" spans="2:16" ht="16.5" customHeight="1" x14ac:dyDescent="0.2">
      <c r="B67" s="221"/>
      <c r="C67" s="218"/>
      <c r="D67" s="218"/>
      <c r="E67" s="218"/>
      <c r="F67" s="218"/>
      <c r="G67" s="218"/>
      <c r="H67" s="218"/>
      <c r="I67" s="218"/>
      <c r="J67" s="218"/>
      <c r="K67" s="218"/>
      <c r="L67" s="218"/>
      <c r="M67" s="218"/>
      <c r="N67" s="218"/>
      <c r="O67" s="218"/>
      <c r="P67" s="219"/>
    </row>
    <row r="68" spans="2:16" ht="16.5" customHeight="1" x14ac:dyDescent="0.2">
      <c r="B68" s="221"/>
      <c r="C68" s="218"/>
      <c r="D68" s="218"/>
      <c r="E68" s="218"/>
      <c r="F68" s="218"/>
      <c r="G68" s="218"/>
      <c r="H68" s="218"/>
      <c r="I68" s="218"/>
      <c r="J68" s="218"/>
      <c r="K68" s="218"/>
      <c r="L68" s="218"/>
      <c r="M68" s="218"/>
      <c r="N68" s="218"/>
      <c r="O68" s="218"/>
      <c r="P68" s="219"/>
    </row>
    <row r="69" spans="2:16" ht="16.5" customHeight="1" x14ac:dyDescent="0.2">
      <c r="B69" s="221"/>
      <c r="C69" s="218"/>
      <c r="D69" s="218"/>
      <c r="E69" s="218"/>
      <c r="F69" s="218"/>
      <c r="G69" s="218"/>
      <c r="H69" s="218"/>
      <c r="I69" s="218"/>
      <c r="J69" s="218"/>
      <c r="K69" s="218"/>
      <c r="L69" s="218"/>
      <c r="M69" s="218"/>
      <c r="N69" s="218"/>
      <c r="O69" s="218"/>
      <c r="P69" s="219"/>
    </row>
    <row r="70" spans="2:16" ht="16.5" customHeight="1" x14ac:dyDescent="0.2">
      <c r="B70" s="221"/>
      <c r="C70" s="218"/>
      <c r="D70" s="218"/>
      <c r="E70" s="218"/>
      <c r="F70" s="218"/>
      <c r="G70" s="218"/>
      <c r="H70" s="218"/>
      <c r="I70" s="218"/>
      <c r="J70" s="218"/>
      <c r="K70" s="218"/>
      <c r="L70" s="218"/>
      <c r="M70" s="218"/>
      <c r="N70" s="218"/>
      <c r="O70" s="218"/>
      <c r="P70" s="219"/>
    </row>
    <row r="71" spans="2:16" ht="16.5" customHeight="1" x14ac:dyDescent="0.2">
      <c r="B71" s="221"/>
      <c r="C71" s="218"/>
      <c r="D71" s="218"/>
      <c r="E71" s="218"/>
      <c r="F71" s="218"/>
      <c r="G71" s="218"/>
      <c r="H71" s="218"/>
      <c r="I71" s="218"/>
      <c r="J71" s="218"/>
      <c r="K71" s="218"/>
      <c r="L71" s="218"/>
      <c r="M71" s="218"/>
      <c r="N71" s="218"/>
      <c r="O71" s="218"/>
      <c r="P71" s="219"/>
    </row>
    <row r="72" spans="2:16" ht="69" customHeight="1" x14ac:dyDescent="0.2">
      <c r="B72" s="221"/>
      <c r="C72" s="218"/>
      <c r="D72" s="218"/>
      <c r="E72" s="218"/>
      <c r="F72" s="218"/>
      <c r="G72" s="218"/>
      <c r="H72" s="218"/>
      <c r="I72" s="218"/>
      <c r="J72" s="218"/>
      <c r="K72" s="218"/>
      <c r="L72" s="218"/>
      <c r="M72" s="218"/>
      <c r="N72" s="218"/>
      <c r="O72" s="218"/>
      <c r="P72" s="219"/>
    </row>
    <row r="73" spans="2:16" ht="15" x14ac:dyDescent="0.25">
      <c r="B73" s="215" t="s">
        <v>115</v>
      </c>
      <c r="C73" s="202"/>
      <c r="D73" s="202"/>
      <c r="E73" s="202"/>
      <c r="F73" s="202"/>
      <c r="G73" s="202"/>
      <c r="H73" s="202"/>
      <c r="I73" s="202"/>
      <c r="J73" s="202"/>
      <c r="K73" s="202"/>
      <c r="L73" s="202"/>
      <c r="M73" s="202"/>
      <c r="N73" s="202"/>
      <c r="O73" s="202"/>
      <c r="P73" s="203"/>
    </row>
    <row r="74" spans="2:16" ht="14.25" x14ac:dyDescent="0.2">
      <c r="B74" s="228" t="s">
        <v>116</v>
      </c>
      <c r="C74" s="202"/>
      <c r="D74" s="202"/>
      <c r="E74" s="202"/>
      <c r="F74" s="202"/>
      <c r="G74" s="202"/>
      <c r="H74" s="202"/>
      <c r="I74" s="202"/>
      <c r="J74" s="202"/>
      <c r="K74" s="202"/>
      <c r="L74" s="202"/>
      <c r="M74" s="202"/>
      <c r="N74" s="202"/>
      <c r="O74" s="202"/>
      <c r="P74" s="203"/>
    </row>
    <row r="75" spans="2:16" x14ac:dyDescent="0.2">
      <c r="B75" s="212"/>
      <c r="C75" s="202"/>
      <c r="D75" s="202"/>
      <c r="E75" s="202"/>
      <c r="F75" s="202"/>
      <c r="G75" s="202"/>
      <c r="H75" s="202"/>
      <c r="I75" s="202"/>
      <c r="J75" s="202"/>
      <c r="K75" s="202"/>
      <c r="L75" s="202"/>
      <c r="M75" s="202"/>
      <c r="N75" s="202"/>
      <c r="O75" s="202"/>
      <c r="P75" s="203"/>
    </row>
    <row r="76" spans="2:16" x14ac:dyDescent="0.2">
      <c r="B76" s="212"/>
      <c r="C76" s="202"/>
      <c r="D76" s="202"/>
      <c r="E76" s="202"/>
      <c r="F76" s="202"/>
      <c r="G76" s="202"/>
      <c r="H76" s="202"/>
      <c r="I76" s="202"/>
      <c r="J76" s="202"/>
      <c r="K76" s="202"/>
      <c r="L76" s="202"/>
      <c r="M76" s="202"/>
      <c r="N76" s="202"/>
      <c r="O76" s="202"/>
      <c r="P76" s="203"/>
    </row>
    <row r="77" spans="2:16" ht="13.5" thickBot="1" x14ac:dyDescent="0.25">
      <c r="B77" s="212"/>
      <c r="C77" s="202"/>
      <c r="D77" s="202"/>
      <c r="E77" s="202"/>
      <c r="F77" s="202"/>
      <c r="G77" s="202"/>
      <c r="H77" s="202"/>
      <c r="I77" s="202"/>
      <c r="J77" s="202"/>
      <c r="K77" s="202"/>
      <c r="L77" s="202"/>
      <c r="M77" s="202"/>
      <c r="N77" s="202"/>
      <c r="O77" s="202"/>
      <c r="P77" s="203"/>
    </row>
    <row r="78" spans="2:16" x14ac:dyDescent="0.2">
      <c r="B78" s="229"/>
      <c r="C78" s="229"/>
      <c r="D78" s="229"/>
      <c r="E78" s="229"/>
      <c r="F78" s="229"/>
      <c r="G78" s="229"/>
      <c r="H78" s="229"/>
      <c r="I78" s="229"/>
      <c r="J78" s="229"/>
      <c r="K78" s="229"/>
      <c r="L78" s="229"/>
      <c r="M78" s="229"/>
      <c r="N78" s="229"/>
      <c r="O78" s="229"/>
      <c r="P78" s="229"/>
    </row>
    <row r="79" spans="2:16" x14ac:dyDescent="0.2">
      <c r="B79" s="230"/>
      <c r="C79" s="230"/>
      <c r="D79" s="230"/>
      <c r="E79" s="230"/>
      <c r="F79" s="230"/>
      <c r="G79" s="230"/>
      <c r="H79" s="230"/>
      <c r="I79" s="230"/>
      <c r="J79" s="230"/>
      <c r="K79" s="230"/>
      <c r="L79" s="230"/>
      <c r="M79" s="230"/>
      <c r="N79" s="230"/>
      <c r="O79" s="230"/>
      <c r="P79" s="230"/>
    </row>
    <row r="80" spans="2:16" x14ac:dyDescent="0.2">
      <c r="B80" s="230"/>
      <c r="C80" s="230"/>
      <c r="D80" s="230"/>
      <c r="E80" s="230"/>
      <c r="F80" s="230"/>
      <c r="G80" s="230"/>
      <c r="H80" s="230"/>
      <c r="I80" s="230"/>
      <c r="J80" s="230"/>
      <c r="K80" s="230"/>
      <c r="L80" s="230"/>
      <c r="M80" s="230"/>
      <c r="N80" s="230"/>
      <c r="O80" s="230"/>
      <c r="P80" s="230"/>
    </row>
    <row r="81" spans="2:16" x14ac:dyDescent="0.2">
      <c r="B81" s="230"/>
      <c r="C81" s="230"/>
      <c r="D81" s="230"/>
      <c r="E81" s="230"/>
      <c r="F81" s="230"/>
      <c r="G81" s="230"/>
      <c r="H81" s="230"/>
      <c r="I81" s="230"/>
      <c r="J81" s="230"/>
      <c r="K81" s="230"/>
      <c r="L81" s="230"/>
      <c r="M81" s="230"/>
      <c r="N81" s="230"/>
      <c r="O81" s="230"/>
      <c r="P81" s="230"/>
    </row>
    <row r="82" spans="2:16" x14ac:dyDescent="0.2">
      <c r="B82" s="230"/>
      <c r="C82" s="230"/>
      <c r="D82" s="230"/>
      <c r="E82" s="230"/>
      <c r="F82" s="230"/>
      <c r="G82" s="230"/>
      <c r="H82" s="230"/>
      <c r="I82" s="230"/>
      <c r="J82" s="230"/>
      <c r="K82" s="230"/>
      <c r="L82" s="230"/>
      <c r="M82" s="230"/>
      <c r="N82" s="230"/>
      <c r="O82" s="230"/>
      <c r="P82" s="230"/>
    </row>
    <row r="83" spans="2:16" x14ac:dyDescent="0.2">
      <c r="B83" s="230"/>
      <c r="C83" s="230"/>
      <c r="D83" s="230"/>
      <c r="E83" s="230"/>
      <c r="F83" s="230"/>
      <c r="G83" s="230"/>
      <c r="H83" s="230"/>
      <c r="I83" s="230"/>
      <c r="J83" s="230"/>
      <c r="K83" s="230"/>
      <c r="L83" s="230"/>
      <c r="M83" s="230"/>
      <c r="N83" s="230"/>
      <c r="O83" s="230"/>
      <c r="P83" s="230"/>
    </row>
    <row r="84" spans="2:16" x14ac:dyDescent="0.2">
      <c r="B84" s="230"/>
      <c r="C84" s="230"/>
      <c r="D84" s="230"/>
      <c r="E84" s="230"/>
      <c r="F84" s="230"/>
      <c r="G84" s="230"/>
      <c r="H84" s="230"/>
      <c r="I84" s="230"/>
      <c r="J84" s="230"/>
      <c r="K84" s="230"/>
      <c r="L84" s="230"/>
      <c r="M84" s="230"/>
      <c r="N84" s="230"/>
      <c r="O84" s="230"/>
      <c r="P84" s="230"/>
    </row>
  </sheetData>
  <mergeCells count="7">
    <mergeCell ref="R2:S2"/>
    <mergeCell ref="B4:P5"/>
    <mergeCell ref="R6:S6"/>
    <mergeCell ref="B8:P25"/>
    <mergeCell ref="B27:P32"/>
    <mergeCell ref="B34:P39"/>
    <mergeCell ref="B41:P72"/>
  </mergeCell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InputMessage="1" showErrorMessage="1" xr:uid="{E45413C3-B49E-4E09-8A53-520E295976CE}">
          <x14:formula1>
            <xm:f>#REF!</xm:f>
          </x14:formula1>
          <xm:sqref>D11</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3</vt:i4>
      </vt:variant>
    </vt:vector>
  </HeadingPairs>
  <TitlesOfParts>
    <vt:vector size="11" baseType="lpstr">
      <vt:lpstr>Total GHG Reduction by Project</vt:lpstr>
      <vt:lpstr>Landfill.EPA.Tool</vt:lpstr>
      <vt:lpstr>AD.WARM Conversions</vt:lpstr>
      <vt:lpstr>Transit. US DOE Miles Est.</vt:lpstr>
      <vt:lpstr>GHG Reduction Minus RTA buses</vt:lpstr>
      <vt:lpstr>Solar Installation</vt:lpstr>
      <vt:lpstr>LF. Calculations and References</vt:lpstr>
      <vt:lpstr>AD. EPA WARM Model</vt:lpstr>
      <vt:lpstr>Landfill.EPA.Tool!Print_Area</vt:lpstr>
      <vt:lpstr>'LF. Calculations and References'!Print_Area</vt:lpstr>
      <vt:lpstr>'LF. Calculations and References'!Print_Titles</vt:lpstr>
    </vt:vector>
  </TitlesOfParts>
  <Company>Eastern Research Group</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ERG - Morrisville</dc:creator>
  <cp:lastModifiedBy>Adam Spaulding</cp:lastModifiedBy>
  <cp:lastPrinted>2023-05-16T13:43:36Z</cp:lastPrinted>
  <dcterms:created xsi:type="dcterms:W3CDTF">2001-10-03T18:13:51Z</dcterms:created>
  <dcterms:modified xsi:type="dcterms:W3CDTF">2024-04-02T03:01:03Z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WorkbookGuid">
    <vt:lpwstr>a1656fff-0ade-40e5-b136-02891e9bd1a7</vt:lpwstr>
  </property>
</Properties>
</file>