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fairmountinc-my.sharepoint.com/personal/fileserver_fairmountinc_com/Documents/Clients O-S/Philadelphia Energy Authority/CPRG/Submission Docs/"/>
    </mc:Choice>
  </mc:AlternateContent>
  <xr:revisionPtr revIDLastSave="0" documentId="8_{3588D6D3-7F1E-4A82-8699-2D4AC6913CDE}" xr6:coauthVersionLast="47" xr6:coauthVersionMax="47" xr10:uidLastSave="{00000000-0000-0000-0000-000000000000}"/>
  <bookViews>
    <workbookView xWindow="-120" yWindow="-120" windowWidth="29040" windowHeight="15840" xr2:uid="{00000000-000D-0000-FFFF-FFFF00000000}"/>
  </bookViews>
  <sheets>
    <sheet name="CPRG Budge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yVEHaBTRfHzPhOZsDpcCSnmpWkK7gvN9eB0Xs13dw20="/>
    </ext>
  </extLst>
</workbook>
</file>

<file path=xl/calcChain.xml><?xml version="1.0" encoding="utf-8"?>
<calcChain xmlns="http://schemas.openxmlformats.org/spreadsheetml/2006/main">
  <c r="H85" i="1" l="1"/>
  <c r="H84" i="1"/>
  <c r="H83" i="1"/>
  <c r="H82" i="1"/>
  <c r="H81" i="1"/>
  <c r="H80" i="1"/>
  <c r="H79" i="1"/>
  <c r="E78" i="1"/>
  <c r="C78" i="1"/>
  <c r="H77" i="1"/>
  <c r="C76" i="1"/>
  <c r="H76" i="1" s="1"/>
  <c r="H75" i="1"/>
  <c r="H74" i="1"/>
  <c r="H73" i="1"/>
  <c r="H72" i="1"/>
  <c r="H71" i="1"/>
  <c r="H70" i="1"/>
  <c r="F70" i="1"/>
  <c r="E70" i="1"/>
  <c r="D70" i="1"/>
  <c r="C70" i="1"/>
  <c r="H69" i="1"/>
  <c r="C68" i="1"/>
  <c r="H68" i="1" s="1"/>
  <c r="H67" i="1"/>
  <c r="G67" i="1"/>
  <c r="F67" i="1"/>
  <c r="E67" i="1"/>
  <c r="D67" i="1"/>
  <c r="C67" i="1"/>
  <c r="H66" i="1"/>
  <c r="H65" i="1"/>
  <c r="H64" i="1"/>
  <c r="H63" i="1"/>
  <c r="C62" i="1"/>
  <c r="H62" i="1" s="1"/>
  <c r="H61" i="1"/>
  <c r="H60" i="1"/>
  <c r="H59" i="1"/>
  <c r="H58" i="1"/>
  <c r="H57" i="1"/>
  <c r="H56" i="1"/>
  <c r="H55" i="1"/>
  <c r="G54" i="1"/>
  <c r="F54" i="1"/>
  <c r="E54" i="1"/>
  <c r="D54" i="1"/>
  <c r="C54" i="1"/>
  <c r="H53" i="1"/>
  <c r="D52" i="1"/>
  <c r="C52" i="1"/>
  <c r="H51" i="1"/>
  <c r="C51" i="1"/>
  <c r="G50" i="1"/>
  <c r="F50" i="1"/>
  <c r="F86" i="1" s="1"/>
  <c r="E50" i="1"/>
  <c r="D50" i="1"/>
  <c r="C50" i="1"/>
  <c r="H49" i="1"/>
  <c r="G47" i="1"/>
  <c r="F47" i="1"/>
  <c r="E47" i="1"/>
  <c r="D47" i="1"/>
  <c r="C47" i="1"/>
  <c r="G46" i="1"/>
  <c r="F46" i="1"/>
  <c r="E46" i="1"/>
  <c r="D46" i="1"/>
  <c r="C46" i="1"/>
  <c r="E44" i="1"/>
  <c r="C44" i="1"/>
  <c r="H43" i="1"/>
  <c r="G43" i="1"/>
  <c r="G44" i="1" s="1"/>
  <c r="F43" i="1"/>
  <c r="F44" i="1" s="1"/>
  <c r="E43" i="1"/>
  <c r="D43" i="1"/>
  <c r="D44" i="1" s="1"/>
  <c r="C43" i="1"/>
  <c r="H42" i="1"/>
  <c r="H41" i="1"/>
  <c r="H40" i="1"/>
  <c r="H39" i="1"/>
  <c r="H36" i="1"/>
  <c r="G35" i="1"/>
  <c r="G37" i="1" s="1"/>
  <c r="F35" i="1"/>
  <c r="E35" i="1"/>
  <c r="E37" i="1" s="1"/>
  <c r="D35" i="1"/>
  <c r="D37" i="1" s="1"/>
  <c r="C35" i="1"/>
  <c r="F34" i="1"/>
  <c r="C34" i="1"/>
  <c r="C37" i="1" s="1"/>
  <c r="G32" i="1"/>
  <c r="F32" i="1"/>
  <c r="E32" i="1"/>
  <c r="D32" i="1"/>
  <c r="C32" i="1"/>
  <c r="H31" i="1"/>
  <c r="H32" i="1" s="1"/>
  <c r="G28" i="1"/>
  <c r="F28" i="1"/>
  <c r="E28" i="1"/>
  <c r="D28" i="1"/>
  <c r="C28" i="1"/>
  <c r="C29" i="1" s="1"/>
  <c r="G27" i="1"/>
  <c r="F27" i="1"/>
  <c r="F29" i="1" s="1"/>
  <c r="E27" i="1"/>
  <c r="D27" i="1"/>
  <c r="D29" i="1" s="1"/>
  <c r="C27" i="1"/>
  <c r="C21" i="1"/>
  <c r="D21" i="1" s="1"/>
  <c r="E21" i="1" s="1"/>
  <c r="F21" i="1" s="1"/>
  <c r="G21" i="1" s="1"/>
  <c r="D20" i="1"/>
  <c r="C19" i="1"/>
  <c r="D19" i="1" s="1"/>
  <c r="E19" i="1" s="1"/>
  <c r="F19" i="1" s="1"/>
  <c r="G19" i="1" s="1"/>
  <c r="C18" i="1"/>
  <c r="D18" i="1" s="1"/>
  <c r="C17" i="1"/>
  <c r="D17" i="1" s="1"/>
  <c r="C16" i="1"/>
  <c r="D16" i="1" s="1"/>
  <c r="E16" i="1" s="1"/>
  <c r="F16" i="1" s="1"/>
  <c r="G16" i="1" s="1"/>
  <c r="F15" i="1"/>
  <c r="G15" i="1" s="1"/>
  <c r="H15" i="1" s="1"/>
  <c r="C14" i="1"/>
  <c r="C13" i="1"/>
  <c r="D13" i="1" s="1"/>
  <c r="E13" i="1" s="1"/>
  <c r="F13" i="1" s="1"/>
  <c r="G13" i="1" s="1"/>
  <c r="C12" i="1"/>
  <c r="D12" i="1" s="1"/>
  <c r="C11" i="1"/>
  <c r="D11" i="1" s="1"/>
  <c r="E11" i="1" s="1"/>
  <c r="F11" i="1" s="1"/>
  <c r="G11" i="1" s="1"/>
  <c r="C10" i="1"/>
  <c r="C9" i="1"/>
  <c r="D8" i="1"/>
  <c r="E86" i="1" l="1"/>
  <c r="E87" i="1" s="1"/>
  <c r="H47" i="1"/>
  <c r="D9" i="1"/>
  <c r="E9" i="1" s="1"/>
  <c r="F9" i="1" s="1"/>
  <c r="G9" i="1" s="1"/>
  <c r="H28" i="1"/>
  <c r="H46" i="1"/>
  <c r="H52" i="1"/>
  <c r="D86" i="1"/>
  <c r="H35" i="1"/>
  <c r="H44" i="1"/>
  <c r="H78" i="1"/>
  <c r="C22" i="1"/>
  <c r="D10" i="1"/>
  <c r="E10" i="1" s="1"/>
  <c r="F10" i="1" s="1"/>
  <c r="G10" i="1" s="1"/>
  <c r="H27" i="1"/>
  <c r="H29" i="1" s="1"/>
  <c r="E29" i="1"/>
  <c r="D87" i="1"/>
  <c r="E17" i="1"/>
  <c r="F17" i="1" s="1"/>
  <c r="G17" i="1" s="1"/>
  <c r="H17" i="1" s="1"/>
  <c r="F87" i="1"/>
  <c r="H13" i="1"/>
  <c r="E18" i="1"/>
  <c r="F18" i="1" s="1"/>
  <c r="G18" i="1" s="1"/>
  <c r="G86" i="1"/>
  <c r="G87" i="1" s="1"/>
  <c r="H50" i="1"/>
  <c r="D14" i="1"/>
  <c r="E14" i="1" s="1"/>
  <c r="F14" i="1" s="1"/>
  <c r="G14" i="1" s="1"/>
  <c r="H19" i="1"/>
  <c r="H34" i="1"/>
  <c r="H37" i="1" s="1"/>
  <c r="F37" i="1"/>
  <c r="H21" i="1"/>
  <c r="G29" i="1"/>
  <c r="H11" i="1"/>
  <c r="E12" i="1"/>
  <c r="F12" i="1" s="1"/>
  <c r="G12" i="1" s="1"/>
  <c r="H54" i="1"/>
  <c r="C86" i="1"/>
  <c r="C87" i="1" s="1"/>
  <c r="E8" i="1"/>
  <c r="H16" i="1"/>
  <c r="E20" i="1"/>
  <c r="F20" i="1" s="1"/>
  <c r="G20" i="1" s="1"/>
  <c r="H9" i="1" l="1"/>
  <c r="H12" i="1"/>
  <c r="H18" i="1"/>
  <c r="C24" i="1"/>
  <c r="H14" i="1"/>
  <c r="H10" i="1"/>
  <c r="F8" i="1"/>
  <c r="E22" i="1"/>
  <c r="H86" i="1"/>
  <c r="H87" i="1" s="1"/>
  <c r="H20" i="1"/>
  <c r="D22" i="1"/>
  <c r="E24" i="1" l="1"/>
  <c r="E25" i="1" s="1"/>
  <c r="E88" i="1" s="1"/>
  <c r="C25" i="1"/>
  <c r="C88" i="1" s="1"/>
  <c r="F22" i="1"/>
  <c r="G8" i="1"/>
  <c r="G22" i="1" s="1"/>
  <c r="H8" i="1"/>
  <c r="H22" i="1" s="1"/>
  <c r="D24" i="1"/>
  <c r="D25" i="1" s="1"/>
  <c r="D88" i="1" s="1"/>
  <c r="E89" i="1" l="1"/>
  <c r="E90" i="1" s="1"/>
  <c r="C89" i="1"/>
  <c r="C90" i="1" s="1"/>
  <c r="G24" i="1"/>
  <c r="G25" i="1" s="1"/>
  <c r="G88" i="1" s="1"/>
  <c r="D89" i="1"/>
  <c r="D90" i="1" s="1"/>
  <c r="F24" i="1"/>
  <c r="G89" i="1" l="1"/>
  <c r="G90" i="1" s="1"/>
  <c r="F25" i="1"/>
  <c r="F88" i="1" s="1"/>
  <c r="H24" i="1"/>
  <c r="H25" i="1" s="1"/>
  <c r="F89" i="1" l="1"/>
  <c r="H89" i="1" s="1"/>
  <c r="H88" i="1"/>
  <c r="F90" i="1" l="1"/>
  <c r="H90" i="1" s="1"/>
</calcChain>
</file>

<file path=xl/sharedStrings.xml><?xml version="1.0" encoding="utf-8"?>
<sst xmlns="http://schemas.openxmlformats.org/spreadsheetml/2006/main" count="136" uniqueCount="133">
  <si>
    <t>Philadelphia Energy Authority</t>
  </si>
  <si>
    <t>CPRG Budget</t>
  </si>
  <si>
    <t>3.25.2024</t>
  </si>
  <si>
    <t>Categories</t>
  </si>
  <si>
    <t>Line Item &amp; Itemized Costs</t>
  </si>
  <si>
    <t>Year One</t>
  </si>
  <si>
    <t>Year Two</t>
  </si>
  <si>
    <t>Year Three</t>
  </si>
  <si>
    <t>Year Four</t>
  </si>
  <si>
    <t>Year Five</t>
  </si>
  <si>
    <t xml:space="preserve">Total Budget </t>
  </si>
  <si>
    <t>PERSONNEL</t>
  </si>
  <si>
    <t>Project Manager will be responsible for managing the daily program operations to ensure service delivery is allgned with the program model. Annual salary of $80,000 of which 1 FTE will be allocated to this grant with a 5% annual increase therafter. To be hired.</t>
  </si>
  <si>
    <t>Senior Manager, Municipal will provide support for management of subawardees and staff. Annual salary of $100,000 of which 0.15 FTE will be allocated to this grant with a 5% annual increase therafter. To be hired.</t>
  </si>
  <si>
    <t>Senior Manager, Policy and Strategy Partnerships will provide support for management of subawardees and staff. Annual salary of $102,500 of which 0.05 FTE will be allocated to this grant with a 5% annual increase therafter.</t>
  </si>
  <si>
    <t>Vice President, Policy and Strategy Partnerships will provide support for management of subawardees and staff. Annual salary of $153,090 of which 0.05 FTE will be allocated to this grant woth a 5% annual increase therafter.</t>
  </si>
  <si>
    <t>Commercial Program Director will provide staff oversight and support to execute the Refrigeration program. Annual salary $125,000 of which 0.15 FTE will be allocated to this grant with a 5% annual increase therafter.</t>
  </si>
  <si>
    <t>Commercial Program Manager will execute the Refrigiration program. Annual salary of $75,000 of which 0.50 FTE will be allocated to this grant with a 5% annual salary increase therafter. To be hired.</t>
  </si>
  <si>
    <t>Senior Manager of Residential Programs will provide staff oversight and support to execute the Built to Last Program. Annual salary of $115,000 of which 1 FTE will be allocated to this grant in year 1 and year 2 and 0.60 FTE in year 3, year 4, and year 5 with a 5% annual increase therafter. To be hired.</t>
  </si>
  <si>
    <t>Residential Program Manager will execute the Built to Last Program. Annual salary of $78,829 FTE of which 1 will be allocated to this grant in year 3, year 4, and year 5 with a 5% annual increase therafter.</t>
  </si>
  <si>
    <t>Residential Program Coordinator will execute the Built to Last Program. Annual salary of $65,000 FTE of which 2 will be allocated to this grant with a 5% annual increase therafter.</t>
  </si>
  <si>
    <t>Senior Manager, Operations will be responsible for supporting Built to Last program operations. Annual salary of $85,000 of which 0.10 FTE will be allocated to this grant with a 5% annual increase therafter. To be hired.</t>
  </si>
  <si>
    <t>Administrative Coordinator will be responsible for supporting Built to Last program operations. Annual salary of $55,000 of which 0.30 FTE will be allocated to this grant with a 5% annual increase therafter.</t>
  </si>
  <si>
    <t>Compliance Specialist will be responsible for processing subawardee payments in accordance with program model and EPA requirements. Annual salary of $85,000 of which 0.25 FTE will be allocated to this grant with a 5% annual increase therafter. To be hired.</t>
  </si>
  <si>
    <t>Data Specialist will be responsible for collecting, entering and reviewing program data. Annual salary of $80,000 of which 1 FTE will be allocated to this grant with a 5% annual increase therafter. To be hired</t>
  </si>
  <si>
    <t>Finance Manager will be responsible for processing subawardee payments in accordance with program model and EPA requirements. Annual salary of $90,000 of which 0.50 FTE will be allocated to this grant with a 5% annual increase therafter. To be hired.</t>
  </si>
  <si>
    <t>Total Personnel</t>
  </si>
  <si>
    <t>FRINGE BENEFITS</t>
  </si>
  <si>
    <t>All staff positions</t>
  </si>
  <si>
    <t>Actual fringe benefit rate ( 26%) includes payroll taxes, health insurance, dental insurance, life, disability, and pension.</t>
  </si>
  <si>
    <t xml:space="preserve"> Total  Fringe Benefits</t>
  </si>
  <si>
    <t>TRAVEL</t>
  </si>
  <si>
    <t>Local travel &amp; site visits. Septa bus &amp; metro cost per person $240: $2 x 10 trips per month x 12 months . Ride share cost per person $960: $20 x 2 round trips per month x 12 months. Total cost per person $1,200 x 7.65 FTE.</t>
  </si>
  <si>
    <t xml:space="preserve">Conference and workshop. Two people will attend. Cost per person three days &amp; three nights: $400 flight, $60 luggage fee, $450 hotel, $225 per diem, $45 transportation, $60 parking, and 500 mileage at current GSA approved rate of $0.67 per mile. </t>
  </si>
  <si>
    <t>Total Travel</t>
  </si>
  <si>
    <t>EQUIPMENT</t>
  </si>
  <si>
    <t>Total Equipment</t>
  </si>
  <si>
    <t xml:space="preserve">SUPPLIES  </t>
  </si>
  <si>
    <t>Laptops with required software and warranty purchased in year one for program staff.  A replacement laptop is budgeted for year four. Cost per laptop is $1475 x 7.65 FTE and x 3.83 FTE for replacement.</t>
  </si>
  <si>
    <r>
      <rPr>
        <sz val="10"/>
        <color theme="1"/>
        <rFont val="Calibri"/>
      </rPr>
      <t>Staff office supplies. Pens, pencils, copy paper, paper, folders, staplers, printer cartridges, letterhead, business cards, envelopes, stamps, supplies for the copiers (such as toner), etc. $500 per FTE per year. FTE calucation is based on actual 7.65</t>
    </r>
    <r>
      <rPr>
        <b/>
        <sz val="10"/>
        <color rgb="FFFF0000"/>
        <rFont val="Calibri"/>
      </rPr>
      <t xml:space="preserve"> </t>
    </r>
    <r>
      <rPr>
        <sz val="10"/>
        <color theme="1"/>
        <rFont val="Calibri"/>
      </rPr>
      <t>FTEs working on grant.</t>
    </r>
  </si>
  <si>
    <t>Program Supplies. Tools for energy assessments.</t>
  </si>
  <si>
    <t xml:space="preserve">Total Supplies </t>
  </si>
  <si>
    <t>CONTRACTUAL</t>
  </si>
  <si>
    <t>Owner's rep to review project or program progress against subawardee funding requests (building project review.)</t>
  </si>
  <si>
    <r>
      <rPr>
        <b/>
        <sz val="10"/>
        <color theme="1"/>
        <rFont val="Calibri"/>
      </rPr>
      <t xml:space="preserve">(ID #47) </t>
    </r>
    <r>
      <rPr>
        <sz val="10"/>
        <color theme="1"/>
        <rFont val="Calibri"/>
      </rPr>
      <t>Refrigeration Program Design Services contractors will have experience developing programs to incentivize energy reduction, particularly in food businesses, and in LIDAC communities.</t>
    </r>
  </si>
  <si>
    <r>
      <rPr>
        <b/>
        <sz val="10"/>
        <color theme="1"/>
        <rFont val="Calibri"/>
      </rPr>
      <t xml:space="preserve">(ID #47) </t>
    </r>
    <r>
      <rPr>
        <sz val="10"/>
        <color theme="1"/>
        <rFont val="Calibri"/>
      </rPr>
      <t>Refrigeration contractors will perform preventive maintenance services on refrigeration equipment in restaurants and corner stores and will have experience working with small business owners in LIDAC communities.</t>
    </r>
  </si>
  <si>
    <r>
      <rPr>
        <b/>
        <sz val="10"/>
        <color theme="1"/>
        <rFont val="Calibri"/>
      </rPr>
      <t xml:space="preserve">(ID #37) </t>
    </r>
    <r>
      <rPr>
        <sz val="10"/>
        <color theme="1"/>
        <rFont val="Calibri"/>
      </rPr>
      <t>Built to Last Housing Retrofit Services Contractors to provide client intake, home assessment, scope of work development, construction management and coordination, and quality assurance services.</t>
    </r>
  </si>
  <si>
    <t>Philadelphia Housing Development Corporation</t>
  </si>
  <si>
    <r>
      <rPr>
        <b/>
        <sz val="10"/>
        <color theme="1"/>
        <rFont val="Calibri"/>
      </rPr>
      <t xml:space="preserve">(ID #45) </t>
    </r>
    <r>
      <rPr>
        <sz val="10"/>
        <color theme="1"/>
        <rFont val="Calibri"/>
      </rPr>
      <t xml:space="preserve">Philadelphia Housing Development Corporation will add energy retrofits to gap financing for low-income housing tax credit (LIHTC) preservation applications and standalone affordable housing preservation financing. </t>
    </r>
  </si>
  <si>
    <t>Total Contractual</t>
  </si>
  <si>
    <t>OTHER</t>
  </si>
  <si>
    <t xml:space="preserve">Professional development. Registration and training fees for program staff to participate in core trainings that will improve their ability to achieve the program outcomes &amp; milestones. Annual cost is $750 x 7.65 FTE. </t>
  </si>
  <si>
    <t>Data &amp; collaboration platform management &amp; maintenance. Cost associated with licensing and maintaining database to effectively manage program data in real-time. Proper database management will give PEA the capacbility to track program performance and delivery of service in real-time to catch any variance from the pogram outcome and performance measures. Annual cost is $30,000 x 25% allocated to this grant.</t>
  </si>
  <si>
    <t>Subrecipients</t>
  </si>
  <si>
    <t>Deep Sea-GP, LLC.</t>
  </si>
  <si>
    <r>
      <rPr>
        <b/>
        <sz val="10"/>
        <color theme="1"/>
        <rFont val="Calibri"/>
      </rPr>
      <t xml:space="preserve">(ID #34) </t>
    </r>
    <r>
      <rPr>
        <sz val="10"/>
        <color theme="1"/>
        <rFont val="Calibri"/>
      </rPr>
      <t>Deep Sea-GP, LLC. will transform an existing 9-story building into Beacon of Hope, a mixed use energy efficient development project that will provide 30 units of veteran housing and support services to Kensington residents.</t>
    </r>
  </si>
  <si>
    <t>City of Philadelphia</t>
  </si>
  <si>
    <r>
      <rPr>
        <b/>
        <sz val="10"/>
        <color theme="1"/>
        <rFont val="Calibri"/>
      </rPr>
      <t xml:space="preserve">(ID #23) </t>
    </r>
    <r>
      <rPr>
        <sz val="10"/>
        <color theme="1"/>
        <rFont val="Calibri"/>
      </rPr>
      <t xml:space="preserve">The City of Philadelphia will upgrade 100 Electric Vehicle Charging Stations to power its municipal fleet. </t>
    </r>
    <r>
      <rPr>
        <b/>
        <sz val="10"/>
        <color theme="1"/>
        <rFont val="Calibri"/>
      </rPr>
      <t xml:space="preserve">(ID #24) </t>
    </r>
    <r>
      <rPr>
        <sz val="10"/>
        <color theme="1"/>
        <rFont val="Calibri"/>
      </rPr>
      <t xml:space="preserve">The City of Philadelphia will extend its energy efficiency work at 8 city Health Centers to add 882 kW of onsite solar power. </t>
    </r>
    <r>
      <rPr>
        <b/>
        <sz val="10"/>
        <color theme="1"/>
        <rFont val="Calibri"/>
      </rPr>
      <t xml:space="preserve">(ID #25) </t>
    </r>
    <r>
      <rPr>
        <sz val="10"/>
        <color theme="1"/>
        <rFont val="Calibri"/>
      </rPr>
      <t xml:space="preserve">The City of Philadelphia will undertake renovations to double processing capacity at its Fairmount Park Organic Recycling Center and Compost Site, which process park organics waste and supplies compost to residents.                                                         </t>
    </r>
  </si>
  <si>
    <t>Bucks County</t>
  </si>
  <si>
    <r>
      <rPr>
        <b/>
        <sz val="10"/>
        <color theme="1"/>
        <rFont val="Calibri"/>
      </rPr>
      <t xml:space="preserve">(ID #1) </t>
    </r>
    <r>
      <rPr>
        <sz val="10"/>
        <color theme="1"/>
        <rFont val="Calibri"/>
      </rPr>
      <t xml:space="preserve">Bucks County will install a 485 kW solar array to generate and provide clean energy to its Government Building and four new Level 2 EV chargers. </t>
    </r>
    <r>
      <rPr>
        <b/>
        <sz val="10"/>
        <color theme="1"/>
        <rFont val="Calibri"/>
      </rPr>
      <t xml:space="preserve">(ID #2) </t>
    </r>
    <r>
      <rPr>
        <sz val="10"/>
        <color theme="1"/>
        <rFont val="Calibri"/>
      </rPr>
      <t xml:space="preserve">Bucks County will install a 102 kW solar array to generate and provide clean energy to its Fire Safety and Training Facility. </t>
    </r>
  </si>
  <si>
    <t>Haverford Township</t>
  </si>
  <si>
    <r>
      <rPr>
        <b/>
        <sz val="10"/>
        <color theme="1"/>
        <rFont val="Calibri"/>
      </rPr>
      <t xml:space="preserve">(ID #12) </t>
    </r>
    <r>
      <rPr>
        <sz val="10"/>
        <color theme="1"/>
        <rFont val="Calibri"/>
      </rPr>
      <t xml:space="preserve">Haverford Township will install a 48 kW solar array to generate and provide clean energy to the Haverford Township Free Library. </t>
    </r>
    <r>
      <rPr>
        <b/>
        <sz val="10"/>
        <color theme="1"/>
        <rFont val="Calibri"/>
      </rPr>
      <t xml:space="preserve">(ID #13) </t>
    </r>
    <r>
      <rPr>
        <sz val="10"/>
        <color theme="1"/>
        <rFont val="Calibri"/>
      </rPr>
      <t xml:space="preserve">Haverford Township will install a 85 kW solar canopy over the Police Department parking lot to generate and provide clean energy to the Haverford Township Police Department. </t>
    </r>
  </si>
  <si>
    <t>Habitat for Humanity Philadelphia</t>
  </si>
  <si>
    <r>
      <rPr>
        <b/>
        <sz val="10"/>
        <color theme="1"/>
        <rFont val="Calibri"/>
      </rPr>
      <t xml:space="preserve"> #36) </t>
    </r>
    <r>
      <rPr>
        <sz val="10"/>
        <color theme="1"/>
        <rFont val="Calibri"/>
      </rPr>
      <t>Habitat for Humanity Philadelphia will construct up to 26 new affordable homeownership units for low- to median-income households, all of which will be EnergyStar certified and will include 125 kW of solar to reduce utility bills.</t>
    </r>
  </si>
  <si>
    <t>Philadelphia Authority for Industrial Development (PAID)</t>
  </si>
  <si>
    <r>
      <rPr>
        <b/>
        <sz val="10"/>
        <color theme="1"/>
        <rFont val="Calibri"/>
      </rPr>
      <t xml:space="preserve">(ID #29) </t>
    </r>
    <r>
      <rPr>
        <sz val="10"/>
        <color theme="1"/>
        <rFont val="Calibri"/>
      </rPr>
      <t xml:space="preserve">PAID will procure 3-4 electric buses, install two electric bus charging stations, and upgrade power infrastructure at the Philadelphia Navy Yard. </t>
    </r>
    <r>
      <rPr>
        <b/>
        <sz val="10"/>
        <color theme="1"/>
        <rFont val="Calibri"/>
      </rPr>
      <t xml:space="preserve">(ID #30) </t>
    </r>
    <r>
      <rPr>
        <sz val="10"/>
        <color theme="1"/>
        <rFont val="Calibri"/>
      </rPr>
      <t xml:space="preserve">PAID will install LED pedestrian streetlights at the Philadelphia Navy Yard.                                     </t>
    </r>
  </si>
  <si>
    <t>Philadelphia Youth Basketball, Inc</t>
  </si>
  <si>
    <r>
      <rPr>
        <b/>
        <sz val="10"/>
        <color theme="1"/>
        <rFont val="Calibri"/>
      </rPr>
      <t xml:space="preserve">(ID #50) </t>
    </r>
    <r>
      <rPr>
        <sz val="10"/>
        <color theme="1"/>
        <rFont val="Calibri"/>
      </rPr>
      <t>Philadelphia Youth Basketball Inc. will install a 287 kW Rooftop solar array designed to cover electricity needs of the newly opened Alan Horowitz "Sixth Man" Center.</t>
    </r>
  </si>
  <si>
    <t>West Goshen Township</t>
  </si>
  <si>
    <r>
      <rPr>
        <b/>
        <sz val="10"/>
        <color theme="1"/>
        <rFont val="Calibri"/>
      </rPr>
      <t xml:space="preserve">(ID #5) </t>
    </r>
    <r>
      <rPr>
        <sz val="10"/>
        <color theme="1"/>
        <rFont val="Calibri"/>
      </rPr>
      <t xml:space="preserve">West Goshen Township will install a 267 kW solar array to generate and provide clean energy to the West Goshen Township Public Works Building. </t>
    </r>
  </si>
  <si>
    <t>Merion Fire Company of Ardmore</t>
  </si>
  <si>
    <r>
      <rPr>
        <b/>
        <sz val="10"/>
        <color theme="1"/>
        <rFont val="Calibri"/>
      </rPr>
      <t>(ID #19)</t>
    </r>
    <r>
      <rPr>
        <sz val="10"/>
        <color theme="1"/>
        <rFont val="Calibri"/>
      </rPr>
      <t xml:space="preserve"> The Merion Fire Company of Ardmore will install a 48kW solar array on the roof of its Ardmore Firehouse to generate and provide clean energy. </t>
    </r>
  </si>
  <si>
    <t>Mosaic Development Partners</t>
  </si>
  <si>
    <r>
      <rPr>
        <b/>
        <sz val="10"/>
        <color theme="1"/>
        <rFont val="Calibri"/>
      </rPr>
      <t xml:space="preserve">(ID #51) </t>
    </r>
    <r>
      <rPr>
        <sz val="10"/>
        <color theme="1"/>
        <rFont val="Calibri"/>
      </rPr>
      <t>Mosaic Development Partners, in partnership with Called to Serve Community Development Corporation will transform the Zion Baptist Church Annex into the Reverend Leon H. Sullivan Community Impact Center, and will include clean energy generation and LEED Silver Certification.</t>
    </r>
  </si>
  <si>
    <t>Solar States</t>
  </si>
  <si>
    <r>
      <rPr>
        <b/>
        <sz val="10"/>
        <color theme="1"/>
        <rFont val="Calibri"/>
      </rPr>
      <t xml:space="preserve">(ID #53 </t>
    </r>
    <r>
      <rPr>
        <sz val="10"/>
        <color theme="1"/>
        <rFont val="Calibri"/>
      </rPr>
      <t>Solar States will install a 32 kW rooftop solar array, indoor garden solar array, and battery storage system at the Overbrook Environmental Education Center.</t>
    </r>
  </si>
  <si>
    <t>William Penn School District</t>
  </si>
  <si>
    <r>
      <rPr>
        <b/>
        <sz val="10"/>
        <color theme="1"/>
        <rFont val="Calibri"/>
      </rPr>
      <t xml:space="preserve">(ID #14) </t>
    </r>
    <r>
      <rPr>
        <sz val="10"/>
        <color theme="1"/>
        <rFont val="Calibri"/>
      </rPr>
      <t>William Penn School District will install a 777 kW solar farm and solar-ready roofing at Park Lane Elementary School.</t>
    </r>
  </si>
  <si>
    <t>West Vincent Township</t>
  </si>
  <si>
    <r>
      <rPr>
        <b/>
        <sz val="10"/>
        <color theme="1"/>
        <rFont val="Calibri"/>
      </rPr>
      <t xml:space="preserve">(ID #6) </t>
    </r>
    <r>
      <rPr>
        <sz val="10"/>
        <color theme="1"/>
        <rFont val="Calibri"/>
      </rPr>
      <t xml:space="preserve">West Vincent Township will upgrade HVAC and install a 65 kW solar array and battery backup at its Public Works Building and its Opalanie Park maintenance facility. </t>
    </r>
  </si>
  <si>
    <t>TerraSol Energies, Inc.</t>
  </si>
  <si>
    <r>
      <rPr>
        <b/>
        <sz val="10"/>
        <color theme="1"/>
        <rFont val="Calibri"/>
      </rPr>
      <t>(ID #55)</t>
    </r>
    <r>
      <rPr>
        <sz val="10"/>
        <color theme="1"/>
        <rFont val="Calibri"/>
      </rPr>
      <t xml:space="preserve"> TerraSol Energies will install a 680 kW ground-mount solar array and battery storage to power 4 150kW National Electric Vehicle Infrastructure (NEVI) Direct Current Fast Charging (DCFC) stations in Exton, PA. </t>
    </r>
    <r>
      <rPr>
        <b/>
        <sz val="10"/>
        <color theme="1"/>
        <rFont val="Calibri"/>
      </rPr>
      <t xml:space="preserve">(ID #56) </t>
    </r>
    <r>
      <rPr>
        <sz val="10"/>
        <color theme="1"/>
        <rFont val="Calibri"/>
      </rPr>
      <t>TerraSol Energies will install a 680 kW ground-mount solar array and battery storage to power 4 150kW National Electric Vehicle Infrastructure (NEVI) Direct Current Fast Charging (DCFC) stations in Coatesville, PA.</t>
    </r>
  </si>
  <si>
    <t>Philadelphia Housing Authority (PHA)</t>
  </si>
  <si>
    <r>
      <rPr>
        <b/>
        <sz val="10"/>
        <color theme="1"/>
        <rFont val="Calibri"/>
      </rPr>
      <t xml:space="preserve">(ID #43) </t>
    </r>
    <r>
      <rPr>
        <sz val="10"/>
        <color theme="1"/>
        <rFont val="Calibri"/>
      </rPr>
      <t xml:space="preserve">Philadelphia Housing Authority will renovate a 101-unit 16-story affordable senior housing facility including LED lighting and conversion from gas to electric cooking. </t>
    </r>
    <r>
      <rPr>
        <b/>
        <sz val="10"/>
        <color theme="1"/>
        <rFont val="Calibri"/>
      </rPr>
      <t xml:space="preserve">(ID #44) </t>
    </r>
    <r>
      <rPr>
        <sz val="10"/>
        <color theme="1"/>
        <rFont val="Calibri"/>
      </rPr>
      <t xml:space="preserve">Philadelphia Housing Authority will implement a mix of new construction and energy efficient upgrades at the 240-unit James W. Johnson affordable housing complex. </t>
    </r>
  </si>
  <si>
    <t>Share Food Program</t>
  </si>
  <si>
    <r>
      <rPr>
        <b/>
        <sz val="10"/>
        <color theme="1"/>
        <rFont val="Calibri"/>
      </rPr>
      <t xml:space="preserve">(ID #52) </t>
    </r>
    <r>
      <rPr>
        <sz val="10"/>
        <color theme="1"/>
        <rFont val="Calibri"/>
      </rPr>
      <t xml:space="preserve">Share Food Program will upgrade its warehouse facility by installing a 427 kW solar array, and converting the facility to electric power with VRF technology. </t>
    </r>
  </si>
  <si>
    <t>West Chester University</t>
  </si>
  <si>
    <r>
      <rPr>
        <b/>
        <sz val="10"/>
        <color theme="1"/>
        <rFont val="Calibri"/>
      </rPr>
      <t xml:space="preserve">(ID #4) </t>
    </r>
    <r>
      <rPr>
        <sz val="10"/>
        <color theme="1"/>
        <rFont val="Calibri"/>
      </rPr>
      <t>West Chester University will install of a new geothermal system and well field to provide heating and cooling for the new 175,000 square foot Sturzebecker Health Science Center</t>
    </r>
  </si>
  <si>
    <t>West Chester Borough</t>
  </si>
  <si>
    <r>
      <rPr>
        <b/>
        <sz val="10"/>
        <color theme="1"/>
        <rFont val="Calibri"/>
      </rPr>
      <t xml:space="preserve">(ID #7) </t>
    </r>
    <r>
      <rPr>
        <sz val="10"/>
        <color theme="1"/>
        <rFont val="Calibri"/>
      </rPr>
      <t>West Chester Borough will install 16 Level 2 EV charging plugs, powered by a 68 kW charging canopy, to power the Borough's municipal fleet and public users.</t>
    </r>
  </si>
  <si>
    <t>Delaware County</t>
  </si>
  <si>
    <r>
      <rPr>
        <b/>
        <sz val="10"/>
        <color theme="1"/>
        <rFont val="Calibri"/>
      </rPr>
      <t>(ID #8)</t>
    </r>
    <r>
      <rPr>
        <sz val="10"/>
        <color theme="1"/>
        <rFont val="Calibri"/>
      </rPr>
      <t xml:space="preserve"> Delaware County will plan, design, and construct a commercial-grade composting facility that will utilize processes to improve air quality.</t>
    </r>
    <r>
      <rPr>
        <b/>
        <sz val="10"/>
        <color theme="1"/>
        <rFont val="Calibri"/>
      </rPr>
      <t xml:space="preserve"> (ID #9)</t>
    </r>
    <r>
      <rPr>
        <sz val="10"/>
        <color theme="1"/>
        <rFont val="Calibri"/>
      </rPr>
      <t xml:space="preserve"> Delaware County will perform LED lighting retrofits and sumbetering at its Fair Acres Geriatric Facility and campus. </t>
    </r>
    <r>
      <rPr>
        <b/>
        <sz val="10"/>
        <color theme="1"/>
        <rFont val="Calibri"/>
      </rPr>
      <t>(ID #10)</t>
    </r>
    <r>
      <rPr>
        <sz val="10"/>
        <color theme="1"/>
        <rFont val="Calibri"/>
      </rPr>
      <t xml:space="preserve"> Delaware County will install submeters on its George W. Hill Correctional Facility campus, and will install LED lighting in the prison building and guard booth. </t>
    </r>
    <r>
      <rPr>
        <b/>
        <sz val="10"/>
        <color theme="1"/>
        <rFont val="Calibri"/>
      </rPr>
      <t xml:space="preserve">(ID #11) </t>
    </r>
    <r>
      <rPr>
        <sz val="10"/>
        <color theme="1"/>
        <rFont val="Calibri"/>
      </rPr>
      <t>Delaware County will install 12 dual-port Level II electric vehicle chargers at its Fair Acres Campus to serve the county fleet.</t>
    </r>
  </si>
  <si>
    <t>Pennrose</t>
  </si>
  <si>
    <r>
      <rPr>
        <b/>
        <sz val="10"/>
        <color theme="1"/>
        <rFont val="Calibri"/>
      </rPr>
      <t xml:space="preserve">(ID #38) </t>
    </r>
    <r>
      <rPr>
        <sz val="10"/>
        <color theme="1"/>
        <rFont val="Calibri"/>
      </rPr>
      <t>Pennrose will Construct a 65-unit 100% affordable scattered-site development in Strawberry Mansion to support low-income families. The Energy Star certified site will include LED lighting, high efficiency HVAC and weatherization.</t>
    </r>
    <r>
      <rPr>
        <b/>
        <sz val="10"/>
        <color theme="1"/>
        <rFont val="Calibri"/>
      </rPr>
      <t xml:space="preserve"> (ID #39) </t>
    </r>
    <r>
      <rPr>
        <sz val="10"/>
        <color theme="1"/>
        <rFont val="Calibri"/>
      </rPr>
      <t xml:space="preserve">Pennrose will complete energy and infrastructure upgrades at Neumann North, a public housing apartment complex serving low-income seniors in Fishtown. </t>
    </r>
    <r>
      <rPr>
        <b/>
        <sz val="10"/>
        <color theme="1"/>
        <rFont val="Calibri"/>
      </rPr>
      <t xml:space="preserve">(ID #40) </t>
    </r>
    <r>
      <rPr>
        <sz val="10"/>
        <color theme="1"/>
        <rFont val="Calibri"/>
      </rPr>
      <t xml:space="preserve">Pennrose will construct Bartram Village Phase I, providing 64 energy efficient units to low-income residents of Kingsessing. Bartram I will meet Enterprise Green Communities and Net Zero Ready Standards. </t>
    </r>
    <r>
      <rPr>
        <b/>
        <sz val="10"/>
        <color theme="1"/>
        <rFont val="Calibri"/>
      </rPr>
      <t>(ID #41)</t>
    </r>
    <r>
      <rPr>
        <sz val="10"/>
        <color theme="1"/>
        <rFont val="Calibri"/>
      </rPr>
      <t xml:space="preserve"> Pennrose will construct Bartram Village Phase II, providing 90 energy efficient units and a community center to low-income residents of Kingsessing. Bartram II will meet Enterprise Green Communities and Net Zero Ready Standards. </t>
    </r>
  </si>
  <si>
    <t>Camphill Village Kimberton Hills</t>
  </si>
  <si>
    <r>
      <rPr>
        <b/>
        <sz val="10"/>
        <color theme="1"/>
        <rFont val="Calibri"/>
      </rPr>
      <t xml:space="preserve">(ID #31) </t>
    </r>
    <r>
      <rPr>
        <sz val="10"/>
        <color theme="1"/>
        <rFont val="Calibri"/>
      </rPr>
      <t>Camphill Village Kimberton Hills is a life-sharing community for adults with intellectual disabilities, will undertake a comprehensive clean energy transition, including installation of 284 kW of solar paired with 1.5 MW of battery storage</t>
    </r>
  </si>
  <si>
    <t>Radnor Township</t>
  </si>
  <si>
    <r>
      <rPr>
        <b/>
        <sz val="10"/>
        <color theme="1"/>
        <rFont val="Calibri"/>
      </rPr>
      <t>(ID #15)</t>
    </r>
    <r>
      <rPr>
        <sz val="10"/>
        <color theme="1"/>
        <rFont val="Calibri"/>
      </rPr>
      <t xml:space="preserve"> Radnor Township will install a 140 kW rooftop solar array, upgrade HVAC systems, and install LED lighting at its Municipal Building. </t>
    </r>
    <r>
      <rPr>
        <b/>
        <sz val="10"/>
        <color theme="1"/>
        <rFont val="Calibri"/>
      </rPr>
      <t xml:space="preserve">(ID #16) </t>
    </r>
    <r>
      <rPr>
        <sz val="10"/>
        <color theme="1"/>
        <rFont val="Calibri"/>
      </rPr>
      <t>Radnor Township will install a 185 kW rooftop solar array, upgrade HVAC systems, and install LED lighting at its Public Works Building. (</t>
    </r>
    <r>
      <rPr>
        <b/>
        <sz val="10"/>
        <color theme="1"/>
        <rFont val="Calibri"/>
      </rPr>
      <t>ID #17)</t>
    </r>
    <r>
      <rPr>
        <sz val="10"/>
        <color theme="1"/>
        <rFont val="Calibri"/>
      </rPr>
      <t xml:space="preserve"> Radnor Township will install rooftop electrified heat pumps and LED lighting at the Radnor Activity Center.</t>
    </r>
  </si>
  <si>
    <t>Energy Coordinating Agency (ECA)</t>
  </si>
  <si>
    <r>
      <rPr>
        <b/>
        <sz val="10"/>
        <color theme="1"/>
        <rFont val="Calibri"/>
      </rPr>
      <t xml:space="preserve">(ID #35) </t>
    </r>
    <r>
      <rPr>
        <sz val="10"/>
        <color theme="1"/>
        <rFont val="Calibri"/>
      </rPr>
      <t>Energy Coordinating Agency will pilot a Heating Oil to Heat Pump Conversion program for approximately 600 single-family homes within low-income and disadvantaged communities (LIDAC) in the City of Philadelphia.</t>
    </r>
  </si>
  <si>
    <t xml:space="preserve">
 YouthBuild Philadelphia Charter School
</t>
  </si>
  <si>
    <r>
      <rPr>
        <b/>
        <sz val="10"/>
        <color theme="1"/>
        <rFont val="Calibri"/>
      </rPr>
      <t xml:space="preserve">(ID #46) </t>
    </r>
    <r>
      <rPr>
        <sz val="10"/>
        <color theme="1"/>
        <rFont val="Calibri"/>
      </rPr>
      <t xml:space="preserve">YouthBuild Philadelphia Charter School  will  transform a vacant property into a transitional housing facility for the House of WIN (Women in Transition). YouthBuild students will receive hands-on experience in energy efficient rehabilitation processes. </t>
    </r>
  </si>
  <si>
    <t>Delaware Valley Regional Planning Commission (DVRPC)</t>
  </si>
  <si>
    <r>
      <rPr>
        <b/>
        <sz val="10"/>
        <color theme="1"/>
        <rFont val="Calibri"/>
      </rPr>
      <t xml:space="preserve">(ID #21) </t>
    </r>
    <r>
      <rPr>
        <sz val="10"/>
        <color theme="1"/>
        <rFont val="Calibri"/>
      </rPr>
      <t xml:space="preserve">The Delaware Valley Regional Planning Commission will hire a Shared Energy Manager to provide energy management services to municipalities in southeast PA who do not have the technical expertise or staff bandwidth to manage municipal energy usage. </t>
    </r>
  </si>
  <si>
    <t>Chester County</t>
  </si>
  <si>
    <r>
      <rPr>
        <b/>
        <sz val="10"/>
        <color theme="1"/>
        <rFont val="Calibri"/>
      </rPr>
      <t xml:space="preserve">(ID #3) </t>
    </r>
    <r>
      <rPr>
        <sz val="10"/>
        <color theme="1"/>
        <rFont val="Calibri"/>
      </rPr>
      <t xml:space="preserve">Chester County will develop and construct an all electric bus depot for the county's community transit service, which will include a 627 kW solar array combined with 30 kW of battery storage to support future bus electrification. </t>
    </r>
  </si>
  <si>
    <t>Brandywine Realty Trust</t>
  </si>
  <si>
    <r>
      <rPr>
        <b/>
        <sz val="10"/>
        <color theme="1"/>
        <rFont val="Calibri"/>
      </rPr>
      <t xml:space="preserve">(ID #32) </t>
    </r>
    <r>
      <rPr>
        <sz val="10"/>
        <color theme="1"/>
        <rFont val="Calibri"/>
      </rPr>
      <t>Brandywine Realty Trust will complete the adaptive reuse and converstion of an existing 13-story tower from commercial office use to 170 residential energy efficient multifamily units.</t>
    </r>
  </si>
  <si>
    <t>Lower Merion Township</t>
  </si>
  <si>
    <r>
      <rPr>
        <b/>
        <sz val="10"/>
        <color theme="1"/>
        <rFont val="Calibri"/>
      </rPr>
      <t xml:space="preserve">(ID #18) </t>
    </r>
    <r>
      <rPr>
        <sz val="10"/>
        <color theme="1"/>
        <rFont val="Calibri"/>
      </rPr>
      <t xml:space="preserve">Lower Merion Township will replace the roofs and install a total of 1.32 MW of solar at the Ludington Library, Penn Wynne, Ardmore Avenue Community Center, the Bala Cynwyd Library,  the Ardmore Book Processing Center, the Township Administration Building and the Public Safety Building, and the Bala Gym.         </t>
    </r>
  </si>
  <si>
    <t>Philadelphia Gas Works</t>
  </si>
  <si>
    <r>
      <rPr>
        <b/>
        <sz val="10"/>
        <color rgb="FF1F1F1F"/>
        <rFont val="Calibri"/>
      </rPr>
      <t xml:space="preserve">(ID #42) </t>
    </r>
    <r>
      <rPr>
        <sz val="10"/>
        <color rgb="FF1F1F1F"/>
        <rFont val="Calibri"/>
      </rPr>
      <t xml:space="preserve">PGW will use grant funds to expand the Enhanced LIME (Low Income Multifamily Efficiency) program, to fund energy saving measures in low-income residences that wouldn’t otherwise be installed.  It will treat 6 multifamily buildings annually over the first three years of the grant. </t>
    </r>
  </si>
  <si>
    <t>Philadelphia Water Department (PWD)</t>
  </si>
  <si>
    <r>
      <rPr>
        <b/>
        <sz val="10"/>
        <color theme="1"/>
        <rFont val="Calibri"/>
      </rPr>
      <t xml:space="preserve">(ID #26) </t>
    </r>
    <r>
      <rPr>
        <sz val="10"/>
        <color theme="1"/>
        <rFont val="Calibri"/>
      </rPr>
      <t xml:space="preserve">The Philadelphia Water Department will upgrade and expand its solar array to 1,219 kW at its Southeast Water Pollution Control Plant. </t>
    </r>
    <r>
      <rPr>
        <b/>
        <sz val="10"/>
        <color theme="1"/>
        <rFont val="Calibri"/>
      </rPr>
      <t xml:space="preserve">(ID #27) </t>
    </r>
    <r>
      <rPr>
        <sz val="10"/>
        <color theme="1"/>
        <rFont val="Calibri"/>
      </rPr>
      <t>PWD will install an automated biogas utilization valve to send 12,630 metric tons of biogas annually to the Biosolids Recycling Center onsite at the Water Department's Southwest Water Pollution Control Plant, in order to utilize biogas and reduce flaring and reliance on natural gas.</t>
    </r>
  </si>
  <si>
    <t>Philadelphia Northeast Airport</t>
  </si>
  <si>
    <r>
      <rPr>
        <b/>
        <sz val="10"/>
        <color theme="1"/>
        <rFont val="Calibri"/>
      </rPr>
      <t xml:space="preserve">(ID #28) </t>
    </r>
    <r>
      <rPr>
        <sz val="10"/>
        <color theme="1"/>
        <rFont val="Calibri"/>
      </rPr>
      <t>Philadelphia Northeast Airport will install a 2.01 MW on-site solar power array over its parking lot to serve all of the airport’s electricity needs</t>
    </r>
  </si>
  <si>
    <t>School District of Philadelphia</t>
  </si>
  <si>
    <r>
      <rPr>
        <b/>
        <sz val="10"/>
        <color theme="1"/>
        <rFont val="Calibri"/>
      </rPr>
      <t>(ID #22)</t>
    </r>
    <r>
      <rPr>
        <sz val="10"/>
        <color theme="1"/>
        <rFont val="Calibri"/>
      </rPr>
      <t xml:space="preserve"> School District of Philadelphia will modernize twenty schools, providing a total of 3.39 MW of on-site solar PV for 9 schools, lighting and HVAC electrification/modernization in 3 schools, and LED upgrades in 8 schools.</t>
    </r>
  </si>
  <si>
    <t>Philadelphia Green Capital Corporation (PGCC)</t>
  </si>
  <si>
    <r>
      <rPr>
        <b/>
        <sz val="10"/>
        <color theme="1"/>
        <rFont val="Calibri"/>
      </rPr>
      <t xml:space="preserve">(ID #48) </t>
    </r>
    <r>
      <rPr>
        <sz val="10"/>
        <color theme="1"/>
        <rFont val="Calibri"/>
      </rPr>
      <t xml:space="preserve">The Philadelphia Green Capital Corporation (PGCC) will provide $1/watt grants to commercial and industrial solar installations, including nonprofit organizations, in Southeastern PA. </t>
    </r>
  </si>
  <si>
    <t>BTM Solutions, LLC.</t>
  </si>
  <si>
    <r>
      <rPr>
        <b/>
        <sz val="10"/>
        <color theme="1"/>
        <rFont val="Calibri"/>
      </rPr>
      <t xml:space="preserve">(ID #49) </t>
    </r>
    <r>
      <rPr>
        <sz val="10"/>
        <color theme="1"/>
        <rFont val="Calibri"/>
      </rPr>
      <t>BTM Solutions, LLC will install a 933 kW solar array at the Philadelphia Business and Techology Center as a behind-the-meter pilot site to utilize a 233 kW Renewable Battery Energy Storage System (BESS) for individual buildings with energy demands below 1 megawatt.</t>
    </r>
  </si>
  <si>
    <t>Centennial Parkside Community Development Corporation</t>
  </si>
  <si>
    <r>
      <rPr>
        <b/>
        <sz val="10"/>
        <color theme="1"/>
        <rFont val="Calibri"/>
      </rPr>
      <t xml:space="preserve">(ID #33) </t>
    </r>
    <r>
      <rPr>
        <sz val="10"/>
        <color theme="1"/>
        <rFont val="Calibri"/>
      </rPr>
      <t>Centennial Parkside Community Development Corporation will work with partners to provide energy efficiency upgrades to 10-50 existing building in West Philadelphia, as an extension of its award winning Buildings Upgrade Prize concept.</t>
    </r>
  </si>
  <si>
    <t>Montgomery County</t>
  </si>
  <si>
    <r>
      <rPr>
        <b/>
        <sz val="10"/>
        <color theme="1"/>
        <rFont val="Calibri"/>
      </rPr>
      <t xml:space="preserve">(ID #54) </t>
    </r>
    <r>
      <rPr>
        <sz val="10"/>
        <color theme="1"/>
        <rFont val="Calibri"/>
      </rPr>
      <t>Montgomery County will design and implement 12 public Level 2 electric vehicle charging stations at county-owned or leased sites to ease the transition to electric vehicles.</t>
    </r>
  </si>
  <si>
    <t>Upper Dublin Township</t>
  </si>
  <si>
    <r>
      <rPr>
        <b/>
        <sz val="10"/>
        <color theme="1"/>
        <rFont val="Calibri"/>
      </rPr>
      <t xml:space="preserve">(ID #20) </t>
    </r>
    <r>
      <rPr>
        <sz val="10"/>
        <color theme="1"/>
        <rFont val="Calibri"/>
      </rPr>
      <t>Upper Dublin Township will turn its Civic and Public Services Facility into a net-zero building, with on-site solar production, geothermal energy, and an energy efficient envelope</t>
    </r>
  </si>
  <si>
    <t>Total Subrecipients</t>
  </si>
  <si>
    <t xml:space="preserve">Total Other </t>
  </si>
  <si>
    <t>TOTAL DIRECT CHARGES</t>
  </si>
  <si>
    <t>INDIRECT COST – DI MINIMIS RATE 10% OF MTDC</t>
  </si>
  <si>
    <t>TOTAL FUNDING FOR CPRG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</si>
</sst>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10">
    <font>
      <sz val="11"/>
      <color theme="1"/>
      <name val="aptos narrow"/>
      <scheme val="minor"/>
    </font>
    <font>
      <b/>
      <sz val="10"/>
      <color theme="1"/>
      <name val="Calibri"/>
    </font>
    <font>
      <sz val="10"/>
      <color theme="1"/>
      <name val="Calibri"/>
    </font>
    <font>
      <b/>
      <sz val="10"/>
      <color theme="0"/>
      <name val="Calibri"/>
    </font>
    <font>
      <b/>
      <sz val="10"/>
      <color rgb="FFFFFFFF"/>
      <name val="Calibri"/>
    </font>
    <font>
      <sz val="11"/>
      <name val="aptos narrow"/>
    </font>
    <font>
      <sz val="10"/>
      <color rgb="FF1F1F1F"/>
      <name val="Calibri"/>
    </font>
    <font>
      <b/>
      <i/>
      <sz val="10"/>
      <color theme="1"/>
      <name val="Calibri"/>
    </font>
    <font>
      <b/>
      <sz val="10"/>
      <color rgb="FFFF0000"/>
      <name val="Calibri"/>
    </font>
    <font>
      <b/>
      <sz val="10"/>
      <color rgb="FF1F1F1F"/>
      <name val="Calibri"/>
    </font>
  </fonts>
  <fills count="9">
    <fill>
      <patternFill patternType="none"/>
    </fill>
    <fill>
      <patternFill patternType="gray125"/>
    </fill>
    <fill>
      <patternFill patternType="solid">
        <fgColor rgb="FF000000"/>
        <bgColor rgb="FF000000"/>
      </patternFill>
    </fill>
    <fill>
      <patternFill patternType="solid">
        <fgColor rgb="FFC0C0C0"/>
        <bgColor rgb="FFC0C0C0"/>
      </patternFill>
    </fill>
    <fill>
      <patternFill patternType="solid">
        <fgColor rgb="FFD8D8D8"/>
        <bgColor rgb="FFD8D8D8"/>
      </patternFill>
    </fill>
    <fill>
      <patternFill patternType="solid">
        <fgColor rgb="FFBFBFBF"/>
        <bgColor rgb="FFBFBFBF"/>
      </patternFill>
    </fill>
    <fill>
      <patternFill patternType="solid">
        <fgColor rgb="FF71A9E0"/>
        <bgColor rgb="FF71A9E0"/>
      </patternFill>
    </fill>
    <fill>
      <patternFill patternType="solid">
        <fgColor rgb="FFC1F0C8"/>
        <bgColor rgb="FFC1F0C8"/>
      </patternFill>
    </fill>
    <fill>
      <patternFill patternType="solid">
        <fgColor rgb="FFFFFFFF"/>
        <bgColor rgb="FFFFFFFF"/>
      </patternFill>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right/>
      <top/>
      <bottom/>
      <diagonal/>
    </border>
    <border>
      <left/>
      <right/>
      <top/>
      <bottom/>
      <diagonal/>
    </border>
    <border>
      <left/>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s>
  <cellStyleXfs count="1">
    <xf numFmtId="0" fontId="0" fillId="0" borderId="0"/>
  </cellStyleXfs>
  <cellXfs count="77">
    <xf numFmtId="0" fontId="0" fillId="0" borderId="0" xfId="0"/>
    <xf numFmtId="0" fontId="2" fillId="0" borderId="0" xfId="0" applyFont="1"/>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horizontal="center" vertical="center"/>
    </xf>
    <xf numFmtId="3" fontId="3" fillId="2" borderId="4" xfId="0"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2" fillId="0" borderId="4" xfId="0" applyFont="1" applyBorder="1" applyAlignment="1">
      <alignment vertical="top" wrapText="1"/>
    </xf>
    <xf numFmtId="3" fontId="2" fillId="0" borderId="4" xfId="0" applyNumberFormat="1" applyFont="1" applyBorder="1" applyAlignment="1">
      <alignment vertical="top" wrapText="1"/>
    </xf>
    <xf numFmtId="5" fontId="2" fillId="0" borderId="4" xfId="0" applyNumberFormat="1" applyFont="1" applyBorder="1" applyAlignment="1">
      <alignment vertical="top" wrapText="1"/>
    </xf>
    <xf numFmtId="0" fontId="2" fillId="0" borderId="8" xfId="0" applyFont="1" applyBorder="1" applyAlignment="1">
      <alignment vertical="top" wrapText="1"/>
    </xf>
    <xf numFmtId="0" fontId="2" fillId="0" borderId="4" xfId="0" applyFont="1" applyBorder="1"/>
    <xf numFmtId="3" fontId="2" fillId="0" borderId="7" xfId="0" applyNumberFormat="1" applyFont="1" applyBorder="1" applyAlignment="1">
      <alignment vertical="top" wrapText="1"/>
    </xf>
    <xf numFmtId="0" fontId="2" fillId="0" borderId="8" xfId="0" applyFont="1" applyBorder="1"/>
    <xf numFmtId="3" fontId="2" fillId="0" borderId="9" xfId="0" applyNumberFormat="1" applyFont="1" applyBorder="1" applyAlignment="1">
      <alignment vertical="top" wrapText="1"/>
    </xf>
    <xf numFmtId="5" fontId="2" fillId="0" borderId="7" xfId="0" applyNumberFormat="1" applyFont="1" applyBorder="1" applyAlignment="1">
      <alignment vertical="top" wrapText="1"/>
    </xf>
    <xf numFmtId="0" fontId="2" fillId="0" borderId="10" xfId="0" applyFont="1" applyBorder="1" applyAlignment="1">
      <alignment vertical="top" wrapText="1"/>
    </xf>
    <xf numFmtId="3" fontId="2" fillId="0" borderId="10" xfId="0" applyNumberFormat="1" applyFont="1" applyBorder="1" applyAlignment="1">
      <alignment vertical="top" wrapText="1"/>
    </xf>
    <xf numFmtId="5" fontId="1" fillId="4" borderId="3" xfId="0" applyNumberFormat="1" applyFont="1" applyFill="1" applyBorder="1" applyAlignment="1">
      <alignment horizontal="right" vertical="top" wrapText="1"/>
    </xf>
    <xf numFmtId="0" fontId="1" fillId="5" borderId="1" xfId="0" applyFont="1" applyFill="1" applyBorder="1" applyAlignment="1">
      <alignment horizontal="left" vertical="top"/>
    </xf>
    <xf numFmtId="0" fontId="1" fillId="5" borderId="2" xfId="0" applyFont="1" applyFill="1" applyBorder="1" applyAlignment="1">
      <alignment horizontal="left" vertical="top" wrapText="1"/>
    </xf>
    <xf numFmtId="5" fontId="1" fillId="5" borderId="2" xfId="0" applyNumberFormat="1" applyFont="1" applyFill="1" applyBorder="1" applyAlignment="1">
      <alignment horizontal="left" vertical="top" wrapText="1"/>
    </xf>
    <xf numFmtId="5" fontId="1" fillId="5" borderId="4" xfId="0" applyNumberFormat="1" applyFont="1" applyFill="1" applyBorder="1" applyAlignment="1">
      <alignment horizontal="right" vertical="top" wrapText="1"/>
    </xf>
    <xf numFmtId="0" fontId="2" fillId="4" borderId="11" xfId="0" applyFont="1" applyFill="1" applyBorder="1" applyAlignment="1">
      <alignment vertical="top"/>
    </xf>
    <xf numFmtId="0" fontId="1" fillId="4" borderId="4" xfId="0" applyFont="1" applyFill="1" applyBorder="1" applyAlignment="1">
      <alignment horizontal="right" vertical="top" wrapText="1"/>
    </xf>
    <xf numFmtId="5" fontId="1" fillId="4" borderId="4" xfId="0" applyNumberFormat="1" applyFont="1" applyFill="1" applyBorder="1" applyAlignment="1">
      <alignment horizontal="right" vertical="top" wrapText="1"/>
    </xf>
    <xf numFmtId="0" fontId="1" fillId="5" borderId="1" xfId="0" applyFont="1" applyFill="1" applyBorder="1" applyAlignment="1">
      <alignment horizontal="left" vertical="top" wrapText="1"/>
    </xf>
    <xf numFmtId="5" fontId="1" fillId="5" borderId="3" xfId="0" applyNumberFormat="1" applyFont="1" applyFill="1" applyBorder="1" applyAlignment="1">
      <alignment horizontal="left" vertical="top" wrapText="1"/>
    </xf>
    <xf numFmtId="0" fontId="1" fillId="5" borderId="1" xfId="0" applyFont="1" applyFill="1" applyBorder="1" applyAlignment="1">
      <alignment horizontal="left" vertical="center" wrapText="1"/>
    </xf>
    <xf numFmtId="0" fontId="1" fillId="5" borderId="4" xfId="0" applyFont="1" applyFill="1" applyBorder="1" applyAlignment="1">
      <alignment horizontal="left" vertical="center" wrapText="1"/>
    </xf>
    <xf numFmtId="5" fontId="1" fillId="5" borderId="4" xfId="0" applyNumberFormat="1" applyFont="1" applyFill="1" applyBorder="1" applyAlignment="1">
      <alignment horizontal="left" vertical="center" wrapText="1"/>
    </xf>
    <xf numFmtId="0" fontId="2" fillId="0" borderId="4" xfId="0" applyFont="1" applyBorder="1" applyAlignment="1">
      <alignment horizontal="left" vertical="top" wrapText="1"/>
    </xf>
    <xf numFmtId="0" fontId="2" fillId="4" borderId="4" xfId="0" applyFont="1" applyFill="1" applyBorder="1" applyAlignment="1">
      <alignment horizontal="left" vertical="top" wrapText="1"/>
    </xf>
    <xf numFmtId="0" fontId="1" fillId="5" borderId="2" xfId="0" applyFont="1" applyFill="1" applyBorder="1" applyAlignment="1">
      <alignment horizontal="left" vertical="center" wrapText="1"/>
    </xf>
    <xf numFmtId="5" fontId="1" fillId="5" borderId="2" xfId="0" applyNumberFormat="1" applyFont="1" applyFill="1" applyBorder="1" applyAlignment="1">
      <alignment horizontal="left" vertical="center" wrapText="1"/>
    </xf>
    <xf numFmtId="0" fontId="1" fillId="6" borderId="1" xfId="0" applyFont="1" applyFill="1" applyBorder="1" applyAlignment="1">
      <alignment horizontal="left" vertical="top" wrapText="1"/>
    </xf>
    <xf numFmtId="0" fontId="1" fillId="6" borderId="2" xfId="0" applyFont="1" applyFill="1" applyBorder="1" applyAlignment="1">
      <alignment horizontal="right" vertical="top" wrapText="1"/>
    </xf>
    <xf numFmtId="5" fontId="1" fillId="6" borderId="2" xfId="0" applyNumberFormat="1" applyFont="1" applyFill="1" applyBorder="1" applyAlignment="1">
      <alignment horizontal="right" vertical="top" wrapText="1"/>
    </xf>
    <xf numFmtId="0" fontId="2" fillId="0" borderId="12" xfId="0" applyFont="1" applyBorder="1" applyAlignment="1">
      <alignment vertical="top" wrapText="1"/>
    </xf>
    <xf numFmtId="5" fontId="2" fillId="0" borderId="9" xfId="0" applyNumberFormat="1" applyFont="1" applyBorder="1" applyAlignment="1">
      <alignment vertical="top" wrapText="1"/>
    </xf>
    <xf numFmtId="5" fontId="2" fillId="0" borderId="8" xfId="0" applyNumberFormat="1" applyFont="1" applyBorder="1" applyAlignment="1">
      <alignment vertical="top" wrapText="1"/>
    </xf>
    <xf numFmtId="3" fontId="2" fillId="0" borderId="12" xfId="0" applyNumberFormat="1" applyFont="1" applyBorder="1" applyAlignment="1">
      <alignment vertical="top" wrapText="1"/>
    </xf>
    <xf numFmtId="0" fontId="2" fillId="0" borderId="0" xfId="0" applyFont="1" applyAlignment="1">
      <alignment vertical="top" wrapText="1"/>
    </xf>
    <xf numFmtId="5" fontId="1" fillId="6" borderId="4" xfId="0" applyNumberFormat="1" applyFont="1" applyFill="1" applyBorder="1" applyAlignment="1">
      <alignment horizontal="right" vertical="top" wrapText="1"/>
    </xf>
    <xf numFmtId="0" fontId="1" fillId="4" borderId="1" xfId="0" applyFont="1" applyFill="1" applyBorder="1" applyAlignment="1">
      <alignment vertical="top" wrapText="1"/>
    </xf>
    <xf numFmtId="0" fontId="1" fillId="4" borderId="1" xfId="0" applyFont="1" applyFill="1" applyBorder="1" applyAlignment="1">
      <alignment horizontal="left" vertical="top" wrapText="1"/>
    </xf>
    <xf numFmtId="5" fontId="1" fillId="4" borderId="15" xfId="0" applyNumberFormat="1" applyFont="1" applyFill="1" applyBorder="1" applyAlignment="1">
      <alignment horizontal="left" vertical="top" wrapText="1"/>
    </xf>
    <xf numFmtId="5" fontId="1" fillId="4" borderId="15" xfId="0" applyNumberFormat="1" applyFont="1" applyFill="1" applyBorder="1" applyAlignment="1">
      <alignment horizontal="right" vertical="top"/>
    </xf>
    <xf numFmtId="164" fontId="2" fillId="0" borderId="4" xfId="0" applyNumberFormat="1" applyFont="1" applyBorder="1" applyAlignment="1">
      <alignment vertical="top" wrapText="1"/>
    </xf>
    <xf numFmtId="3" fontId="2" fillId="0" borderId="8" xfId="0" applyNumberFormat="1" applyFont="1" applyBorder="1" applyAlignment="1">
      <alignment vertical="top" wrapText="1"/>
    </xf>
    <xf numFmtId="164" fontId="2" fillId="0" borderId="8" xfId="0" applyNumberFormat="1" applyFont="1" applyBorder="1" applyAlignment="1">
      <alignment vertical="top" wrapText="1"/>
    </xf>
    <xf numFmtId="5" fontId="2" fillId="0" borderId="10" xfId="0" applyNumberFormat="1" applyFont="1" applyBorder="1" applyAlignment="1">
      <alignment vertical="top" wrapText="1"/>
    </xf>
    <xf numFmtId="0" fontId="6" fillId="8" borderId="0" xfId="0" applyFont="1" applyFill="1"/>
    <xf numFmtId="0" fontId="2" fillId="0" borderId="5" xfId="0" applyFont="1" applyBorder="1" applyAlignment="1">
      <alignment vertical="top" wrapText="1"/>
    </xf>
    <xf numFmtId="0" fontId="2" fillId="0" borderId="16" xfId="0" applyFont="1" applyBorder="1" applyAlignment="1">
      <alignment vertical="top" wrapText="1"/>
    </xf>
    <xf numFmtId="5" fontId="2" fillId="0" borderId="17" xfId="0" applyNumberFormat="1" applyFont="1" applyBorder="1" applyAlignment="1">
      <alignment vertical="top" wrapText="1"/>
    </xf>
    <xf numFmtId="5" fontId="2" fillId="0" borderId="18" xfId="0" applyNumberFormat="1" applyFont="1" applyBorder="1" applyAlignment="1">
      <alignment vertical="top" wrapText="1"/>
    </xf>
    <xf numFmtId="5" fontId="2" fillId="0" borderId="12" xfId="0" applyNumberFormat="1" applyFont="1" applyBorder="1" applyAlignment="1">
      <alignment vertical="top" wrapText="1"/>
    </xf>
    <xf numFmtId="3" fontId="6" fillId="0" borderId="0" xfId="0" applyNumberFormat="1" applyFont="1" applyAlignment="1">
      <alignment wrapText="1"/>
    </xf>
    <xf numFmtId="5" fontId="1" fillId="7" borderId="19" xfId="0" applyNumberFormat="1" applyFont="1" applyFill="1" applyBorder="1" applyAlignment="1">
      <alignment horizontal="right" vertical="top" wrapText="1"/>
    </xf>
    <xf numFmtId="0" fontId="1" fillId="4" borderId="20" xfId="0" applyFont="1" applyFill="1" applyBorder="1" applyAlignment="1">
      <alignment horizontal="left" vertical="center"/>
    </xf>
    <xf numFmtId="0" fontId="7" fillId="4" borderId="21" xfId="0" applyFont="1" applyFill="1" applyBorder="1" applyAlignment="1">
      <alignment horizontal="left" vertical="top" wrapText="1"/>
    </xf>
    <xf numFmtId="5" fontId="1" fillId="4" borderId="22" xfId="0" applyNumberFormat="1" applyFont="1" applyFill="1" applyBorder="1" applyAlignment="1">
      <alignment horizontal="right" vertical="top" wrapText="1"/>
    </xf>
    <xf numFmtId="5" fontId="2" fillId="4" borderId="21" xfId="0" applyNumberFormat="1" applyFont="1" applyFill="1" applyBorder="1" applyAlignment="1">
      <alignment horizontal="right" vertical="top" wrapText="1"/>
    </xf>
    <xf numFmtId="5" fontId="1" fillId="4" borderId="21" xfId="0" applyNumberFormat="1" applyFont="1" applyFill="1" applyBorder="1" applyAlignment="1">
      <alignment horizontal="right" vertical="top" wrapText="1"/>
    </xf>
    <xf numFmtId="0" fontId="1" fillId="6" borderId="13" xfId="0" applyFont="1" applyFill="1" applyBorder="1" applyAlignment="1">
      <alignment horizontal="right" vertical="top" wrapText="1"/>
    </xf>
    <xf numFmtId="0" fontId="5" fillId="0" borderId="14" xfId="0" applyFont="1" applyBorder="1"/>
    <xf numFmtId="0" fontId="1" fillId="7" borderId="5" xfId="0" applyFont="1" applyFill="1" applyBorder="1" applyAlignment="1">
      <alignment vertical="top" wrapText="1"/>
    </xf>
    <xf numFmtId="0" fontId="5" fillId="0" borderId="6" xfId="0" applyFont="1" applyBorder="1"/>
    <xf numFmtId="0" fontId="5" fillId="0" borderId="7" xfId="0" applyFont="1" applyBorder="1"/>
    <xf numFmtId="0" fontId="1" fillId="7" borderId="5" xfId="0" applyFont="1" applyFill="1" applyBorder="1" applyAlignment="1">
      <alignment horizontal="right" vertical="top" wrapText="1"/>
    </xf>
    <xf numFmtId="0" fontId="1" fillId="4" borderId="5" xfId="0" applyFont="1" applyFill="1" applyBorder="1" applyAlignment="1">
      <alignment horizontal="right" vertical="top" wrapText="1"/>
    </xf>
    <xf numFmtId="0" fontId="1" fillId="0" borderId="0" xfId="0" applyFont="1" applyAlignment="1">
      <alignment horizontal="center" wrapText="1"/>
    </xf>
    <xf numFmtId="0" fontId="0" fillId="0" borderId="0" xfId="0"/>
    <xf numFmtId="0" fontId="1" fillId="3"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9"/>
  <sheetViews>
    <sheetView tabSelected="1" workbookViewId="0">
      <selection activeCell="B10" sqref="B10"/>
    </sheetView>
  </sheetViews>
  <sheetFormatPr defaultColWidth="12.5703125" defaultRowHeight="15" customHeight="1"/>
  <cols>
    <col min="1" max="1" width="22.140625" customWidth="1"/>
    <col min="2" max="2" width="56.42578125" customWidth="1"/>
    <col min="3" max="3" width="12.28515625" customWidth="1"/>
    <col min="4" max="7" width="11.85546875" customWidth="1"/>
    <col min="8" max="8" width="12.85546875" customWidth="1"/>
  </cols>
  <sheetData>
    <row r="1" spans="1:26">
      <c r="A1" s="74" t="s">
        <v>0</v>
      </c>
      <c r="B1" s="75"/>
      <c r="C1" s="75"/>
      <c r="D1" s="75"/>
      <c r="E1" s="75"/>
      <c r="F1" s="75"/>
      <c r="G1" s="75"/>
      <c r="H1" s="75"/>
      <c r="I1" s="1"/>
      <c r="J1" s="1"/>
      <c r="K1" s="1"/>
      <c r="L1" s="1"/>
      <c r="M1" s="1"/>
      <c r="N1" s="1"/>
      <c r="O1" s="1"/>
      <c r="P1" s="1"/>
      <c r="Q1" s="1"/>
      <c r="R1" s="1"/>
      <c r="S1" s="1"/>
      <c r="T1" s="1"/>
      <c r="U1" s="1"/>
      <c r="V1" s="1"/>
      <c r="W1" s="1"/>
      <c r="X1" s="1"/>
      <c r="Y1" s="1"/>
      <c r="Z1" s="1"/>
    </row>
    <row r="2" spans="1:26">
      <c r="A2" s="74" t="s">
        <v>1</v>
      </c>
      <c r="B2" s="75"/>
      <c r="C2" s="75"/>
      <c r="D2" s="75"/>
      <c r="E2" s="75"/>
      <c r="F2" s="75"/>
      <c r="G2" s="75"/>
      <c r="H2" s="75"/>
      <c r="I2" s="1"/>
      <c r="J2" s="1"/>
      <c r="K2" s="1"/>
      <c r="L2" s="1"/>
      <c r="M2" s="1"/>
      <c r="N2" s="1"/>
      <c r="O2" s="1"/>
      <c r="P2" s="1"/>
      <c r="Q2" s="1"/>
      <c r="R2" s="1"/>
      <c r="S2" s="1"/>
      <c r="T2" s="1"/>
      <c r="U2" s="1"/>
      <c r="V2" s="1"/>
      <c r="W2" s="1"/>
      <c r="X2" s="1"/>
      <c r="Y2" s="1"/>
      <c r="Z2" s="1"/>
    </row>
    <row r="3" spans="1:26">
      <c r="A3" s="74" t="s">
        <v>2</v>
      </c>
      <c r="B3" s="75"/>
      <c r="C3" s="75"/>
      <c r="D3" s="75"/>
      <c r="E3" s="75"/>
      <c r="F3" s="75"/>
      <c r="G3" s="75"/>
      <c r="H3" s="75"/>
      <c r="I3" s="1"/>
      <c r="J3" s="1"/>
      <c r="K3" s="1"/>
      <c r="L3" s="1"/>
      <c r="M3" s="1"/>
      <c r="N3" s="1"/>
      <c r="O3" s="1"/>
      <c r="P3" s="1"/>
      <c r="Q3" s="1"/>
      <c r="R3" s="1"/>
      <c r="S3" s="1"/>
      <c r="T3" s="1"/>
      <c r="U3" s="1"/>
      <c r="V3" s="1"/>
      <c r="W3" s="1"/>
      <c r="X3" s="1"/>
      <c r="Y3" s="1"/>
      <c r="Z3" s="1"/>
    </row>
    <row r="4" spans="1:26">
      <c r="A4" s="1"/>
      <c r="B4" s="1"/>
      <c r="C4" s="1"/>
      <c r="D4" s="1"/>
      <c r="E4" s="1"/>
      <c r="F4" s="1"/>
      <c r="G4" s="1"/>
      <c r="H4" s="1"/>
      <c r="I4" s="1"/>
      <c r="J4" s="1"/>
      <c r="K4" s="1"/>
      <c r="L4" s="1"/>
      <c r="M4" s="1"/>
      <c r="N4" s="1"/>
      <c r="O4" s="1"/>
      <c r="P4" s="1"/>
      <c r="Q4" s="1"/>
      <c r="R4" s="1"/>
      <c r="S4" s="1"/>
      <c r="T4" s="1"/>
      <c r="U4" s="1"/>
      <c r="V4" s="1"/>
      <c r="W4" s="1"/>
      <c r="X4" s="1"/>
      <c r="Y4" s="1"/>
      <c r="Z4" s="1"/>
    </row>
    <row r="5" spans="1:26">
      <c r="A5" s="2"/>
      <c r="B5" s="3"/>
      <c r="C5" s="4"/>
      <c r="D5" s="4"/>
      <c r="E5" s="4"/>
      <c r="F5" s="4"/>
      <c r="G5" s="4"/>
      <c r="H5" s="5"/>
      <c r="I5" s="1"/>
      <c r="J5" s="1"/>
      <c r="K5" s="1"/>
      <c r="L5" s="1"/>
      <c r="M5" s="1"/>
      <c r="N5" s="1"/>
      <c r="O5" s="1"/>
      <c r="P5" s="1"/>
      <c r="Q5" s="1"/>
      <c r="R5" s="1"/>
      <c r="S5" s="1"/>
      <c r="T5" s="1"/>
      <c r="U5" s="1"/>
      <c r="V5" s="1"/>
      <c r="W5" s="1"/>
      <c r="X5" s="1"/>
      <c r="Y5" s="1"/>
      <c r="Z5" s="1"/>
    </row>
    <row r="6" spans="1:26">
      <c r="A6" s="6" t="s">
        <v>3</v>
      </c>
      <c r="B6" s="7" t="s">
        <v>4</v>
      </c>
      <c r="C6" s="7" t="s">
        <v>5</v>
      </c>
      <c r="D6" s="7" t="s">
        <v>6</v>
      </c>
      <c r="E6" s="7" t="s">
        <v>7</v>
      </c>
      <c r="F6" s="7" t="s">
        <v>8</v>
      </c>
      <c r="G6" s="7" t="s">
        <v>9</v>
      </c>
      <c r="H6" s="8" t="s">
        <v>10</v>
      </c>
      <c r="I6" s="1"/>
      <c r="J6" s="1"/>
      <c r="K6" s="1"/>
      <c r="L6" s="1"/>
      <c r="M6" s="1"/>
      <c r="N6" s="1"/>
      <c r="O6" s="1"/>
      <c r="P6" s="1"/>
      <c r="Q6" s="1"/>
      <c r="R6" s="1"/>
      <c r="S6" s="1"/>
      <c r="T6" s="1"/>
      <c r="U6" s="1"/>
      <c r="V6" s="1"/>
      <c r="W6" s="1"/>
      <c r="X6" s="1"/>
      <c r="Y6" s="1"/>
      <c r="Z6" s="1"/>
    </row>
    <row r="7" spans="1:26">
      <c r="A7" s="76" t="s">
        <v>11</v>
      </c>
      <c r="B7" s="70"/>
      <c r="C7" s="70"/>
      <c r="D7" s="70"/>
      <c r="E7" s="70"/>
      <c r="F7" s="70"/>
      <c r="G7" s="70"/>
      <c r="H7" s="71"/>
      <c r="I7" s="1"/>
      <c r="J7" s="1"/>
      <c r="K7" s="1"/>
      <c r="L7" s="1"/>
      <c r="M7" s="1"/>
      <c r="N7" s="1"/>
      <c r="O7" s="1"/>
      <c r="P7" s="1"/>
      <c r="Q7" s="1"/>
      <c r="R7" s="1"/>
      <c r="S7" s="1"/>
      <c r="T7" s="1"/>
      <c r="U7" s="1"/>
      <c r="V7" s="1"/>
      <c r="W7" s="1"/>
      <c r="X7" s="1"/>
      <c r="Y7" s="1"/>
      <c r="Z7" s="1"/>
    </row>
    <row r="8" spans="1:26" ht="51">
      <c r="A8" s="9"/>
      <c r="B8" s="10" t="s">
        <v>12</v>
      </c>
      <c r="C8" s="11">
        <v>80000</v>
      </c>
      <c r="D8" s="11">
        <f t="shared" ref="D8:G8" si="0">C8*1.05</f>
        <v>84000</v>
      </c>
      <c r="E8" s="11">
        <f t="shared" si="0"/>
        <v>88200</v>
      </c>
      <c r="F8" s="11">
        <f t="shared" si="0"/>
        <v>92610</v>
      </c>
      <c r="G8" s="11">
        <f t="shared" si="0"/>
        <v>97240.5</v>
      </c>
      <c r="H8" s="11">
        <f t="shared" ref="H8:H21" si="1">SUM(C8:G8)</f>
        <v>442050.5</v>
      </c>
      <c r="I8" s="1"/>
      <c r="J8" s="1"/>
      <c r="K8" s="1"/>
      <c r="L8" s="1"/>
      <c r="M8" s="1"/>
      <c r="N8" s="1"/>
      <c r="O8" s="1"/>
      <c r="P8" s="1"/>
      <c r="Q8" s="1"/>
      <c r="R8" s="1"/>
      <c r="S8" s="1"/>
      <c r="T8" s="1"/>
      <c r="U8" s="1"/>
      <c r="V8" s="1"/>
      <c r="W8" s="1"/>
      <c r="X8" s="1"/>
      <c r="Y8" s="1"/>
      <c r="Z8" s="1"/>
    </row>
    <row r="9" spans="1:26" ht="51">
      <c r="A9" s="12"/>
      <c r="B9" s="10" t="s">
        <v>13</v>
      </c>
      <c r="C9" s="11">
        <f>100000*0.15</f>
        <v>15000</v>
      </c>
      <c r="D9" s="11">
        <f t="shared" ref="D9:G9" si="2">C9*1.05</f>
        <v>15750</v>
      </c>
      <c r="E9" s="11">
        <f t="shared" si="2"/>
        <v>16537.5</v>
      </c>
      <c r="F9" s="11">
        <f t="shared" si="2"/>
        <v>17364.375</v>
      </c>
      <c r="G9" s="11">
        <f t="shared" si="2"/>
        <v>18232.59375</v>
      </c>
      <c r="H9" s="11">
        <f t="shared" si="1"/>
        <v>82884.46875</v>
      </c>
      <c r="I9" s="1"/>
      <c r="J9" s="1"/>
      <c r="K9" s="1"/>
      <c r="L9" s="1"/>
      <c r="M9" s="1"/>
      <c r="N9" s="1"/>
      <c r="O9" s="1"/>
      <c r="P9" s="1"/>
      <c r="Q9" s="1"/>
      <c r="R9" s="1"/>
      <c r="S9" s="1"/>
      <c r="T9" s="1"/>
      <c r="U9" s="1"/>
      <c r="V9" s="1"/>
      <c r="W9" s="1"/>
      <c r="X9" s="1"/>
      <c r="Y9" s="1"/>
      <c r="Z9" s="1"/>
    </row>
    <row r="10" spans="1:26" ht="51">
      <c r="A10" s="13"/>
      <c r="B10" s="14" t="s">
        <v>14</v>
      </c>
      <c r="C10" s="11">
        <f>102500*0.05</f>
        <v>5125</v>
      </c>
      <c r="D10" s="11">
        <f t="shared" ref="D10:G10" si="3">C10*1.05</f>
        <v>5381.25</v>
      </c>
      <c r="E10" s="11">
        <f t="shared" si="3"/>
        <v>5650.3125</v>
      </c>
      <c r="F10" s="11">
        <f t="shared" si="3"/>
        <v>5932.828125</v>
      </c>
      <c r="G10" s="11">
        <f t="shared" si="3"/>
        <v>6229.4695312499998</v>
      </c>
      <c r="H10" s="11">
        <f t="shared" si="1"/>
        <v>28318.860156250001</v>
      </c>
      <c r="I10" s="1"/>
      <c r="J10" s="1"/>
      <c r="K10" s="1"/>
      <c r="L10" s="1"/>
      <c r="M10" s="1"/>
      <c r="N10" s="1"/>
      <c r="O10" s="1"/>
      <c r="P10" s="1"/>
      <c r="Q10" s="1"/>
      <c r="R10" s="1"/>
      <c r="S10" s="1"/>
      <c r="T10" s="1"/>
      <c r="U10" s="1"/>
      <c r="V10" s="1"/>
      <c r="W10" s="1"/>
      <c r="X10" s="1"/>
      <c r="Y10" s="1"/>
      <c r="Z10" s="1"/>
    </row>
    <row r="11" spans="1:26" ht="51">
      <c r="A11" s="15"/>
      <c r="B11" s="16" t="s">
        <v>15</v>
      </c>
      <c r="C11" s="11">
        <f>153090*0.05</f>
        <v>7654.5</v>
      </c>
      <c r="D11" s="11">
        <f t="shared" ref="D11:G11" si="4">C11*1.05</f>
        <v>8037.2250000000004</v>
      </c>
      <c r="E11" s="11">
        <f t="shared" si="4"/>
        <v>8439.0862500000003</v>
      </c>
      <c r="F11" s="11">
        <f t="shared" si="4"/>
        <v>8861.0405625000003</v>
      </c>
      <c r="G11" s="11">
        <f t="shared" si="4"/>
        <v>9304.0925906250013</v>
      </c>
      <c r="H11" s="11">
        <f t="shared" si="1"/>
        <v>42295.944403125002</v>
      </c>
      <c r="I11" s="1"/>
      <c r="J11" s="1"/>
      <c r="K11" s="1"/>
      <c r="L11" s="1"/>
      <c r="M11" s="1"/>
      <c r="N11" s="1"/>
      <c r="O11" s="1"/>
      <c r="P11" s="1"/>
      <c r="Q11" s="1"/>
      <c r="R11" s="1"/>
      <c r="S11" s="1"/>
      <c r="T11" s="1"/>
      <c r="U11" s="1"/>
      <c r="V11" s="1"/>
      <c r="W11" s="1"/>
      <c r="X11" s="1"/>
      <c r="Y11" s="1"/>
      <c r="Z11" s="1"/>
    </row>
    <row r="12" spans="1:26" ht="51">
      <c r="A12" s="13"/>
      <c r="B12" s="10" t="s">
        <v>16</v>
      </c>
      <c r="C12" s="17">
        <f>125000*0.15</f>
        <v>18750</v>
      </c>
      <c r="D12" s="11">
        <f t="shared" ref="D12:G12" si="5">C12*1.05</f>
        <v>19687.5</v>
      </c>
      <c r="E12" s="11">
        <f t="shared" si="5"/>
        <v>20671.875</v>
      </c>
      <c r="F12" s="11">
        <f t="shared" si="5"/>
        <v>21705.46875</v>
      </c>
      <c r="G12" s="11">
        <f t="shared" si="5"/>
        <v>22790.7421875</v>
      </c>
      <c r="H12" s="11">
        <f t="shared" si="1"/>
        <v>103605.5859375</v>
      </c>
      <c r="I12" s="1"/>
      <c r="J12" s="1"/>
      <c r="K12" s="1"/>
      <c r="L12" s="1"/>
      <c r="M12" s="1"/>
      <c r="N12" s="1"/>
      <c r="O12" s="1"/>
      <c r="P12" s="1"/>
      <c r="Q12" s="1"/>
      <c r="R12" s="1"/>
      <c r="S12" s="1"/>
      <c r="T12" s="1"/>
      <c r="U12" s="1"/>
      <c r="V12" s="1"/>
      <c r="W12" s="1"/>
      <c r="X12" s="1"/>
      <c r="Y12" s="1"/>
      <c r="Z12" s="1"/>
    </row>
    <row r="13" spans="1:26" ht="51">
      <c r="A13" s="13"/>
      <c r="B13" s="10" t="s">
        <v>17</v>
      </c>
      <c r="C13" s="17">
        <f>75000*0.5</f>
        <v>37500</v>
      </c>
      <c r="D13" s="11">
        <f t="shared" ref="D13:G13" si="6">C13*1.05</f>
        <v>39375</v>
      </c>
      <c r="E13" s="11">
        <f t="shared" si="6"/>
        <v>41343.75</v>
      </c>
      <c r="F13" s="11">
        <f t="shared" si="6"/>
        <v>43410.9375</v>
      </c>
      <c r="G13" s="11">
        <f t="shared" si="6"/>
        <v>45581.484375</v>
      </c>
      <c r="H13" s="11">
        <f t="shared" si="1"/>
        <v>207211.171875</v>
      </c>
      <c r="I13" s="1"/>
      <c r="J13" s="1"/>
      <c r="K13" s="1"/>
      <c r="L13" s="1"/>
      <c r="M13" s="1"/>
      <c r="N13" s="1"/>
      <c r="O13" s="1"/>
      <c r="P13" s="1"/>
      <c r="Q13" s="1"/>
      <c r="R13" s="1"/>
      <c r="S13" s="1"/>
      <c r="T13" s="1"/>
      <c r="U13" s="1"/>
      <c r="V13" s="1"/>
      <c r="W13" s="1"/>
      <c r="X13" s="1"/>
      <c r="Y13" s="1"/>
      <c r="Z13" s="1"/>
    </row>
    <row r="14" spans="1:26" ht="63.75">
      <c r="A14" s="18"/>
      <c r="B14" s="19" t="s">
        <v>18</v>
      </c>
      <c r="C14" s="11">
        <f>115000*1</f>
        <v>115000</v>
      </c>
      <c r="D14" s="11">
        <f>C14*1.05</f>
        <v>120750</v>
      </c>
      <c r="E14" s="11">
        <f>D14*1.05*0.6</f>
        <v>76072.5</v>
      </c>
      <c r="F14" s="11">
        <f t="shared" ref="F14:G14" si="7">E14*1.05</f>
        <v>79876.125</v>
      </c>
      <c r="G14" s="11">
        <f t="shared" si="7"/>
        <v>83869.931250000009</v>
      </c>
      <c r="H14" s="11">
        <f t="shared" si="1"/>
        <v>475568.55625000002</v>
      </c>
      <c r="I14" s="1"/>
      <c r="J14" s="1"/>
      <c r="K14" s="1"/>
      <c r="L14" s="1"/>
      <c r="M14" s="1"/>
      <c r="N14" s="1"/>
      <c r="O14" s="1"/>
      <c r="P14" s="1"/>
      <c r="Q14" s="1"/>
      <c r="R14" s="1"/>
      <c r="S14" s="1"/>
      <c r="T14" s="1"/>
      <c r="U14" s="1"/>
      <c r="V14" s="1"/>
      <c r="W14" s="1"/>
      <c r="X14" s="1"/>
      <c r="Y14" s="1"/>
      <c r="Z14" s="1"/>
    </row>
    <row r="15" spans="1:26" ht="51">
      <c r="A15" s="18"/>
      <c r="B15" s="10" t="s">
        <v>19</v>
      </c>
      <c r="C15" s="11">
        <v>0</v>
      </c>
      <c r="D15" s="11">
        <v>0</v>
      </c>
      <c r="E15" s="11">
        <v>78828.75</v>
      </c>
      <c r="F15" s="11">
        <f t="shared" ref="F15:G15" si="8">E15*1.05</f>
        <v>82770.1875</v>
      </c>
      <c r="G15" s="11">
        <f t="shared" si="8"/>
        <v>86908.696875000009</v>
      </c>
      <c r="H15" s="11">
        <f t="shared" si="1"/>
        <v>248507.63437500002</v>
      </c>
      <c r="I15" s="1"/>
      <c r="J15" s="1"/>
      <c r="K15" s="1"/>
      <c r="L15" s="1"/>
      <c r="M15" s="1"/>
      <c r="N15" s="1"/>
      <c r="O15" s="1"/>
      <c r="P15" s="1"/>
      <c r="Q15" s="1"/>
      <c r="R15" s="1"/>
      <c r="S15" s="1"/>
      <c r="T15" s="1"/>
      <c r="U15" s="1"/>
      <c r="V15" s="1"/>
      <c r="W15" s="1"/>
      <c r="X15" s="1"/>
      <c r="Y15" s="1"/>
      <c r="Z15" s="1"/>
    </row>
    <row r="16" spans="1:26" ht="38.25">
      <c r="A16" s="18"/>
      <c r="B16" s="10" t="s">
        <v>20</v>
      </c>
      <c r="C16" s="11">
        <f>65000*2</f>
        <v>130000</v>
      </c>
      <c r="D16" s="11">
        <f t="shared" ref="D16:G16" si="9">C16*1.05</f>
        <v>136500</v>
      </c>
      <c r="E16" s="11">
        <f t="shared" si="9"/>
        <v>143325</v>
      </c>
      <c r="F16" s="11">
        <f t="shared" si="9"/>
        <v>150491.25</v>
      </c>
      <c r="G16" s="11">
        <f t="shared" si="9"/>
        <v>158015.8125</v>
      </c>
      <c r="H16" s="11">
        <f t="shared" si="1"/>
        <v>718332.0625</v>
      </c>
      <c r="I16" s="1"/>
      <c r="J16" s="1"/>
      <c r="K16" s="1"/>
      <c r="L16" s="1"/>
      <c r="M16" s="1"/>
      <c r="N16" s="1"/>
      <c r="O16" s="1"/>
      <c r="P16" s="1"/>
      <c r="Q16" s="1"/>
      <c r="R16" s="1"/>
      <c r="S16" s="1"/>
      <c r="T16" s="1"/>
      <c r="U16" s="1"/>
      <c r="V16" s="1"/>
      <c r="W16" s="1"/>
      <c r="X16" s="1"/>
      <c r="Y16" s="1"/>
      <c r="Z16" s="1"/>
    </row>
    <row r="17" spans="1:26" ht="51">
      <c r="A17" s="18"/>
      <c r="B17" s="10" t="s">
        <v>21</v>
      </c>
      <c r="C17" s="11">
        <f>85000*0.1</f>
        <v>8500</v>
      </c>
      <c r="D17" s="11">
        <f t="shared" ref="D17:G17" si="10">C17*1.05</f>
        <v>8925</v>
      </c>
      <c r="E17" s="11">
        <f t="shared" si="10"/>
        <v>9371.25</v>
      </c>
      <c r="F17" s="11">
        <f t="shared" si="10"/>
        <v>9839.8125</v>
      </c>
      <c r="G17" s="11">
        <f t="shared" si="10"/>
        <v>10331.803125</v>
      </c>
      <c r="H17" s="11">
        <f t="shared" si="1"/>
        <v>46967.865624999999</v>
      </c>
      <c r="I17" s="1"/>
      <c r="J17" s="1"/>
      <c r="K17" s="1"/>
      <c r="L17" s="1"/>
      <c r="M17" s="1"/>
      <c r="N17" s="1"/>
      <c r="O17" s="1"/>
      <c r="P17" s="1"/>
      <c r="Q17" s="1"/>
      <c r="R17" s="1"/>
      <c r="S17" s="1"/>
      <c r="T17" s="1"/>
      <c r="U17" s="1"/>
      <c r="V17" s="1"/>
      <c r="W17" s="1"/>
      <c r="X17" s="1"/>
      <c r="Y17" s="1"/>
      <c r="Z17" s="1"/>
    </row>
    <row r="18" spans="1:26" ht="51">
      <c r="A18" s="18"/>
      <c r="B18" s="10" t="s">
        <v>22</v>
      </c>
      <c r="C18" s="11">
        <f>55000*0.25</f>
        <v>13750</v>
      </c>
      <c r="D18" s="11">
        <f t="shared" ref="D18:G18" si="11">C18*1.05</f>
        <v>14437.5</v>
      </c>
      <c r="E18" s="11">
        <f t="shared" si="11"/>
        <v>15159.375</v>
      </c>
      <c r="F18" s="11">
        <f t="shared" si="11"/>
        <v>15917.34375</v>
      </c>
      <c r="G18" s="11">
        <f t="shared" si="11"/>
        <v>16713.2109375</v>
      </c>
      <c r="H18" s="11">
        <f t="shared" si="1"/>
        <v>75977.4296875</v>
      </c>
      <c r="I18" s="1"/>
      <c r="J18" s="1"/>
      <c r="K18" s="1"/>
      <c r="L18" s="1"/>
      <c r="M18" s="1"/>
      <c r="N18" s="1"/>
      <c r="O18" s="1"/>
      <c r="P18" s="1"/>
      <c r="Q18" s="1"/>
      <c r="R18" s="1"/>
      <c r="S18" s="1"/>
      <c r="T18" s="1"/>
      <c r="U18" s="1"/>
      <c r="V18" s="1"/>
      <c r="W18" s="1"/>
      <c r="X18" s="1"/>
      <c r="Y18" s="1"/>
      <c r="Z18" s="1"/>
    </row>
    <row r="19" spans="1:26" ht="63.75">
      <c r="A19" s="9"/>
      <c r="B19" s="10" t="s">
        <v>23</v>
      </c>
      <c r="C19" s="11">
        <f>85000*0.25</f>
        <v>21250</v>
      </c>
      <c r="D19" s="11">
        <f t="shared" ref="D19:G19" si="12">C19*1.05</f>
        <v>22312.5</v>
      </c>
      <c r="E19" s="11">
        <f t="shared" si="12"/>
        <v>23428.125</v>
      </c>
      <c r="F19" s="11">
        <f t="shared" si="12"/>
        <v>24599.53125</v>
      </c>
      <c r="G19" s="11">
        <f t="shared" si="12"/>
        <v>25829.5078125</v>
      </c>
      <c r="H19" s="11">
        <f t="shared" si="1"/>
        <v>117419.6640625</v>
      </c>
      <c r="I19" s="1"/>
      <c r="J19" s="1"/>
      <c r="K19" s="1"/>
      <c r="L19" s="1"/>
      <c r="M19" s="1"/>
      <c r="N19" s="1"/>
      <c r="O19" s="1"/>
      <c r="P19" s="1"/>
      <c r="Q19" s="1"/>
      <c r="R19" s="1"/>
      <c r="S19" s="1"/>
      <c r="T19" s="1"/>
      <c r="U19" s="1"/>
      <c r="V19" s="1"/>
      <c r="W19" s="1"/>
      <c r="X19" s="1"/>
      <c r="Y19" s="1"/>
      <c r="Z19" s="1"/>
    </row>
    <row r="20" spans="1:26" ht="15.75" customHeight="1">
      <c r="A20" s="9"/>
      <c r="B20" s="10" t="s">
        <v>24</v>
      </c>
      <c r="C20" s="11">
        <v>80000</v>
      </c>
      <c r="D20" s="11">
        <f t="shared" ref="D20:G20" si="13">C20*1.05</f>
        <v>84000</v>
      </c>
      <c r="E20" s="11">
        <f t="shared" si="13"/>
        <v>88200</v>
      </c>
      <c r="F20" s="11">
        <f t="shared" si="13"/>
        <v>92610</v>
      </c>
      <c r="G20" s="11">
        <f t="shared" si="13"/>
        <v>97240.5</v>
      </c>
      <c r="H20" s="11">
        <f t="shared" si="1"/>
        <v>442050.5</v>
      </c>
      <c r="I20" s="1"/>
      <c r="J20" s="1"/>
      <c r="K20" s="1"/>
      <c r="L20" s="1"/>
      <c r="M20" s="1"/>
      <c r="N20" s="1"/>
      <c r="O20" s="1"/>
      <c r="P20" s="1"/>
      <c r="Q20" s="1"/>
      <c r="R20" s="1"/>
      <c r="S20" s="1"/>
      <c r="T20" s="1"/>
      <c r="U20" s="1"/>
      <c r="V20" s="1"/>
      <c r="W20" s="1"/>
      <c r="X20" s="1"/>
      <c r="Y20" s="1"/>
      <c r="Z20" s="1"/>
    </row>
    <row r="21" spans="1:26" ht="15.75" customHeight="1">
      <c r="A21" s="9"/>
      <c r="B21" s="10" t="s">
        <v>25</v>
      </c>
      <c r="C21" s="11">
        <f>90000*0.5</f>
        <v>45000</v>
      </c>
      <c r="D21" s="11">
        <f t="shared" ref="D21:G21" si="14">C21*1.05</f>
        <v>47250</v>
      </c>
      <c r="E21" s="11">
        <f t="shared" si="14"/>
        <v>49612.5</v>
      </c>
      <c r="F21" s="11">
        <f t="shared" si="14"/>
        <v>52093.125</v>
      </c>
      <c r="G21" s="11">
        <f t="shared" si="14"/>
        <v>54697.78125</v>
      </c>
      <c r="H21" s="11">
        <f t="shared" si="1"/>
        <v>248653.40625</v>
      </c>
      <c r="I21" s="1"/>
      <c r="J21" s="1"/>
      <c r="K21" s="1"/>
      <c r="L21" s="1"/>
      <c r="M21" s="1"/>
      <c r="N21" s="1"/>
      <c r="O21" s="1"/>
      <c r="P21" s="1"/>
      <c r="Q21" s="1"/>
      <c r="R21" s="1"/>
      <c r="S21" s="1"/>
      <c r="T21" s="1"/>
      <c r="U21" s="1"/>
      <c r="V21" s="1"/>
      <c r="W21" s="1"/>
      <c r="X21" s="1"/>
      <c r="Y21" s="1"/>
      <c r="Z21" s="1"/>
    </row>
    <row r="22" spans="1:26" ht="15.75" customHeight="1">
      <c r="A22" s="73" t="s">
        <v>26</v>
      </c>
      <c r="B22" s="71"/>
      <c r="C22" s="20">
        <f t="shared" ref="C22:H22" si="15">SUM(C8:C21)</f>
        <v>577529.5</v>
      </c>
      <c r="D22" s="20">
        <f t="shared" si="15"/>
        <v>606405.97499999998</v>
      </c>
      <c r="E22" s="20">
        <f t="shared" si="15"/>
        <v>664840.02374999993</v>
      </c>
      <c r="F22" s="20">
        <f t="shared" si="15"/>
        <v>698082.02493750001</v>
      </c>
      <c r="G22" s="20">
        <f t="shared" si="15"/>
        <v>732986.12618437503</v>
      </c>
      <c r="H22" s="20">
        <f t="shared" si="15"/>
        <v>3279843.6498718751</v>
      </c>
      <c r="I22" s="1"/>
      <c r="J22" s="1"/>
      <c r="K22" s="1"/>
      <c r="L22" s="1"/>
      <c r="M22" s="1"/>
      <c r="N22" s="1"/>
      <c r="O22" s="1"/>
      <c r="P22" s="1"/>
      <c r="Q22" s="1"/>
      <c r="R22" s="1"/>
      <c r="S22" s="1"/>
      <c r="T22" s="1"/>
      <c r="U22" s="1"/>
      <c r="V22" s="1"/>
      <c r="W22" s="1"/>
      <c r="X22" s="1"/>
      <c r="Y22" s="1"/>
      <c r="Z22" s="1"/>
    </row>
    <row r="23" spans="1:26" ht="15.75" customHeight="1">
      <c r="A23" s="21" t="s">
        <v>27</v>
      </c>
      <c r="B23" s="22"/>
      <c r="C23" s="23"/>
      <c r="D23" s="23"/>
      <c r="E23" s="23"/>
      <c r="F23" s="23"/>
      <c r="G23" s="23"/>
      <c r="H23" s="24"/>
      <c r="I23" s="1"/>
      <c r="J23" s="1"/>
      <c r="K23" s="1"/>
      <c r="L23" s="1"/>
      <c r="M23" s="1"/>
      <c r="N23" s="1"/>
      <c r="O23" s="1"/>
      <c r="P23" s="1"/>
      <c r="Q23" s="1"/>
      <c r="R23" s="1"/>
      <c r="S23" s="1"/>
      <c r="T23" s="1"/>
      <c r="U23" s="1"/>
      <c r="V23" s="1"/>
      <c r="W23" s="1"/>
      <c r="X23" s="1"/>
      <c r="Y23" s="1"/>
      <c r="Z23" s="1"/>
    </row>
    <row r="24" spans="1:26" ht="15.75" customHeight="1">
      <c r="A24" s="9" t="s">
        <v>28</v>
      </c>
      <c r="B24" s="10" t="s">
        <v>29</v>
      </c>
      <c r="C24" s="11">
        <f t="shared" ref="C24:G24" si="16">C22*0.26</f>
        <v>150157.67000000001</v>
      </c>
      <c r="D24" s="11">
        <f t="shared" si="16"/>
        <v>157665.55350000001</v>
      </c>
      <c r="E24" s="11">
        <f t="shared" si="16"/>
        <v>172858.40617499998</v>
      </c>
      <c r="F24" s="11">
        <f t="shared" si="16"/>
        <v>181501.32648375002</v>
      </c>
      <c r="G24" s="11">
        <f t="shared" si="16"/>
        <v>190576.39280793752</v>
      </c>
      <c r="H24" s="11">
        <f>SUM(C24:G24)</f>
        <v>852759.34896668745</v>
      </c>
      <c r="I24" s="1"/>
      <c r="J24" s="1"/>
      <c r="K24" s="1"/>
      <c r="L24" s="1"/>
      <c r="M24" s="1"/>
      <c r="N24" s="1"/>
      <c r="O24" s="1"/>
      <c r="P24" s="1"/>
      <c r="Q24" s="1"/>
      <c r="R24" s="1"/>
      <c r="S24" s="1"/>
      <c r="T24" s="1"/>
      <c r="U24" s="1"/>
      <c r="V24" s="1"/>
      <c r="W24" s="1"/>
      <c r="X24" s="1"/>
      <c r="Y24" s="1"/>
      <c r="Z24" s="1"/>
    </row>
    <row r="25" spans="1:26" ht="15.75" customHeight="1">
      <c r="A25" s="25"/>
      <c r="B25" s="26" t="s">
        <v>30</v>
      </c>
      <c r="C25" s="27">
        <f t="shared" ref="C25:H25" si="17">C24</f>
        <v>150157.67000000001</v>
      </c>
      <c r="D25" s="27">
        <f t="shared" si="17"/>
        <v>157665.55350000001</v>
      </c>
      <c r="E25" s="27">
        <f t="shared" si="17"/>
        <v>172858.40617499998</v>
      </c>
      <c r="F25" s="27">
        <f t="shared" si="17"/>
        <v>181501.32648375002</v>
      </c>
      <c r="G25" s="27">
        <f t="shared" si="17"/>
        <v>190576.39280793752</v>
      </c>
      <c r="H25" s="27">
        <f t="shared" si="17"/>
        <v>852759.34896668745</v>
      </c>
      <c r="I25" s="1"/>
      <c r="J25" s="1"/>
      <c r="K25" s="1"/>
      <c r="L25" s="1"/>
      <c r="M25" s="1"/>
      <c r="N25" s="1"/>
      <c r="O25" s="1"/>
      <c r="P25" s="1"/>
      <c r="Q25" s="1"/>
      <c r="R25" s="1"/>
      <c r="S25" s="1"/>
      <c r="T25" s="1"/>
      <c r="U25" s="1"/>
      <c r="V25" s="1"/>
      <c r="W25" s="1"/>
      <c r="X25" s="1"/>
      <c r="Y25" s="1"/>
      <c r="Z25" s="1"/>
    </row>
    <row r="26" spans="1:26" ht="15.75" customHeight="1">
      <c r="A26" s="28" t="s">
        <v>31</v>
      </c>
      <c r="B26" s="22"/>
      <c r="C26" s="23"/>
      <c r="D26" s="23"/>
      <c r="E26" s="23"/>
      <c r="F26" s="23"/>
      <c r="G26" s="23"/>
      <c r="H26" s="29"/>
      <c r="I26" s="1"/>
      <c r="J26" s="1"/>
      <c r="K26" s="1"/>
      <c r="L26" s="1"/>
      <c r="M26" s="1"/>
      <c r="N26" s="1"/>
      <c r="O26" s="1"/>
      <c r="P26" s="1"/>
      <c r="Q26" s="1"/>
      <c r="R26" s="1"/>
      <c r="S26" s="1"/>
      <c r="T26" s="1"/>
      <c r="U26" s="1"/>
      <c r="V26" s="1"/>
      <c r="W26" s="1"/>
      <c r="X26" s="1"/>
      <c r="Y26" s="1"/>
      <c r="Z26" s="1"/>
    </row>
    <row r="27" spans="1:26" ht="15.75" customHeight="1">
      <c r="A27" s="9"/>
      <c r="B27" s="10" t="s">
        <v>32</v>
      </c>
      <c r="C27" s="11">
        <f t="shared" ref="C27:G27" si="18">1200*7.65</f>
        <v>9180</v>
      </c>
      <c r="D27" s="11">
        <f t="shared" si="18"/>
        <v>9180</v>
      </c>
      <c r="E27" s="11">
        <f t="shared" si="18"/>
        <v>9180</v>
      </c>
      <c r="F27" s="11">
        <f t="shared" si="18"/>
        <v>9180</v>
      </c>
      <c r="G27" s="11">
        <f t="shared" si="18"/>
        <v>9180</v>
      </c>
      <c r="H27" s="11">
        <f t="shared" ref="H27:H28" si="19">SUM(C27:G27)</f>
        <v>45900</v>
      </c>
      <c r="I27" s="1"/>
      <c r="J27" s="1"/>
      <c r="K27" s="1"/>
      <c r="L27" s="1"/>
      <c r="M27" s="1"/>
      <c r="N27" s="1"/>
      <c r="O27" s="1"/>
      <c r="P27" s="1"/>
      <c r="Q27" s="1"/>
      <c r="R27" s="1"/>
      <c r="S27" s="1"/>
      <c r="T27" s="1"/>
      <c r="U27" s="1"/>
      <c r="V27" s="1"/>
      <c r="W27" s="1"/>
      <c r="X27" s="1"/>
      <c r="Y27" s="1"/>
      <c r="Z27" s="1"/>
    </row>
    <row r="28" spans="1:26" ht="15.75" customHeight="1">
      <c r="A28" s="9"/>
      <c r="B28" s="9" t="s">
        <v>33</v>
      </c>
      <c r="C28" s="11">
        <f t="shared" ref="C28:G28" si="20">(400+60+450+225+45+60+(500*0.67))*2</f>
        <v>3150</v>
      </c>
      <c r="D28" s="11">
        <f t="shared" si="20"/>
        <v>3150</v>
      </c>
      <c r="E28" s="11">
        <f t="shared" si="20"/>
        <v>3150</v>
      </c>
      <c r="F28" s="11">
        <f t="shared" si="20"/>
        <v>3150</v>
      </c>
      <c r="G28" s="11">
        <f t="shared" si="20"/>
        <v>3150</v>
      </c>
      <c r="H28" s="11">
        <f t="shared" si="19"/>
        <v>15750</v>
      </c>
      <c r="I28" s="1"/>
      <c r="J28" s="1"/>
      <c r="K28" s="1"/>
      <c r="L28" s="1"/>
      <c r="M28" s="1"/>
      <c r="N28" s="1"/>
      <c r="O28" s="1"/>
      <c r="P28" s="1"/>
      <c r="Q28" s="1"/>
      <c r="R28" s="1"/>
      <c r="S28" s="1"/>
      <c r="T28" s="1"/>
      <c r="U28" s="1"/>
      <c r="V28" s="1"/>
      <c r="W28" s="1"/>
      <c r="X28" s="1"/>
      <c r="Y28" s="1"/>
      <c r="Z28" s="1"/>
    </row>
    <row r="29" spans="1:26" ht="15.75" customHeight="1">
      <c r="A29" s="73" t="s">
        <v>34</v>
      </c>
      <c r="B29" s="71"/>
      <c r="C29" s="20">
        <f t="shared" ref="C29:H29" si="21">SUM(C27:C28)</f>
        <v>12330</v>
      </c>
      <c r="D29" s="20">
        <f t="shared" si="21"/>
        <v>12330</v>
      </c>
      <c r="E29" s="20">
        <f t="shared" si="21"/>
        <v>12330</v>
      </c>
      <c r="F29" s="20">
        <f t="shared" si="21"/>
        <v>12330</v>
      </c>
      <c r="G29" s="20">
        <f t="shared" si="21"/>
        <v>12330</v>
      </c>
      <c r="H29" s="20">
        <f t="shared" si="21"/>
        <v>61650</v>
      </c>
      <c r="I29" s="1"/>
      <c r="J29" s="1"/>
      <c r="K29" s="1"/>
      <c r="L29" s="1"/>
      <c r="M29" s="1"/>
      <c r="N29" s="1"/>
      <c r="O29" s="1"/>
      <c r="P29" s="1"/>
      <c r="Q29" s="1"/>
      <c r="R29" s="1"/>
      <c r="S29" s="1"/>
      <c r="T29" s="1"/>
      <c r="U29" s="1"/>
      <c r="V29" s="1"/>
      <c r="W29" s="1"/>
      <c r="X29" s="1"/>
      <c r="Y29" s="1"/>
      <c r="Z29" s="1"/>
    </row>
    <row r="30" spans="1:26" ht="15.75" customHeight="1">
      <c r="A30" s="30" t="s">
        <v>35</v>
      </c>
      <c r="B30" s="31"/>
      <c r="C30" s="32"/>
      <c r="D30" s="32"/>
      <c r="E30" s="32"/>
      <c r="F30" s="32"/>
      <c r="G30" s="32"/>
      <c r="H30" s="32"/>
      <c r="I30" s="1"/>
      <c r="J30" s="1"/>
      <c r="K30" s="1"/>
      <c r="L30" s="1"/>
      <c r="M30" s="1"/>
      <c r="N30" s="1"/>
      <c r="O30" s="1"/>
      <c r="P30" s="1"/>
      <c r="Q30" s="1"/>
      <c r="R30" s="1"/>
      <c r="S30" s="1"/>
      <c r="T30" s="1"/>
      <c r="U30" s="1"/>
      <c r="V30" s="1"/>
      <c r="W30" s="1"/>
      <c r="X30" s="1"/>
      <c r="Y30" s="1"/>
      <c r="Z30" s="1"/>
    </row>
    <row r="31" spans="1:26" ht="15.75" customHeight="1">
      <c r="A31" s="9"/>
      <c r="B31" s="33"/>
      <c r="C31" s="11">
        <v>0</v>
      </c>
      <c r="D31" s="11">
        <v>0</v>
      </c>
      <c r="E31" s="11">
        <v>0</v>
      </c>
      <c r="F31" s="11">
        <v>0</v>
      </c>
      <c r="G31" s="11">
        <v>0</v>
      </c>
      <c r="H31" s="11">
        <f>SUM(C31:G31)</f>
        <v>0</v>
      </c>
      <c r="I31" s="1"/>
      <c r="J31" s="1"/>
      <c r="K31" s="1"/>
      <c r="L31" s="1"/>
      <c r="M31" s="1"/>
      <c r="N31" s="1"/>
      <c r="O31" s="1"/>
      <c r="P31" s="1"/>
      <c r="Q31" s="1"/>
      <c r="R31" s="1"/>
      <c r="S31" s="1"/>
      <c r="T31" s="1"/>
      <c r="U31" s="1"/>
      <c r="V31" s="1"/>
      <c r="W31" s="1"/>
      <c r="X31" s="1"/>
      <c r="Y31" s="1"/>
      <c r="Z31" s="1"/>
    </row>
    <row r="32" spans="1:26" ht="15.75" customHeight="1">
      <c r="A32" s="34"/>
      <c r="B32" s="26" t="s">
        <v>36</v>
      </c>
      <c r="C32" s="27">
        <f t="shared" ref="C32:H32" si="22">C31</f>
        <v>0</v>
      </c>
      <c r="D32" s="27">
        <f t="shared" si="22"/>
        <v>0</v>
      </c>
      <c r="E32" s="27">
        <f t="shared" si="22"/>
        <v>0</v>
      </c>
      <c r="F32" s="27">
        <f t="shared" si="22"/>
        <v>0</v>
      </c>
      <c r="G32" s="27">
        <f t="shared" si="22"/>
        <v>0</v>
      </c>
      <c r="H32" s="27">
        <f t="shared" si="22"/>
        <v>0</v>
      </c>
      <c r="I32" s="1"/>
      <c r="J32" s="1"/>
      <c r="K32" s="1"/>
      <c r="L32" s="1"/>
      <c r="M32" s="1"/>
      <c r="N32" s="1"/>
      <c r="O32" s="1"/>
      <c r="P32" s="1"/>
      <c r="Q32" s="1"/>
      <c r="R32" s="1"/>
      <c r="S32" s="1"/>
      <c r="T32" s="1"/>
      <c r="U32" s="1"/>
      <c r="V32" s="1"/>
      <c r="W32" s="1"/>
      <c r="X32" s="1"/>
      <c r="Y32" s="1"/>
      <c r="Z32" s="1"/>
    </row>
    <row r="33" spans="1:26" ht="15.75" customHeight="1">
      <c r="A33" s="30" t="s">
        <v>37</v>
      </c>
      <c r="B33" s="35"/>
      <c r="C33" s="36"/>
      <c r="D33" s="36"/>
      <c r="E33" s="36"/>
      <c r="F33" s="36"/>
      <c r="G33" s="36"/>
      <c r="H33" s="36"/>
      <c r="I33" s="1"/>
      <c r="J33" s="1"/>
      <c r="K33" s="1"/>
      <c r="L33" s="1"/>
      <c r="M33" s="1"/>
      <c r="N33" s="1"/>
      <c r="O33" s="1"/>
      <c r="P33" s="1"/>
      <c r="Q33" s="1"/>
      <c r="R33" s="1"/>
      <c r="S33" s="1"/>
      <c r="T33" s="1"/>
      <c r="U33" s="1"/>
      <c r="V33" s="1"/>
      <c r="W33" s="1"/>
      <c r="X33" s="1"/>
      <c r="Y33" s="1"/>
      <c r="Z33" s="1"/>
    </row>
    <row r="34" spans="1:26" ht="15.75" customHeight="1">
      <c r="A34" s="9"/>
      <c r="B34" s="10" t="s">
        <v>38</v>
      </c>
      <c r="C34" s="11">
        <f>1475*7.65</f>
        <v>11283.75</v>
      </c>
      <c r="D34" s="11">
        <v>0</v>
      </c>
      <c r="E34" s="11">
        <v>0</v>
      </c>
      <c r="F34" s="11">
        <f>1475*3.83</f>
        <v>5649.25</v>
      </c>
      <c r="G34" s="11">
        <v>0</v>
      </c>
      <c r="H34" s="11">
        <f t="shared" ref="H34:H36" si="23">SUM(C34:G34)</f>
        <v>16933</v>
      </c>
      <c r="I34" s="1"/>
      <c r="J34" s="1"/>
      <c r="K34" s="1"/>
      <c r="L34" s="1"/>
      <c r="M34" s="1"/>
      <c r="N34" s="1"/>
      <c r="O34" s="1"/>
      <c r="P34" s="1"/>
      <c r="Q34" s="1"/>
      <c r="R34" s="1"/>
      <c r="S34" s="1"/>
      <c r="T34" s="1"/>
      <c r="U34" s="1"/>
      <c r="V34" s="1"/>
      <c r="W34" s="1"/>
      <c r="X34" s="1"/>
      <c r="Y34" s="1"/>
      <c r="Z34" s="1"/>
    </row>
    <row r="35" spans="1:26" ht="15.75" customHeight="1">
      <c r="A35" s="9"/>
      <c r="B35" s="10" t="s">
        <v>39</v>
      </c>
      <c r="C35" s="11">
        <f t="shared" ref="C35:G35" si="24">500*7.65</f>
        <v>3825</v>
      </c>
      <c r="D35" s="11">
        <f t="shared" si="24"/>
        <v>3825</v>
      </c>
      <c r="E35" s="11">
        <f t="shared" si="24"/>
        <v>3825</v>
      </c>
      <c r="F35" s="11">
        <f t="shared" si="24"/>
        <v>3825</v>
      </c>
      <c r="G35" s="11">
        <f t="shared" si="24"/>
        <v>3825</v>
      </c>
      <c r="H35" s="11">
        <f t="shared" si="23"/>
        <v>19125</v>
      </c>
      <c r="I35" s="1"/>
      <c r="J35" s="1"/>
      <c r="K35" s="1"/>
      <c r="L35" s="1"/>
      <c r="M35" s="1"/>
      <c r="N35" s="1"/>
      <c r="O35" s="1"/>
      <c r="P35" s="1"/>
      <c r="Q35" s="1"/>
      <c r="R35" s="1"/>
      <c r="S35" s="1"/>
      <c r="T35" s="1"/>
      <c r="U35" s="1"/>
      <c r="V35" s="1"/>
      <c r="W35" s="1"/>
      <c r="X35" s="1"/>
      <c r="Y35" s="1"/>
      <c r="Z35" s="1"/>
    </row>
    <row r="36" spans="1:26" ht="15.75" customHeight="1">
      <c r="A36" s="9"/>
      <c r="B36" s="10" t="s">
        <v>40</v>
      </c>
      <c r="C36" s="11">
        <v>1000</v>
      </c>
      <c r="D36" s="11">
        <v>1000</v>
      </c>
      <c r="E36" s="11">
        <v>0</v>
      </c>
      <c r="F36" s="11">
        <v>0</v>
      </c>
      <c r="G36" s="11">
        <v>0</v>
      </c>
      <c r="H36" s="11">
        <f t="shared" si="23"/>
        <v>2000</v>
      </c>
      <c r="I36" s="1"/>
      <c r="J36" s="1"/>
      <c r="K36" s="1"/>
      <c r="L36" s="1"/>
      <c r="M36" s="1"/>
      <c r="N36" s="1"/>
      <c r="O36" s="1"/>
      <c r="P36" s="1"/>
      <c r="Q36" s="1"/>
      <c r="R36" s="1"/>
      <c r="S36" s="1"/>
      <c r="T36" s="1"/>
      <c r="U36" s="1"/>
      <c r="V36" s="1"/>
      <c r="W36" s="1"/>
      <c r="X36" s="1"/>
      <c r="Y36" s="1"/>
      <c r="Z36" s="1"/>
    </row>
    <row r="37" spans="1:26" ht="15.75" customHeight="1">
      <c r="A37" s="73" t="s">
        <v>41</v>
      </c>
      <c r="B37" s="71"/>
      <c r="C37" s="27">
        <f t="shared" ref="C37:H37" si="25">SUM(C34:C36)</f>
        <v>16108.75</v>
      </c>
      <c r="D37" s="27">
        <f t="shared" si="25"/>
        <v>4825</v>
      </c>
      <c r="E37" s="27">
        <f t="shared" si="25"/>
        <v>3825</v>
      </c>
      <c r="F37" s="27">
        <f t="shared" si="25"/>
        <v>9474.25</v>
      </c>
      <c r="G37" s="27">
        <f t="shared" si="25"/>
        <v>3825</v>
      </c>
      <c r="H37" s="27">
        <f t="shared" si="25"/>
        <v>38058</v>
      </c>
      <c r="I37" s="1"/>
      <c r="J37" s="1"/>
      <c r="K37" s="1"/>
      <c r="L37" s="1"/>
      <c r="M37" s="1"/>
      <c r="N37" s="1"/>
      <c r="O37" s="1"/>
      <c r="P37" s="1"/>
      <c r="Q37" s="1"/>
      <c r="R37" s="1"/>
      <c r="S37" s="1"/>
      <c r="T37" s="1"/>
      <c r="U37" s="1"/>
      <c r="V37" s="1"/>
      <c r="W37" s="1"/>
      <c r="X37" s="1"/>
      <c r="Y37" s="1"/>
      <c r="Z37" s="1"/>
    </row>
    <row r="38" spans="1:26" ht="15.75" customHeight="1">
      <c r="A38" s="37" t="s">
        <v>42</v>
      </c>
      <c r="B38" s="38"/>
      <c r="C38" s="39"/>
      <c r="D38" s="39"/>
      <c r="E38" s="39"/>
      <c r="F38" s="39"/>
      <c r="G38" s="39"/>
      <c r="H38" s="39"/>
      <c r="I38" s="1"/>
      <c r="J38" s="1"/>
      <c r="K38" s="1"/>
      <c r="L38" s="1"/>
      <c r="M38" s="1"/>
      <c r="N38" s="1"/>
      <c r="O38" s="1"/>
      <c r="P38" s="1"/>
      <c r="Q38" s="1"/>
      <c r="R38" s="1"/>
      <c r="S38" s="1"/>
      <c r="T38" s="1"/>
      <c r="U38" s="1"/>
      <c r="V38" s="1"/>
      <c r="W38" s="1"/>
      <c r="X38" s="1"/>
      <c r="Y38" s="1"/>
      <c r="Z38" s="1"/>
    </row>
    <row r="39" spans="1:26" ht="15.75" customHeight="1">
      <c r="A39" s="9"/>
      <c r="B39" s="10" t="s">
        <v>43</v>
      </c>
      <c r="C39" s="11">
        <v>200000</v>
      </c>
      <c r="D39" s="11">
        <v>200000</v>
      </c>
      <c r="E39" s="11">
        <v>200000</v>
      </c>
      <c r="F39" s="11">
        <v>200000</v>
      </c>
      <c r="G39" s="11">
        <v>200000</v>
      </c>
      <c r="H39" s="11">
        <f t="shared" ref="H39:H43" si="26">SUM(C39:G39)</f>
        <v>1000000</v>
      </c>
      <c r="I39" s="1"/>
      <c r="J39" s="1"/>
      <c r="K39" s="1"/>
      <c r="L39" s="1"/>
      <c r="M39" s="1"/>
      <c r="N39" s="1"/>
      <c r="O39" s="1"/>
      <c r="P39" s="1"/>
      <c r="Q39" s="1"/>
      <c r="R39" s="1"/>
      <c r="S39" s="1"/>
      <c r="T39" s="1"/>
      <c r="U39" s="1"/>
      <c r="V39" s="1"/>
      <c r="W39" s="1"/>
      <c r="X39" s="1"/>
      <c r="Y39" s="1"/>
      <c r="Z39" s="1"/>
    </row>
    <row r="40" spans="1:26" ht="15.75" customHeight="1">
      <c r="A40" s="40" t="s">
        <v>0</v>
      </c>
      <c r="B40" s="10" t="s">
        <v>44</v>
      </c>
      <c r="C40" s="41">
        <v>50000</v>
      </c>
      <c r="D40" s="42">
        <v>0</v>
      </c>
      <c r="E40" s="42">
        <v>0</v>
      </c>
      <c r="F40" s="42">
        <v>0</v>
      </c>
      <c r="G40" s="42">
        <v>0</v>
      </c>
      <c r="H40" s="11">
        <f t="shared" si="26"/>
        <v>50000</v>
      </c>
      <c r="I40" s="1"/>
      <c r="J40" s="1"/>
      <c r="K40" s="1"/>
      <c r="L40" s="1"/>
      <c r="M40" s="1"/>
      <c r="N40" s="1"/>
      <c r="O40" s="1"/>
      <c r="P40" s="1"/>
      <c r="Q40" s="1"/>
      <c r="R40" s="1"/>
      <c r="S40" s="1"/>
      <c r="T40" s="1"/>
      <c r="U40" s="1"/>
      <c r="V40" s="1"/>
      <c r="W40" s="1"/>
      <c r="X40" s="1"/>
      <c r="Y40" s="1"/>
      <c r="Z40" s="1"/>
    </row>
    <row r="41" spans="1:26" ht="15.75" customHeight="1">
      <c r="A41" s="40" t="s">
        <v>0</v>
      </c>
      <c r="B41" s="10" t="s">
        <v>45</v>
      </c>
      <c r="C41" s="41">
        <v>159290</v>
      </c>
      <c r="D41" s="42">
        <v>378090</v>
      </c>
      <c r="E41" s="42">
        <v>415602</v>
      </c>
      <c r="F41" s="42">
        <v>778074</v>
      </c>
      <c r="G41" s="42">
        <v>551825</v>
      </c>
      <c r="H41" s="11">
        <f t="shared" si="26"/>
        <v>2282881</v>
      </c>
      <c r="I41" s="1"/>
      <c r="J41" s="1"/>
      <c r="K41" s="1"/>
      <c r="L41" s="1"/>
      <c r="M41" s="1"/>
      <c r="N41" s="1"/>
      <c r="O41" s="1"/>
      <c r="P41" s="1"/>
      <c r="Q41" s="1"/>
      <c r="R41" s="1"/>
      <c r="S41" s="1"/>
      <c r="T41" s="1"/>
      <c r="U41" s="1"/>
      <c r="V41" s="1"/>
      <c r="W41" s="1"/>
      <c r="X41" s="1"/>
      <c r="Y41" s="1"/>
      <c r="Z41" s="1"/>
    </row>
    <row r="42" spans="1:26" ht="15.75" customHeight="1">
      <c r="A42" s="40" t="s">
        <v>0</v>
      </c>
      <c r="B42" s="43" t="s">
        <v>46</v>
      </c>
      <c r="C42" s="41">
        <v>1700000</v>
      </c>
      <c r="D42" s="42">
        <v>3400000</v>
      </c>
      <c r="E42" s="42">
        <v>5100000</v>
      </c>
      <c r="F42" s="42">
        <v>6800000</v>
      </c>
      <c r="G42" s="42">
        <v>6800000</v>
      </c>
      <c r="H42" s="42">
        <f t="shared" si="26"/>
        <v>23800000</v>
      </c>
      <c r="I42" s="1"/>
      <c r="J42" s="1"/>
      <c r="K42" s="1"/>
      <c r="L42" s="1"/>
      <c r="M42" s="1"/>
      <c r="N42" s="1"/>
      <c r="O42" s="1"/>
      <c r="P42" s="1"/>
      <c r="Q42" s="1"/>
      <c r="R42" s="1"/>
      <c r="S42" s="1"/>
      <c r="T42" s="1"/>
      <c r="U42" s="1"/>
      <c r="V42" s="1"/>
      <c r="W42" s="1"/>
      <c r="X42" s="1"/>
      <c r="Y42" s="1"/>
      <c r="Z42" s="1"/>
    </row>
    <row r="43" spans="1:26" ht="15.75" customHeight="1">
      <c r="A43" s="44" t="s">
        <v>47</v>
      </c>
      <c r="B43" s="10" t="s">
        <v>48</v>
      </c>
      <c r="C43" s="11">
        <f t="shared" ref="C43:G43" si="27">10000000/5</f>
        <v>2000000</v>
      </c>
      <c r="D43" s="11">
        <f t="shared" si="27"/>
        <v>2000000</v>
      </c>
      <c r="E43" s="11">
        <f t="shared" si="27"/>
        <v>2000000</v>
      </c>
      <c r="F43" s="11">
        <f t="shared" si="27"/>
        <v>2000000</v>
      </c>
      <c r="G43" s="11">
        <f t="shared" si="27"/>
        <v>2000000</v>
      </c>
      <c r="H43" s="42">
        <f t="shared" si="26"/>
        <v>10000000</v>
      </c>
      <c r="I43" s="1"/>
      <c r="J43" s="1"/>
      <c r="K43" s="1"/>
      <c r="L43" s="1"/>
      <c r="M43" s="1"/>
      <c r="N43" s="1"/>
      <c r="O43" s="1"/>
      <c r="P43" s="1"/>
      <c r="Q43" s="1"/>
      <c r="R43" s="1"/>
      <c r="S43" s="1"/>
      <c r="T43" s="1"/>
      <c r="U43" s="1"/>
      <c r="V43" s="1"/>
      <c r="W43" s="1"/>
      <c r="X43" s="1"/>
      <c r="Y43" s="1"/>
      <c r="Z43" s="1"/>
    </row>
    <row r="44" spans="1:26" ht="15.75" customHeight="1">
      <c r="A44" s="67" t="s">
        <v>49</v>
      </c>
      <c r="B44" s="68"/>
      <c r="C44" s="45">
        <f t="shared" ref="C44:H44" si="28">SUM(C39:C43)</f>
        <v>4109290</v>
      </c>
      <c r="D44" s="45">
        <f t="shared" si="28"/>
        <v>5978090</v>
      </c>
      <c r="E44" s="45">
        <f t="shared" si="28"/>
        <v>7715602</v>
      </c>
      <c r="F44" s="45">
        <f t="shared" si="28"/>
        <v>9778074</v>
      </c>
      <c r="G44" s="45">
        <f t="shared" si="28"/>
        <v>9551825</v>
      </c>
      <c r="H44" s="45">
        <f t="shared" si="28"/>
        <v>37132881</v>
      </c>
      <c r="I44" s="1"/>
      <c r="J44" s="1"/>
      <c r="K44" s="1"/>
      <c r="L44" s="1"/>
      <c r="M44" s="1"/>
      <c r="N44" s="1"/>
      <c r="O44" s="1"/>
      <c r="P44" s="1"/>
      <c r="Q44" s="1"/>
      <c r="R44" s="1"/>
      <c r="S44" s="1"/>
      <c r="T44" s="1"/>
      <c r="U44" s="1"/>
      <c r="V44" s="1"/>
      <c r="W44" s="1"/>
      <c r="X44" s="1"/>
      <c r="Y44" s="1"/>
      <c r="Z44" s="1"/>
    </row>
    <row r="45" spans="1:26" ht="15.75" customHeight="1">
      <c r="A45" s="46" t="s">
        <v>50</v>
      </c>
      <c r="B45" s="47"/>
      <c r="C45" s="48"/>
      <c r="D45" s="48"/>
      <c r="E45" s="48"/>
      <c r="F45" s="48"/>
      <c r="G45" s="48"/>
      <c r="H45" s="49"/>
      <c r="I45" s="1"/>
      <c r="J45" s="1"/>
      <c r="K45" s="1"/>
      <c r="L45" s="1"/>
      <c r="M45" s="1"/>
      <c r="N45" s="1"/>
      <c r="O45" s="1"/>
      <c r="P45" s="1"/>
      <c r="Q45" s="1"/>
      <c r="R45" s="1"/>
      <c r="S45" s="1"/>
      <c r="T45" s="1"/>
      <c r="U45" s="1"/>
      <c r="V45" s="1"/>
      <c r="W45" s="1"/>
      <c r="X45" s="1"/>
      <c r="Y45" s="1"/>
      <c r="Z45" s="1"/>
    </row>
    <row r="46" spans="1:26" ht="15.75" customHeight="1">
      <c r="A46" s="9"/>
      <c r="B46" s="9" t="s">
        <v>51</v>
      </c>
      <c r="C46" s="50">
        <f t="shared" ref="C46:G46" si="29">750*7.65</f>
        <v>5737.5</v>
      </c>
      <c r="D46" s="50">
        <f t="shared" si="29"/>
        <v>5737.5</v>
      </c>
      <c r="E46" s="50">
        <f t="shared" si="29"/>
        <v>5737.5</v>
      </c>
      <c r="F46" s="50">
        <f t="shared" si="29"/>
        <v>5737.5</v>
      </c>
      <c r="G46" s="50">
        <f t="shared" si="29"/>
        <v>5737.5</v>
      </c>
      <c r="H46" s="50">
        <f t="shared" ref="H46:H47" si="30">SUM(C46:G46)</f>
        <v>28687.5</v>
      </c>
      <c r="I46" s="1"/>
      <c r="J46" s="1"/>
      <c r="K46" s="1"/>
      <c r="L46" s="1"/>
      <c r="M46" s="1"/>
      <c r="N46" s="1"/>
      <c r="O46" s="1"/>
      <c r="P46" s="1"/>
      <c r="Q46" s="1"/>
      <c r="R46" s="1"/>
      <c r="S46" s="1"/>
      <c r="T46" s="1"/>
      <c r="U46" s="1"/>
      <c r="V46" s="1"/>
      <c r="W46" s="1"/>
      <c r="X46" s="1"/>
      <c r="Y46" s="1"/>
      <c r="Z46" s="1"/>
    </row>
    <row r="47" spans="1:26" ht="15.75" customHeight="1">
      <c r="A47" s="12"/>
      <c r="B47" s="51" t="s">
        <v>52</v>
      </c>
      <c r="C47" s="42">
        <f t="shared" ref="C47:G47" si="31">30000*0.25</f>
        <v>7500</v>
      </c>
      <c r="D47" s="42">
        <f t="shared" si="31"/>
        <v>7500</v>
      </c>
      <c r="E47" s="42">
        <f t="shared" si="31"/>
        <v>7500</v>
      </c>
      <c r="F47" s="42">
        <f t="shared" si="31"/>
        <v>7500</v>
      </c>
      <c r="G47" s="42">
        <f t="shared" si="31"/>
        <v>7500</v>
      </c>
      <c r="H47" s="52">
        <f t="shared" si="30"/>
        <v>37500</v>
      </c>
      <c r="I47" s="1"/>
      <c r="J47" s="1"/>
      <c r="K47" s="1"/>
      <c r="L47" s="1"/>
      <c r="M47" s="1"/>
      <c r="N47" s="1"/>
      <c r="O47" s="1"/>
      <c r="P47" s="1"/>
      <c r="Q47" s="1"/>
      <c r="R47" s="1"/>
      <c r="S47" s="1"/>
      <c r="T47" s="1"/>
      <c r="U47" s="1"/>
      <c r="V47" s="1"/>
      <c r="W47" s="1"/>
      <c r="X47" s="1"/>
      <c r="Y47" s="1"/>
      <c r="Z47" s="1"/>
    </row>
    <row r="48" spans="1:26" ht="15.75" customHeight="1">
      <c r="A48" s="69" t="s">
        <v>53</v>
      </c>
      <c r="B48" s="70"/>
      <c r="C48" s="70"/>
      <c r="D48" s="70"/>
      <c r="E48" s="70"/>
      <c r="F48" s="70"/>
      <c r="G48" s="70"/>
      <c r="H48" s="71"/>
      <c r="I48" s="1"/>
      <c r="J48" s="1"/>
      <c r="K48" s="1"/>
      <c r="L48" s="1"/>
      <c r="M48" s="1"/>
      <c r="N48" s="1"/>
      <c r="O48" s="1"/>
      <c r="P48" s="1"/>
      <c r="Q48" s="1"/>
      <c r="R48" s="1"/>
      <c r="S48" s="1"/>
      <c r="T48" s="1"/>
      <c r="U48" s="1"/>
      <c r="V48" s="1"/>
      <c r="W48" s="1"/>
      <c r="X48" s="1"/>
      <c r="Y48" s="1"/>
      <c r="Z48" s="1"/>
    </row>
    <row r="49" spans="1:26" ht="15.75" customHeight="1">
      <c r="A49" s="9" t="s">
        <v>54</v>
      </c>
      <c r="B49" s="43" t="s">
        <v>55</v>
      </c>
      <c r="C49" s="53">
        <v>4550000</v>
      </c>
      <c r="D49" s="53">
        <v>0</v>
      </c>
      <c r="E49" s="53">
        <v>0</v>
      </c>
      <c r="F49" s="53">
        <v>0</v>
      </c>
      <c r="G49" s="53">
        <v>0</v>
      </c>
      <c r="H49" s="53">
        <f t="shared" ref="H49:H85" si="32">SUM(C49:G49)</f>
        <v>4550000</v>
      </c>
      <c r="I49" s="1"/>
      <c r="J49" s="1"/>
      <c r="K49" s="1"/>
      <c r="L49" s="1"/>
      <c r="M49" s="1"/>
      <c r="N49" s="1"/>
      <c r="O49" s="1"/>
      <c r="P49" s="1"/>
      <c r="Q49" s="1"/>
      <c r="R49" s="1"/>
      <c r="S49" s="1"/>
      <c r="T49" s="1"/>
      <c r="U49" s="1"/>
      <c r="V49" s="1"/>
      <c r="W49" s="1"/>
      <c r="X49" s="1"/>
      <c r="Y49" s="1"/>
      <c r="Z49" s="1"/>
    </row>
    <row r="50" spans="1:26" ht="15.75" customHeight="1">
      <c r="A50" s="9" t="s">
        <v>56</v>
      </c>
      <c r="B50" s="10" t="s">
        <v>57</v>
      </c>
      <c r="C50" s="17">
        <f>1382294.8+0+421095</f>
        <v>1803389.8</v>
      </c>
      <c r="D50" s="11">
        <f>808674.8+5534231+1318602.4</f>
        <v>7661508.1999999993</v>
      </c>
      <c r="E50" s="11">
        <f>826282.8+5534231+336851.4</f>
        <v>6697365.2000000002</v>
      </c>
      <c r="F50" s="11">
        <f>826282.8+0+344424</f>
        <v>1170706.8</v>
      </c>
      <c r="G50" s="11">
        <f>826282.8+0+351996</f>
        <v>1178278.8</v>
      </c>
      <c r="H50" s="11">
        <f t="shared" si="32"/>
        <v>18511248.800000001</v>
      </c>
      <c r="I50" s="1"/>
      <c r="J50" s="1"/>
      <c r="K50" s="1"/>
      <c r="L50" s="1"/>
      <c r="M50" s="1"/>
      <c r="N50" s="1"/>
      <c r="O50" s="1"/>
      <c r="P50" s="1"/>
      <c r="Q50" s="1"/>
      <c r="R50" s="1"/>
      <c r="S50" s="1"/>
      <c r="T50" s="1"/>
      <c r="U50" s="1"/>
      <c r="V50" s="1"/>
      <c r="W50" s="1"/>
      <c r="X50" s="1"/>
      <c r="Y50" s="1"/>
      <c r="Z50" s="1"/>
    </row>
    <row r="51" spans="1:26" ht="15.75" customHeight="1">
      <c r="A51" s="9" t="s">
        <v>58</v>
      </c>
      <c r="B51" s="10" t="s">
        <v>59</v>
      </c>
      <c r="C51" s="17">
        <f>357000+70000</f>
        <v>427000</v>
      </c>
      <c r="D51" s="11">
        <v>70000</v>
      </c>
      <c r="E51" s="11">
        <v>70000</v>
      </c>
      <c r="F51" s="11">
        <v>0</v>
      </c>
      <c r="G51" s="11">
        <v>0</v>
      </c>
      <c r="H51" s="11">
        <f t="shared" si="32"/>
        <v>567000</v>
      </c>
      <c r="I51" s="1"/>
      <c r="J51" s="1"/>
      <c r="K51" s="1"/>
      <c r="L51" s="1"/>
      <c r="M51" s="1"/>
      <c r="N51" s="1"/>
      <c r="O51" s="1"/>
      <c r="P51" s="1"/>
      <c r="Q51" s="1"/>
      <c r="R51" s="1"/>
      <c r="S51" s="1"/>
      <c r="T51" s="1"/>
      <c r="U51" s="1"/>
      <c r="V51" s="1"/>
      <c r="W51" s="1"/>
      <c r="X51" s="1"/>
      <c r="Y51" s="1"/>
      <c r="Z51" s="1"/>
    </row>
    <row r="52" spans="1:26" ht="15.75" customHeight="1">
      <c r="A52" s="9" t="s">
        <v>60</v>
      </c>
      <c r="B52" s="10" t="s">
        <v>61</v>
      </c>
      <c r="C52" s="17">
        <f>60726+37800</f>
        <v>98526</v>
      </c>
      <c r="D52" s="11">
        <f>0+382200</f>
        <v>382200</v>
      </c>
      <c r="E52" s="11">
        <v>0</v>
      </c>
      <c r="F52" s="11">
        <v>0</v>
      </c>
      <c r="G52" s="11">
        <v>0</v>
      </c>
      <c r="H52" s="11">
        <f t="shared" si="32"/>
        <v>480726</v>
      </c>
      <c r="I52" s="1"/>
      <c r="J52" s="1"/>
      <c r="K52" s="1"/>
      <c r="L52" s="1"/>
      <c r="M52" s="1"/>
      <c r="N52" s="1"/>
      <c r="O52" s="1"/>
      <c r="P52" s="1"/>
      <c r="Q52" s="1"/>
      <c r="R52" s="1"/>
      <c r="S52" s="1"/>
      <c r="T52" s="1"/>
      <c r="U52" s="1"/>
      <c r="V52" s="1"/>
      <c r="W52" s="1"/>
      <c r="X52" s="1"/>
      <c r="Y52" s="1"/>
      <c r="Z52" s="1"/>
    </row>
    <row r="53" spans="1:26" ht="15.75" customHeight="1">
      <c r="A53" s="9" t="s">
        <v>62</v>
      </c>
      <c r="B53" s="10" t="s">
        <v>63</v>
      </c>
      <c r="C53" s="17">
        <v>0</v>
      </c>
      <c r="D53" s="11">
        <v>625000</v>
      </c>
      <c r="E53" s="11">
        <v>0</v>
      </c>
      <c r="F53" s="11">
        <v>0</v>
      </c>
      <c r="G53" s="11">
        <v>0</v>
      </c>
      <c r="H53" s="11">
        <f t="shared" si="32"/>
        <v>625000</v>
      </c>
      <c r="I53" s="1"/>
      <c r="J53" s="1"/>
      <c r="K53" s="1"/>
      <c r="L53" s="1"/>
      <c r="M53" s="1"/>
      <c r="N53" s="1"/>
      <c r="O53" s="1"/>
      <c r="P53" s="1"/>
      <c r="Q53" s="1"/>
      <c r="R53" s="1"/>
      <c r="S53" s="1"/>
      <c r="T53" s="1"/>
      <c r="U53" s="1"/>
      <c r="V53" s="1"/>
      <c r="W53" s="1"/>
      <c r="X53" s="1"/>
      <c r="Y53" s="1"/>
      <c r="Z53" s="1"/>
    </row>
    <row r="54" spans="1:26" ht="15.75" customHeight="1">
      <c r="A54" s="54" t="s">
        <v>64</v>
      </c>
      <c r="B54" s="10" t="s">
        <v>65</v>
      </c>
      <c r="C54" s="17">
        <f>920000+0</f>
        <v>920000</v>
      </c>
      <c r="D54" s="11">
        <f>845000+0</f>
        <v>845000</v>
      </c>
      <c r="E54" s="11">
        <f>820000+1400000</f>
        <v>2220000</v>
      </c>
      <c r="F54" s="11">
        <f>845000+0</f>
        <v>845000</v>
      </c>
      <c r="G54" s="11">
        <f>820000+0</f>
        <v>820000</v>
      </c>
      <c r="H54" s="11">
        <f t="shared" si="32"/>
        <v>5650000</v>
      </c>
      <c r="I54" s="1"/>
      <c r="J54" s="1"/>
      <c r="K54" s="1"/>
      <c r="L54" s="1"/>
      <c r="M54" s="1"/>
      <c r="N54" s="1"/>
      <c r="O54" s="1"/>
      <c r="P54" s="1"/>
      <c r="Q54" s="1"/>
      <c r="R54" s="1"/>
      <c r="S54" s="1"/>
      <c r="T54" s="1"/>
      <c r="U54" s="1"/>
      <c r="V54" s="1"/>
      <c r="W54" s="1"/>
      <c r="X54" s="1"/>
      <c r="Y54" s="1"/>
      <c r="Z54" s="1"/>
    </row>
    <row r="55" spans="1:26" ht="15.75" customHeight="1">
      <c r="A55" s="55" t="s">
        <v>66</v>
      </c>
      <c r="B55" s="10" t="s">
        <v>67</v>
      </c>
      <c r="C55" s="17">
        <v>436100</v>
      </c>
      <c r="D55" s="11">
        <v>0</v>
      </c>
      <c r="E55" s="11">
        <v>0</v>
      </c>
      <c r="F55" s="11">
        <v>0</v>
      </c>
      <c r="G55" s="11">
        <v>0</v>
      </c>
      <c r="H55" s="11">
        <f t="shared" si="32"/>
        <v>436100</v>
      </c>
      <c r="I55" s="1"/>
      <c r="J55" s="1"/>
      <c r="K55" s="1"/>
      <c r="L55" s="1"/>
      <c r="M55" s="1"/>
      <c r="N55" s="1"/>
      <c r="O55" s="1"/>
      <c r="P55" s="1"/>
      <c r="Q55" s="1"/>
      <c r="R55" s="1"/>
      <c r="S55" s="1"/>
      <c r="T55" s="1"/>
      <c r="U55" s="1"/>
      <c r="V55" s="1"/>
      <c r="W55" s="1"/>
      <c r="X55" s="1"/>
      <c r="Y55" s="1"/>
      <c r="Z55" s="1"/>
    </row>
    <row r="56" spans="1:26" ht="15.75" customHeight="1">
      <c r="A56" s="55" t="s">
        <v>68</v>
      </c>
      <c r="B56" s="10" t="s">
        <v>69</v>
      </c>
      <c r="C56" s="17">
        <v>169400</v>
      </c>
      <c r="D56" s="11">
        <v>0</v>
      </c>
      <c r="E56" s="11">
        <v>0</v>
      </c>
      <c r="F56" s="11">
        <v>0</v>
      </c>
      <c r="G56" s="11">
        <v>0</v>
      </c>
      <c r="H56" s="11">
        <f t="shared" si="32"/>
        <v>169400</v>
      </c>
      <c r="I56" s="1"/>
      <c r="J56" s="1"/>
      <c r="K56" s="1"/>
      <c r="L56" s="1"/>
      <c r="M56" s="1"/>
      <c r="N56" s="1"/>
      <c r="O56" s="1"/>
      <c r="P56" s="1"/>
      <c r="Q56" s="1"/>
      <c r="R56" s="1"/>
      <c r="S56" s="1"/>
      <c r="T56" s="1"/>
      <c r="U56" s="1"/>
      <c r="V56" s="1"/>
      <c r="W56" s="1"/>
      <c r="X56" s="1"/>
      <c r="Y56" s="1"/>
      <c r="Z56" s="1"/>
    </row>
    <row r="57" spans="1:26" ht="15.75" customHeight="1">
      <c r="A57" s="55" t="s">
        <v>70</v>
      </c>
      <c r="B57" s="10" t="s">
        <v>71</v>
      </c>
      <c r="C57" s="17">
        <v>41152.299999999996</v>
      </c>
      <c r="D57" s="11">
        <v>0</v>
      </c>
      <c r="E57" s="11">
        <v>0</v>
      </c>
      <c r="F57" s="11">
        <v>0</v>
      </c>
      <c r="G57" s="11">
        <v>0</v>
      </c>
      <c r="H57" s="11">
        <f t="shared" si="32"/>
        <v>41152.299999999996</v>
      </c>
      <c r="I57" s="1"/>
      <c r="J57" s="1"/>
      <c r="K57" s="1"/>
      <c r="L57" s="1"/>
      <c r="M57" s="1"/>
      <c r="N57" s="1"/>
      <c r="O57" s="1"/>
      <c r="P57" s="1"/>
      <c r="Q57" s="1"/>
      <c r="R57" s="1"/>
      <c r="S57" s="1"/>
      <c r="T57" s="1"/>
      <c r="U57" s="1"/>
      <c r="V57" s="1"/>
      <c r="W57" s="1"/>
      <c r="X57" s="1"/>
      <c r="Y57" s="1"/>
      <c r="Z57" s="1"/>
    </row>
    <row r="58" spans="1:26" ht="15.75" customHeight="1">
      <c r="A58" s="55" t="s">
        <v>72</v>
      </c>
      <c r="B58" s="10" t="s">
        <v>73</v>
      </c>
      <c r="C58" s="17">
        <v>999999.99991000001</v>
      </c>
      <c r="D58" s="11">
        <v>0</v>
      </c>
      <c r="E58" s="11">
        <v>0</v>
      </c>
      <c r="F58" s="11">
        <v>0</v>
      </c>
      <c r="G58" s="11">
        <v>0</v>
      </c>
      <c r="H58" s="11">
        <f t="shared" si="32"/>
        <v>999999.99991000001</v>
      </c>
      <c r="I58" s="1"/>
      <c r="J58" s="1"/>
      <c r="K58" s="1"/>
      <c r="L58" s="1"/>
      <c r="M58" s="1"/>
      <c r="N58" s="1"/>
      <c r="O58" s="1"/>
      <c r="P58" s="1"/>
      <c r="Q58" s="1"/>
      <c r="R58" s="1"/>
      <c r="S58" s="1"/>
      <c r="T58" s="1"/>
      <c r="U58" s="1"/>
      <c r="V58" s="1"/>
      <c r="W58" s="1"/>
      <c r="X58" s="1"/>
      <c r="Y58" s="1"/>
      <c r="Z58" s="1"/>
    </row>
    <row r="59" spans="1:26" ht="15.75" customHeight="1">
      <c r="A59" s="55" t="s">
        <v>74</v>
      </c>
      <c r="B59" s="10" t="s">
        <v>75</v>
      </c>
      <c r="C59" s="17">
        <v>100877</v>
      </c>
      <c r="D59" s="11">
        <v>0</v>
      </c>
      <c r="E59" s="11">
        <v>0</v>
      </c>
      <c r="F59" s="11">
        <v>0</v>
      </c>
      <c r="G59" s="11">
        <v>0</v>
      </c>
      <c r="H59" s="11">
        <f t="shared" si="32"/>
        <v>100877</v>
      </c>
      <c r="I59" s="1"/>
      <c r="J59" s="1"/>
      <c r="K59" s="1"/>
      <c r="L59" s="1"/>
      <c r="M59" s="1"/>
      <c r="N59" s="1"/>
      <c r="O59" s="1"/>
      <c r="P59" s="1"/>
      <c r="Q59" s="1"/>
      <c r="R59" s="1"/>
      <c r="S59" s="1"/>
      <c r="T59" s="1"/>
      <c r="U59" s="1"/>
      <c r="V59" s="1"/>
      <c r="W59" s="1"/>
      <c r="X59" s="1"/>
      <c r="Y59" s="1"/>
      <c r="Z59" s="1"/>
    </row>
    <row r="60" spans="1:26" ht="15.75" customHeight="1">
      <c r="A60" s="56" t="s">
        <v>76</v>
      </c>
      <c r="B60" s="51" t="s">
        <v>77</v>
      </c>
      <c r="C60" s="41">
        <v>0</v>
      </c>
      <c r="D60" s="41">
        <v>1064863.8</v>
      </c>
      <c r="E60" s="42">
        <v>0</v>
      </c>
      <c r="F60" s="42">
        <v>0</v>
      </c>
      <c r="G60" s="42">
        <v>0</v>
      </c>
      <c r="H60" s="11">
        <f t="shared" si="32"/>
        <v>1064863.8</v>
      </c>
      <c r="I60" s="1"/>
      <c r="J60" s="1"/>
      <c r="K60" s="1"/>
      <c r="L60" s="1"/>
      <c r="M60" s="1"/>
      <c r="N60" s="1"/>
      <c r="O60" s="1"/>
      <c r="P60" s="1"/>
      <c r="Q60" s="1"/>
      <c r="R60" s="1"/>
      <c r="S60" s="1"/>
      <c r="T60" s="1"/>
      <c r="U60" s="1"/>
      <c r="V60" s="1"/>
      <c r="W60" s="1"/>
      <c r="X60" s="1"/>
      <c r="Y60" s="1"/>
      <c r="Z60" s="1"/>
    </row>
    <row r="61" spans="1:26" ht="15.75" customHeight="1">
      <c r="A61" s="9" t="s">
        <v>78</v>
      </c>
      <c r="B61" s="10" t="s">
        <v>79</v>
      </c>
      <c r="C61" s="41">
        <v>85498</v>
      </c>
      <c r="D61" s="42">
        <v>0</v>
      </c>
      <c r="E61" s="42">
        <v>0</v>
      </c>
      <c r="F61" s="42">
        <v>0</v>
      </c>
      <c r="G61" s="42">
        <v>0</v>
      </c>
      <c r="H61" s="11">
        <f t="shared" si="32"/>
        <v>85498</v>
      </c>
      <c r="I61" s="1"/>
      <c r="J61" s="1"/>
      <c r="K61" s="1"/>
      <c r="L61" s="1"/>
      <c r="M61" s="1"/>
      <c r="N61" s="1"/>
      <c r="O61" s="1"/>
      <c r="P61" s="1"/>
      <c r="Q61" s="1"/>
      <c r="R61" s="1"/>
      <c r="S61" s="1"/>
      <c r="T61" s="1"/>
      <c r="U61" s="1"/>
      <c r="V61" s="1"/>
      <c r="W61" s="1"/>
      <c r="X61" s="1"/>
      <c r="Y61" s="1"/>
      <c r="Z61" s="1"/>
    </row>
    <row r="62" spans="1:26" ht="15.75" customHeight="1">
      <c r="A62" s="55" t="s">
        <v>80</v>
      </c>
      <c r="B62" s="10" t="s">
        <v>81</v>
      </c>
      <c r="C62" s="17">
        <f>1820000+910000</f>
        <v>2730000</v>
      </c>
      <c r="D62" s="11">
        <v>0</v>
      </c>
      <c r="E62" s="11">
        <v>0</v>
      </c>
      <c r="F62" s="11">
        <v>0</v>
      </c>
      <c r="G62" s="11"/>
      <c r="H62" s="11">
        <f t="shared" si="32"/>
        <v>2730000</v>
      </c>
      <c r="I62" s="1"/>
      <c r="J62" s="1"/>
      <c r="K62" s="1"/>
      <c r="L62" s="1"/>
      <c r="M62" s="1"/>
      <c r="N62" s="1"/>
      <c r="O62" s="1"/>
      <c r="P62" s="1"/>
      <c r="Q62" s="1"/>
      <c r="R62" s="1"/>
      <c r="S62" s="1"/>
      <c r="T62" s="1"/>
      <c r="U62" s="1"/>
      <c r="V62" s="1"/>
      <c r="W62" s="1"/>
      <c r="X62" s="1"/>
      <c r="Y62" s="1"/>
      <c r="Z62" s="1"/>
    </row>
    <row r="63" spans="1:26" ht="15.75" customHeight="1">
      <c r="A63" s="55" t="s">
        <v>82</v>
      </c>
      <c r="B63" s="10" t="s">
        <v>83</v>
      </c>
      <c r="C63" s="11">
        <v>4680000</v>
      </c>
      <c r="D63" s="11">
        <v>1000000</v>
      </c>
      <c r="E63" s="11">
        <v>3820000</v>
      </c>
      <c r="F63" s="11">
        <v>1000000</v>
      </c>
      <c r="G63" s="11">
        <v>1000000</v>
      </c>
      <c r="H63" s="11">
        <f t="shared" si="32"/>
        <v>11500000</v>
      </c>
      <c r="I63" s="1"/>
      <c r="J63" s="1"/>
      <c r="K63" s="1"/>
      <c r="L63" s="1"/>
      <c r="M63" s="1"/>
      <c r="N63" s="1"/>
      <c r="O63" s="1"/>
      <c r="P63" s="1"/>
      <c r="Q63" s="1"/>
      <c r="R63" s="1"/>
      <c r="S63" s="1"/>
      <c r="T63" s="1"/>
      <c r="U63" s="1"/>
      <c r="V63" s="1"/>
      <c r="W63" s="1"/>
      <c r="X63" s="1"/>
      <c r="Y63" s="1"/>
      <c r="Z63" s="1"/>
    </row>
    <row r="64" spans="1:26" ht="15.75" customHeight="1">
      <c r="A64" s="9" t="s">
        <v>84</v>
      </c>
      <c r="B64" s="10" t="s">
        <v>85</v>
      </c>
      <c r="C64" s="17">
        <v>1000000.0001070346</v>
      </c>
      <c r="D64" s="11">
        <v>0</v>
      </c>
      <c r="E64" s="11">
        <v>0</v>
      </c>
      <c r="F64" s="11">
        <v>0</v>
      </c>
      <c r="G64" s="11">
        <v>0</v>
      </c>
      <c r="H64" s="11">
        <f t="shared" si="32"/>
        <v>1000000.0001070346</v>
      </c>
      <c r="I64" s="1"/>
      <c r="J64" s="1"/>
      <c r="K64" s="1"/>
      <c r="L64" s="1"/>
      <c r="M64" s="1"/>
      <c r="N64" s="1"/>
      <c r="O64" s="1"/>
      <c r="P64" s="1"/>
      <c r="Q64" s="1"/>
      <c r="R64" s="1"/>
      <c r="S64" s="1"/>
      <c r="T64" s="1"/>
      <c r="U64" s="1"/>
      <c r="V64" s="1"/>
      <c r="W64" s="1"/>
      <c r="X64" s="1"/>
      <c r="Y64" s="1"/>
      <c r="Z64" s="1"/>
    </row>
    <row r="65" spans="1:26" ht="15.75" customHeight="1">
      <c r="A65" s="9" t="s">
        <v>86</v>
      </c>
      <c r="B65" s="10" t="s">
        <v>87</v>
      </c>
      <c r="C65" s="57">
        <v>824446.17500000005</v>
      </c>
      <c r="D65" s="53">
        <v>925553.99650000001</v>
      </c>
      <c r="E65" s="11">
        <v>0</v>
      </c>
      <c r="F65" s="11">
        <v>0</v>
      </c>
      <c r="G65" s="11">
        <v>0</v>
      </c>
      <c r="H65" s="11">
        <f t="shared" si="32"/>
        <v>1750000.1715000002</v>
      </c>
      <c r="I65" s="1"/>
      <c r="J65" s="1"/>
      <c r="K65" s="1"/>
      <c r="L65" s="1"/>
      <c r="M65" s="1"/>
      <c r="N65" s="1"/>
      <c r="O65" s="1"/>
      <c r="P65" s="1"/>
      <c r="Q65" s="1"/>
      <c r="R65" s="1"/>
      <c r="S65" s="1"/>
      <c r="T65" s="1"/>
      <c r="U65" s="1"/>
      <c r="V65" s="1"/>
      <c r="W65" s="1"/>
      <c r="X65" s="1"/>
      <c r="Y65" s="1"/>
      <c r="Z65" s="1"/>
    </row>
    <row r="66" spans="1:26" ht="15.75" customHeight="1">
      <c r="A66" s="9" t="s">
        <v>88</v>
      </c>
      <c r="B66" s="10" t="s">
        <v>89</v>
      </c>
      <c r="C66" s="11">
        <v>209430</v>
      </c>
      <c r="D66" s="11">
        <v>0</v>
      </c>
      <c r="E66" s="11">
        <v>0</v>
      </c>
      <c r="F66" s="11">
        <v>0</v>
      </c>
      <c r="G66" s="11">
        <v>0</v>
      </c>
      <c r="H66" s="11">
        <f t="shared" si="32"/>
        <v>209430</v>
      </c>
      <c r="I66" s="1"/>
      <c r="J66" s="1"/>
      <c r="K66" s="1"/>
      <c r="L66" s="1"/>
      <c r="M66" s="1"/>
      <c r="N66" s="1"/>
      <c r="O66" s="1"/>
      <c r="P66" s="1"/>
      <c r="Q66" s="1"/>
      <c r="R66" s="1"/>
      <c r="S66" s="1"/>
      <c r="T66" s="1"/>
      <c r="U66" s="1"/>
      <c r="V66" s="1"/>
      <c r="W66" s="1"/>
      <c r="X66" s="1"/>
      <c r="Y66" s="1"/>
      <c r="Z66" s="1"/>
    </row>
    <row r="67" spans="1:26" ht="15.75" customHeight="1">
      <c r="A67" s="55" t="s">
        <v>90</v>
      </c>
      <c r="B67" s="10" t="s">
        <v>91</v>
      </c>
      <c r="C67" s="11">
        <f>33861+60032+144756+35000</f>
        <v>273649</v>
      </c>
      <c r="D67" s="11">
        <f>153861+145160+303358+27619.5</f>
        <v>629998.5</v>
      </c>
      <c r="E67" s="11">
        <f>860417+199261+425398+102387.5</f>
        <v>1587463.5</v>
      </c>
      <c r="F67" s="11">
        <f>2953748+132117+273935+0</f>
        <v>3359800</v>
      </c>
      <c r="G67" s="11">
        <f>1556388+0+0+0</f>
        <v>1556388</v>
      </c>
      <c r="H67" s="11">
        <f t="shared" si="32"/>
        <v>7407299</v>
      </c>
      <c r="I67" s="1"/>
      <c r="J67" s="1"/>
      <c r="K67" s="1"/>
      <c r="L67" s="1"/>
      <c r="M67" s="1"/>
      <c r="N67" s="1"/>
      <c r="O67" s="1"/>
      <c r="P67" s="1"/>
      <c r="Q67" s="1"/>
      <c r="R67" s="1"/>
      <c r="S67" s="1"/>
      <c r="T67" s="1"/>
      <c r="U67" s="1"/>
      <c r="V67" s="1"/>
      <c r="W67" s="1"/>
      <c r="X67" s="1"/>
      <c r="Y67" s="1"/>
      <c r="Z67" s="1"/>
    </row>
    <row r="68" spans="1:26" ht="15.75" customHeight="1">
      <c r="A68" s="55" t="s">
        <v>92</v>
      </c>
      <c r="B68" s="10" t="s">
        <v>93</v>
      </c>
      <c r="C68" s="17">
        <f>2000000+2000000+2000000+4000000</f>
        <v>10000000</v>
      </c>
      <c r="D68" s="11">
        <v>0</v>
      </c>
      <c r="E68" s="11">
        <v>0</v>
      </c>
      <c r="F68" s="11">
        <v>0</v>
      </c>
      <c r="G68" s="11">
        <v>0</v>
      </c>
      <c r="H68" s="11">
        <f t="shared" si="32"/>
        <v>10000000</v>
      </c>
      <c r="I68" s="1"/>
      <c r="J68" s="1"/>
      <c r="K68" s="1"/>
      <c r="L68" s="1"/>
      <c r="M68" s="1"/>
      <c r="N68" s="1"/>
      <c r="O68" s="1"/>
      <c r="P68" s="1"/>
      <c r="Q68" s="1"/>
      <c r="R68" s="1"/>
      <c r="S68" s="1"/>
      <c r="T68" s="1"/>
      <c r="U68" s="1"/>
      <c r="V68" s="1"/>
      <c r="W68" s="1"/>
      <c r="X68" s="1"/>
      <c r="Y68" s="1"/>
      <c r="Z68" s="1"/>
    </row>
    <row r="69" spans="1:26" ht="15.75" customHeight="1">
      <c r="A69" s="9" t="s">
        <v>94</v>
      </c>
      <c r="B69" s="10" t="s">
        <v>95</v>
      </c>
      <c r="C69" s="17">
        <v>254340</v>
      </c>
      <c r="D69" s="11">
        <v>527340</v>
      </c>
      <c r="E69" s="11">
        <v>252590</v>
      </c>
      <c r="F69" s="11">
        <v>687590</v>
      </c>
      <c r="G69" s="11">
        <v>94740</v>
      </c>
      <c r="H69" s="11">
        <f t="shared" si="32"/>
        <v>1816600</v>
      </c>
      <c r="I69" s="1"/>
      <c r="J69" s="1"/>
      <c r="K69" s="1"/>
      <c r="L69" s="1"/>
      <c r="M69" s="1"/>
      <c r="N69" s="1"/>
      <c r="O69" s="1"/>
      <c r="P69" s="1"/>
      <c r="Q69" s="1"/>
      <c r="R69" s="1"/>
      <c r="S69" s="1"/>
      <c r="T69" s="1"/>
      <c r="U69" s="1"/>
      <c r="V69" s="1"/>
      <c r="W69" s="1"/>
      <c r="X69" s="1"/>
      <c r="Y69" s="1"/>
      <c r="Z69" s="1"/>
    </row>
    <row r="70" spans="1:26" ht="15.75" customHeight="1">
      <c r="A70" s="9" t="s">
        <v>96</v>
      </c>
      <c r="B70" s="10" t="s">
        <v>97</v>
      </c>
      <c r="C70" s="11">
        <f>84681+35359+16677</f>
        <v>136717</v>
      </c>
      <c r="D70" s="11">
        <f>554717+85268+41373</f>
        <v>681358</v>
      </c>
      <c r="E70" s="11">
        <f>42338+71172</f>
        <v>113510</v>
      </c>
      <c r="F70" s="11">
        <f>45764+80223</f>
        <v>125987</v>
      </c>
      <c r="G70" s="11">
        <v>0</v>
      </c>
      <c r="H70" s="11">
        <f t="shared" si="32"/>
        <v>1057572</v>
      </c>
      <c r="I70" s="1"/>
      <c r="J70" s="1"/>
      <c r="K70" s="1"/>
      <c r="L70" s="1"/>
      <c r="M70" s="1"/>
      <c r="N70" s="1"/>
      <c r="O70" s="1"/>
      <c r="P70" s="1"/>
      <c r="Q70" s="1"/>
      <c r="R70" s="1"/>
      <c r="S70" s="1"/>
      <c r="T70" s="1"/>
      <c r="U70" s="1"/>
      <c r="V70" s="1"/>
      <c r="W70" s="1"/>
      <c r="X70" s="1"/>
      <c r="Y70" s="1"/>
      <c r="Z70" s="1"/>
    </row>
    <row r="71" spans="1:26" ht="15.75" customHeight="1">
      <c r="A71" s="54" t="s">
        <v>98</v>
      </c>
      <c r="B71" s="10" t="s">
        <v>99</v>
      </c>
      <c r="C71" s="11">
        <v>1137676.55</v>
      </c>
      <c r="D71" s="11">
        <v>2425905.3199999998</v>
      </c>
      <c r="E71" s="11">
        <v>2642765.9300000002</v>
      </c>
      <c r="F71" s="11">
        <v>2645456.62</v>
      </c>
      <c r="G71" s="11">
        <v>1148195.5900000001</v>
      </c>
      <c r="H71" s="11">
        <f t="shared" si="32"/>
        <v>10000000.010000002</v>
      </c>
      <c r="I71" s="1"/>
      <c r="J71" s="1"/>
      <c r="K71" s="1"/>
      <c r="L71" s="1"/>
      <c r="M71" s="1"/>
      <c r="N71" s="1"/>
      <c r="O71" s="1"/>
      <c r="P71" s="1"/>
      <c r="Q71" s="1"/>
      <c r="R71" s="1"/>
      <c r="S71" s="1"/>
      <c r="T71" s="1"/>
      <c r="U71" s="1"/>
      <c r="V71" s="1"/>
      <c r="W71" s="1"/>
      <c r="X71" s="1"/>
      <c r="Y71" s="1"/>
      <c r="Z71" s="1"/>
    </row>
    <row r="72" spans="1:26" ht="15.75" customHeight="1">
      <c r="A72" s="9" t="s">
        <v>100</v>
      </c>
      <c r="B72" s="10" t="s">
        <v>101</v>
      </c>
      <c r="C72" s="11">
        <v>80000</v>
      </c>
      <c r="D72" s="11">
        <v>0</v>
      </c>
      <c r="E72" s="11">
        <v>85000</v>
      </c>
      <c r="F72" s="11">
        <v>0</v>
      </c>
      <c r="G72" s="11">
        <v>85000</v>
      </c>
      <c r="H72" s="11">
        <f t="shared" si="32"/>
        <v>250000</v>
      </c>
      <c r="I72" s="1"/>
      <c r="J72" s="1"/>
      <c r="K72" s="1"/>
      <c r="L72" s="1"/>
      <c r="M72" s="1"/>
      <c r="N72" s="1"/>
      <c r="O72" s="1"/>
      <c r="P72" s="1"/>
      <c r="Q72" s="1"/>
      <c r="R72" s="1"/>
      <c r="S72" s="1"/>
      <c r="T72" s="1"/>
      <c r="U72" s="1"/>
      <c r="V72" s="1"/>
      <c r="W72" s="1"/>
      <c r="X72" s="1"/>
      <c r="Y72" s="1"/>
      <c r="Z72" s="1"/>
    </row>
    <row r="73" spans="1:26" ht="15.75" customHeight="1">
      <c r="A73" s="9" t="s">
        <v>102</v>
      </c>
      <c r="B73" s="10" t="s">
        <v>103</v>
      </c>
      <c r="C73" s="11">
        <v>439600</v>
      </c>
      <c r="D73" s="11">
        <v>414600</v>
      </c>
      <c r="E73" s="11">
        <v>424600</v>
      </c>
      <c r="F73" s="11">
        <v>414600</v>
      </c>
      <c r="G73" s="11">
        <v>414600</v>
      </c>
      <c r="H73" s="11">
        <f t="shared" si="32"/>
        <v>2108000</v>
      </c>
      <c r="I73" s="1"/>
      <c r="J73" s="1"/>
      <c r="K73" s="1"/>
      <c r="L73" s="1"/>
      <c r="M73" s="1"/>
      <c r="N73" s="1"/>
      <c r="O73" s="1"/>
      <c r="P73" s="1"/>
      <c r="Q73" s="1"/>
      <c r="R73" s="1"/>
      <c r="S73" s="1"/>
      <c r="T73" s="1"/>
      <c r="U73" s="1"/>
      <c r="V73" s="1"/>
      <c r="W73" s="1"/>
      <c r="X73" s="1"/>
      <c r="Y73" s="1"/>
      <c r="Z73" s="1"/>
    </row>
    <row r="74" spans="1:26" ht="15.75" customHeight="1">
      <c r="A74" s="9" t="s">
        <v>104</v>
      </c>
      <c r="B74" s="19" t="s">
        <v>105</v>
      </c>
      <c r="C74" s="57">
        <v>0</v>
      </c>
      <c r="D74" s="53">
        <v>0</v>
      </c>
      <c r="E74" s="53">
        <v>414200</v>
      </c>
      <c r="F74" s="53">
        <v>2061788</v>
      </c>
      <c r="G74" s="53">
        <v>0</v>
      </c>
      <c r="H74" s="53">
        <f t="shared" si="32"/>
        <v>2475988</v>
      </c>
      <c r="I74" s="1"/>
      <c r="J74" s="1"/>
      <c r="K74" s="1"/>
      <c r="L74" s="1"/>
      <c r="M74" s="1"/>
      <c r="N74" s="1"/>
      <c r="O74" s="1"/>
      <c r="P74" s="1"/>
      <c r="Q74" s="1"/>
      <c r="R74" s="1"/>
      <c r="S74" s="1"/>
      <c r="T74" s="1"/>
      <c r="U74" s="1"/>
      <c r="V74" s="1"/>
      <c r="W74" s="1"/>
      <c r="X74" s="1"/>
      <c r="Y74" s="1"/>
      <c r="Z74" s="1"/>
    </row>
    <row r="75" spans="1:26" ht="15.75" customHeight="1">
      <c r="A75" s="9" t="s">
        <v>106</v>
      </c>
      <c r="B75" s="51" t="s">
        <v>107</v>
      </c>
      <c r="C75" s="58">
        <v>1250000</v>
      </c>
      <c r="D75" s="59">
        <v>1250000</v>
      </c>
      <c r="E75" s="42">
        <v>0</v>
      </c>
      <c r="F75" s="42">
        <v>0</v>
      </c>
      <c r="G75" s="42">
        <v>0</v>
      </c>
      <c r="H75" s="42">
        <f t="shared" si="32"/>
        <v>2500000</v>
      </c>
      <c r="I75" s="1"/>
      <c r="J75" s="1"/>
      <c r="K75" s="1"/>
      <c r="L75" s="1"/>
      <c r="M75" s="1"/>
      <c r="N75" s="1"/>
      <c r="O75" s="1"/>
      <c r="P75" s="1"/>
      <c r="Q75" s="1"/>
      <c r="R75" s="1"/>
      <c r="S75" s="1"/>
      <c r="T75" s="1"/>
      <c r="U75" s="1"/>
      <c r="V75" s="1"/>
      <c r="W75" s="1"/>
      <c r="X75" s="1"/>
      <c r="Y75" s="1"/>
      <c r="Z75" s="1"/>
    </row>
    <row r="76" spans="1:26" ht="15.75" customHeight="1">
      <c r="A76" s="9" t="s">
        <v>108</v>
      </c>
      <c r="B76" s="10" t="s">
        <v>109</v>
      </c>
      <c r="C76" s="11">
        <f>417550+257250+51975+521500+308000+728000+346850</f>
        <v>2631125</v>
      </c>
      <c r="D76" s="11">
        <v>0</v>
      </c>
      <c r="E76" s="11">
        <v>0</v>
      </c>
      <c r="F76" s="11">
        <v>0</v>
      </c>
      <c r="G76" s="11">
        <v>0</v>
      </c>
      <c r="H76" s="11">
        <f t="shared" si="32"/>
        <v>2631125</v>
      </c>
      <c r="I76" s="1"/>
      <c r="J76" s="1"/>
      <c r="K76" s="1"/>
      <c r="L76" s="1"/>
      <c r="M76" s="1"/>
      <c r="N76" s="1"/>
      <c r="O76" s="1"/>
      <c r="P76" s="1"/>
      <c r="Q76" s="1"/>
      <c r="R76" s="1"/>
      <c r="S76" s="1"/>
      <c r="T76" s="1"/>
      <c r="U76" s="1"/>
      <c r="V76" s="1"/>
      <c r="W76" s="1"/>
      <c r="X76" s="1"/>
      <c r="Y76" s="1"/>
      <c r="Z76" s="1"/>
    </row>
    <row r="77" spans="1:26" ht="15.75" customHeight="1">
      <c r="A77" s="18" t="s">
        <v>110</v>
      </c>
      <c r="B77" s="60" t="s">
        <v>111</v>
      </c>
      <c r="C77" s="57">
        <v>133900</v>
      </c>
      <c r="D77" s="53">
        <v>130400</v>
      </c>
      <c r="E77" s="53">
        <v>130400</v>
      </c>
      <c r="F77" s="53">
        <v>9000</v>
      </c>
      <c r="G77" s="53">
        <v>11300</v>
      </c>
      <c r="H77" s="53">
        <f t="shared" si="32"/>
        <v>415000</v>
      </c>
      <c r="I77" s="1"/>
      <c r="J77" s="1"/>
      <c r="K77" s="1"/>
      <c r="L77" s="1"/>
      <c r="M77" s="1"/>
      <c r="N77" s="1"/>
      <c r="O77" s="1"/>
      <c r="P77" s="1"/>
      <c r="Q77" s="1"/>
      <c r="R77" s="1"/>
      <c r="S77" s="1"/>
      <c r="T77" s="1"/>
      <c r="U77" s="1"/>
      <c r="V77" s="1"/>
      <c r="W77" s="1"/>
      <c r="X77" s="1"/>
      <c r="Y77" s="1"/>
      <c r="Z77" s="1"/>
    </row>
    <row r="78" spans="1:26" ht="15.75" customHeight="1">
      <c r="A78" s="56" t="s">
        <v>112</v>
      </c>
      <c r="B78" s="10" t="s">
        <v>113</v>
      </c>
      <c r="C78" s="58">
        <f>0+350000</f>
        <v>350000</v>
      </c>
      <c r="D78" s="58">
        <v>0</v>
      </c>
      <c r="E78" s="58">
        <f>1750000+0</f>
        <v>1750000</v>
      </c>
      <c r="F78" s="58">
        <v>0</v>
      </c>
      <c r="G78" s="58">
        <v>0</v>
      </c>
      <c r="H78" s="59">
        <f t="shared" si="32"/>
        <v>2100000</v>
      </c>
      <c r="I78" s="1"/>
      <c r="J78" s="1"/>
      <c r="K78" s="1"/>
      <c r="L78" s="1"/>
      <c r="M78" s="1"/>
      <c r="N78" s="1"/>
      <c r="O78" s="1"/>
      <c r="P78" s="1"/>
      <c r="Q78" s="1"/>
      <c r="R78" s="1"/>
      <c r="S78" s="1"/>
      <c r="T78" s="1"/>
      <c r="U78" s="1"/>
      <c r="V78" s="1"/>
      <c r="W78" s="1"/>
      <c r="X78" s="1"/>
      <c r="Y78" s="1"/>
      <c r="Z78" s="1"/>
    </row>
    <row r="79" spans="1:26" ht="15.75" customHeight="1">
      <c r="A79" s="13" t="s">
        <v>114</v>
      </c>
      <c r="B79" s="19" t="s">
        <v>115</v>
      </c>
      <c r="C79" s="11">
        <v>1470000</v>
      </c>
      <c r="D79" s="11">
        <v>1470000</v>
      </c>
      <c r="E79" s="11">
        <v>0</v>
      </c>
      <c r="F79" s="11">
        <v>0</v>
      </c>
      <c r="G79" s="11">
        <v>0</v>
      </c>
      <c r="H79" s="11">
        <f t="shared" si="32"/>
        <v>2940000</v>
      </c>
      <c r="I79" s="1"/>
      <c r="J79" s="1"/>
      <c r="K79" s="1"/>
      <c r="L79" s="1"/>
      <c r="M79" s="1"/>
      <c r="N79" s="1"/>
      <c r="O79" s="1"/>
      <c r="P79" s="1"/>
      <c r="Q79" s="1"/>
      <c r="R79" s="1"/>
      <c r="S79" s="1"/>
      <c r="T79" s="1"/>
      <c r="U79" s="1"/>
      <c r="V79" s="1"/>
      <c r="W79" s="1"/>
      <c r="X79" s="1"/>
      <c r="Y79" s="1"/>
      <c r="Z79" s="1"/>
    </row>
    <row r="80" spans="1:26" ht="15.75" customHeight="1">
      <c r="A80" s="13" t="s">
        <v>116</v>
      </c>
      <c r="B80" s="19" t="s">
        <v>117</v>
      </c>
      <c r="C80" s="11">
        <v>8000000</v>
      </c>
      <c r="D80" s="11">
        <v>8000000</v>
      </c>
      <c r="E80" s="11">
        <v>8000000</v>
      </c>
      <c r="F80" s="11">
        <v>8000000</v>
      </c>
      <c r="G80" s="11">
        <v>8000000</v>
      </c>
      <c r="H80" s="11">
        <f t="shared" si="32"/>
        <v>40000000</v>
      </c>
      <c r="I80" s="1"/>
      <c r="J80" s="1"/>
      <c r="K80" s="1"/>
      <c r="L80" s="1"/>
      <c r="M80" s="1"/>
      <c r="N80" s="1"/>
      <c r="O80" s="1"/>
      <c r="P80" s="1"/>
      <c r="Q80" s="1"/>
      <c r="R80" s="1"/>
      <c r="S80" s="1"/>
      <c r="T80" s="1"/>
      <c r="U80" s="1"/>
      <c r="V80" s="1"/>
      <c r="W80" s="1"/>
      <c r="X80" s="1"/>
      <c r="Y80" s="1"/>
      <c r="Z80" s="1"/>
    </row>
    <row r="81" spans="1:26" ht="15.75" customHeight="1">
      <c r="A81" s="54" t="s">
        <v>118</v>
      </c>
      <c r="B81" s="19" t="s">
        <v>119</v>
      </c>
      <c r="C81" s="11">
        <v>1000000</v>
      </c>
      <c r="D81" s="11">
        <v>1500000</v>
      </c>
      <c r="E81" s="11">
        <v>2500000</v>
      </c>
      <c r="F81" s="11">
        <v>2500000</v>
      </c>
      <c r="G81" s="11">
        <v>2500000</v>
      </c>
      <c r="H81" s="11">
        <f t="shared" si="32"/>
        <v>10000000</v>
      </c>
      <c r="I81" s="1"/>
      <c r="J81" s="1"/>
      <c r="K81" s="1"/>
      <c r="L81" s="1"/>
      <c r="M81" s="1"/>
      <c r="N81" s="1"/>
      <c r="O81" s="1"/>
      <c r="P81" s="1"/>
      <c r="Q81" s="1"/>
      <c r="R81" s="1"/>
      <c r="S81" s="1"/>
      <c r="T81" s="1"/>
      <c r="U81" s="1"/>
      <c r="V81" s="1"/>
      <c r="W81" s="1"/>
      <c r="X81" s="1"/>
      <c r="Y81" s="1"/>
      <c r="Z81" s="1"/>
    </row>
    <row r="82" spans="1:26" ht="15.75" customHeight="1">
      <c r="A82" s="9" t="s">
        <v>120</v>
      </c>
      <c r="B82" s="19" t="s">
        <v>121</v>
      </c>
      <c r="C82" s="57">
        <v>1992758.7000000002</v>
      </c>
      <c r="D82" s="53">
        <v>0</v>
      </c>
      <c r="E82" s="53">
        <v>0</v>
      </c>
      <c r="F82" s="53">
        <v>0</v>
      </c>
      <c r="G82" s="53">
        <v>0</v>
      </c>
      <c r="H82" s="53">
        <f t="shared" si="32"/>
        <v>1992758.7000000002</v>
      </c>
      <c r="I82" s="1"/>
      <c r="J82" s="1"/>
      <c r="K82" s="1"/>
      <c r="L82" s="1"/>
      <c r="M82" s="1"/>
      <c r="N82" s="1"/>
      <c r="O82" s="1"/>
      <c r="P82" s="1"/>
      <c r="Q82" s="1"/>
      <c r="R82" s="1"/>
      <c r="S82" s="1"/>
      <c r="T82" s="1"/>
      <c r="U82" s="1"/>
      <c r="V82" s="1"/>
      <c r="W82" s="1"/>
      <c r="X82" s="1"/>
      <c r="Y82" s="1"/>
      <c r="Z82" s="1"/>
    </row>
    <row r="83" spans="1:26" ht="15.75" customHeight="1">
      <c r="A83" s="9" t="s">
        <v>122</v>
      </c>
      <c r="B83" s="10" t="s">
        <v>123</v>
      </c>
      <c r="C83" s="17">
        <v>77500</v>
      </c>
      <c r="D83" s="17">
        <v>147500</v>
      </c>
      <c r="E83" s="17">
        <v>255000</v>
      </c>
      <c r="F83" s="17">
        <v>302500</v>
      </c>
      <c r="G83" s="17">
        <v>300000</v>
      </c>
      <c r="H83" s="11">
        <f t="shared" si="32"/>
        <v>1082500</v>
      </c>
      <c r="I83" s="1"/>
      <c r="J83" s="1"/>
      <c r="K83" s="1"/>
      <c r="L83" s="1"/>
      <c r="M83" s="1"/>
      <c r="N83" s="1"/>
      <c r="O83" s="1"/>
      <c r="P83" s="1"/>
      <c r="Q83" s="1"/>
      <c r="R83" s="1"/>
      <c r="S83" s="1"/>
      <c r="T83" s="1"/>
      <c r="U83" s="1"/>
      <c r="V83" s="1"/>
      <c r="W83" s="1"/>
      <c r="X83" s="1"/>
      <c r="Y83" s="1"/>
      <c r="Z83" s="1"/>
    </row>
    <row r="84" spans="1:26" ht="15.75" customHeight="1">
      <c r="A84" s="9" t="s">
        <v>124</v>
      </c>
      <c r="B84" s="51" t="s">
        <v>125</v>
      </c>
      <c r="C84" s="41">
        <v>101267</v>
      </c>
      <c r="D84" s="42">
        <v>248267</v>
      </c>
      <c r="E84" s="42">
        <v>388266</v>
      </c>
      <c r="F84" s="42">
        <v>0</v>
      </c>
      <c r="G84" s="42">
        <v>0</v>
      </c>
      <c r="H84" s="42">
        <f t="shared" si="32"/>
        <v>737800</v>
      </c>
      <c r="I84" s="1"/>
      <c r="J84" s="1"/>
      <c r="K84" s="1"/>
      <c r="L84" s="1"/>
      <c r="M84" s="1"/>
      <c r="N84" s="1"/>
      <c r="O84" s="1"/>
      <c r="P84" s="1"/>
      <c r="Q84" s="1"/>
      <c r="R84" s="1"/>
      <c r="S84" s="1"/>
      <c r="T84" s="1"/>
      <c r="U84" s="1"/>
      <c r="V84" s="1"/>
      <c r="W84" s="1"/>
      <c r="X84" s="1"/>
      <c r="Y84" s="1"/>
      <c r="Z84" s="1"/>
    </row>
    <row r="85" spans="1:26" ht="15.75" customHeight="1">
      <c r="A85" s="55" t="s">
        <v>126</v>
      </c>
      <c r="B85" s="10" t="s">
        <v>127</v>
      </c>
      <c r="C85" s="41">
        <v>525000</v>
      </c>
      <c r="D85" s="42">
        <v>1645000</v>
      </c>
      <c r="E85" s="42">
        <v>0</v>
      </c>
      <c r="F85" s="42">
        <v>0</v>
      </c>
      <c r="G85" s="42">
        <v>0</v>
      </c>
      <c r="H85" s="42">
        <f t="shared" si="32"/>
        <v>2170000</v>
      </c>
      <c r="I85" s="1"/>
      <c r="J85" s="1"/>
      <c r="K85" s="1"/>
      <c r="L85" s="1"/>
      <c r="M85" s="1"/>
      <c r="N85" s="1"/>
      <c r="O85" s="1"/>
      <c r="P85" s="1"/>
      <c r="Q85" s="1"/>
      <c r="R85" s="1"/>
      <c r="S85" s="1"/>
      <c r="T85" s="1"/>
      <c r="U85" s="1"/>
      <c r="V85" s="1"/>
      <c r="W85" s="1"/>
      <c r="X85" s="1"/>
      <c r="Y85" s="1"/>
      <c r="Z85" s="1"/>
    </row>
    <row r="86" spans="1:26" ht="15.75" customHeight="1">
      <c r="A86" s="72" t="s">
        <v>128</v>
      </c>
      <c r="B86" s="71"/>
      <c r="C86" s="61">
        <f t="shared" ref="C86:H86" si="33">SUM(C49:C85)</f>
        <v>48929352.525017038</v>
      </c>
      <c r="D86" s="61">
        <f t="shared" si="33"/>
        <v>31644494.816500001</v>
      </c>
      <c r="E86" s="61">
        <f t="shared" si="33"/>
        <v>31351160.629999999</v>
      </c>
      <c r="F86" s="61">
        <f t="shared" si="33"/>
        <v>23122428.420000002</v>
      </c>
      <c r="G86" s="61">
        <f t="shared" si="33"/>
        <v>17108502.390000001</v>
      </c>
      <c r="H86" s="61">
        <f t="shared" si="33"/>
        <v>152155938.78151703</v>
      </c>
      <c r="I86" s="1"/>
      <c r="J86" s="1"/>
      <c r="K86" s="1"/>
      <c r="L86" s="1"/>
      <c r="M86" s="1"/>
      <c r="N86" s="1"/>
      <c r="O86" s="1"/>
      <c r="P86" s="1"/>
      <c r="Q86" s="1"/>
      <c r="R86" s="1"/>
      <c r="S86" s="1"/>
      <c r="T86" s="1"/>
      <c r="U86" s="1"/>
      <c r="V86" s="1"/>
      <c r="W86" s="1"/>
      <c r="X86" s="1"/>
      <c r="Y86" s="1"/>
      <c r="Z86" s="1"/>
    </row>
    <row r="87" spans="1:26" ht="15.75" customHeight="1">
      <c r="A87" s="73" t="s">
        <v>129</v>
      </c>
      <c r="B87" s="71"/>
      <c r="C87" s="27">
        <f t="shared" ref="C87:H87" si="34">SUM(C46:C47)+C86</f>
        <v>48942590.025017038</v>
      </c>
      <c r="D87" s="27">
        <f t="shared" si="34"/>
        <v>31657732.316500001</v>
      </c>
      <c r="E87" s="27">
        <f t="shared" si="34"/>
        <v>31364398.129999999</v>
      </c>
      <c r="F87" s="27">
        <f t="shared" si="34"/>
        <v>23135665.920000002</v>
      </c>
      <c r="G87" s="27">
        <f t="shared" si="34"/>
        <v>17121739.890000001</v>
      </c>
      <c r="H87" s="27">
        <f t="shared" si="34"/>
        <v>152222126.28151703</v>
      </c>
      <c r="I87" s="1"/>
      <c r="J87" s="1"/>
      <c r="K87" s="1"/>
      <c r="L87" s="1"/>
      <c r="M87" s="1"/>
      <c r="N87" s="1"/>
      <c r="O87" s="1"/>
      <c r="P87" s="1"/>
      <c r="Q87" s="1"/>
      <c r="R87" s="1"/>
      <c r="S87" s="1"/>
      <c r="T87" s="1"/>
      <c r="U87" s="1"/>
      <c r="V87" s="1"/>
      <c r="W87" s="1"/>
      <c r="X87" s="1"/>
      <c r="Y87" s="1"/>
      <c r="Z87" s="1"/>
    </row>
    <row r="88" spans="1:26" ht="15.75" customHeight="1">
      <c r="A88" s="62" t="s">
        <v>130</v>
      </c>
      <c r="B88" s="63"/>
      <c r="C88" s="64">
        <f t="shared" ref="C88:G88" si="35">C22+C25+C29+C32+C37+C44+C87</f>
        <v>53808005.94501704</v>
      </c>
      <c r="D88" s="64">
        <f t="shared" si="35"/>
        <v>38417048.844999999</v>
      </c>
      <c r="E88" s="64">
        <f t="shared" si="35"/>
        <v>39933853.559924997</v>
      </c>
      <c r="F88" s="64">
        <f t="shared" si="35"/>
        <v>33815127.521421254</v>
      </c>
      <c r="G88" s="64">
        <f t="shared" si="35"/>
        <v>27613282.408992313</v>
      </c>
      <c r="H88" s="64">
        <f t="shared" ref="H88:H90" si="36">SUM(C88:G88)</f>
        <v>193587318.2803556</v>
      </c>
      <c r="I88" s="1"/>
      <c r="J88" s="1"/>
      <c r="K88" s="1"/>
      <c r="L88" s="1"/>
      <c r="M88" s="1"/>
      <c r="N88" s="1"/>
      <c r="O88" s="1"/>
      <c r="P88" s="1"/>
      <c r="Q88" s="1"/>
      <c r="R88" s="1"/>
      <c r="S88" s="1"/>
      <c r="T88" s="1"/>
      <c r="U88" s="1"/>
      <c r="V88" s="1"/>
      <c r="W88" s="1"/>
      <c r="X88" s="1"/>
      <c r="Y88" s="1"/>
      <c r="Z88" s="1"/>
    </row>
    <row r="89" spans="1:26" ht="15.75" customHeight="1">
      <c r="A89" s="62" t="s">
        <v>131</v>
      </c>
      <c r="B89" s="63"/>
      <c r="C89" s="65">
        <f t="shared" ref="C89:G89" si="37">((C88-C32-C86)+(25000*37/5))*0.1</f>
        <v>506365.34200000018</v>
      </c>
      <c r="D89" s="65">
        <f t="shared" si="37"/>
        <v>695755.40284999984</v>
      </c>
      <c r="E89" s="65">
        <f t="shared" si="37"/>
        <v>876769.29299249989</v>
      </c>
      <c r="F89" s="65">
        <f t="shared" si="37"/>
        <v>1087769.9101421253</v>
      </c>
      <c r="G89" s="65">
        <f t="shared" si="37"/>
        <v>1068978.0018992312</v>
      </c>
      <c r="H89" s="66">
        <f t="shared" si="36"/>
        <v>4235637.9498838559</v>
      </c>
      <c r="I89" s="1"/>
      <c r="J89" s="1"/>
      <c r="K89" s="1"/>
      <c r="L89" s="1"/>
      <c r="M89" s="1"/>
      <c r="N89" s="1"/>
      <c r="O89" s="1"/>
      <c r="P89" s="1"/>
      <c r="Q89" s="1"/>
      <c r="R89" s="1"/>
      <c r="S89" s="1"/>
      <c r="T89" s="1"/>
      <c r="U89" s="1"/>
      <c r="V89" s="1"/>
      <c r="W89" s="1"/>
      <c r="X89" s="1"/>
      <c r="Y89" s="1"/>
      <c r="Z89" s="1"/>
    </row>
    <row r="90" spans="1:26" ht="15.75" customHeight="1">
      <c r="A90" s="62" t="s">
        <v>132</v>
      </c>
      <c r="B90" s="63"/>
      <c r="C90" s="64">
        <f t="shared" ref="C90:G90" si="38">C88+C89</f>
        <v>54314371.28701704</v>
      </c>
      <c r="D90" s="64">
        <f t="shared" si="38"/>
        <v>39112804.247850001</v>
      </c>
      <c r="E90" s="64">
        <f t="shared" si="38"/>
        <v>40810622.8529175</v>
      </c>
      <c r="F90" s="64">
        <f t="shared" si="38"/>
        <v>34902897.431563377</v>
      </c>
      <c r="G90" s="64">
        <f t="shared" si="38"/>
        <v>28682260.410891544</v>
      </c>
      <c r="H90" s="64">
        <f t="shared" si="36"/>
        <v>197822956.23023945</v>
      </c>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1">
    <mergeCell ref="A44:B44"/>
    <mergeCell ref="A48:H48"/>
    <mergeCell ref="A86:B86"/>
    <mergeCell ref="A87:B87"/>
    <mergeCell ref="A1:H1"/>
    <mergeCell ref="A2:H2"/>
    <mergeCell ref="A3:H3"/>
    <mergeCell ref="A7:H7"/>
    <mergeCell ref="A22:B22"/>
    <mergeCell ref="A29:B29"/>
    <mergeCell ref="A37:B37"/>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CPRG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Rachid Echane</dc:creator>
  <cp:lastModifiedBy>Rae Pagliarulo</cp:lastModifiedBy>
  <dcterms:created xsi:type="dcterms:W3CDTF">2024-03-22T16:27:26Z</dcterms:created>
  <dcterms:modified xsi:type="dcterms:W3CDTF">2024-03-28T17:04:10Z</dcterms:modified>
</cp:coreProperties>
</file>