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fairmountinc-my.sharepoint.com/personal/fileserver_fairmountinc_com/Documents/Clients O-S/Philadelphia Energy Authority/CPRG/Submission Docs/"/>
    </mc:Choice>
  </mc:AlternateContent>
  <xr:revisionPtr revIDLastSave="0" documentId="8_{A0A0AB69-871D-440E-9986-DA38908C4EDD}" xr6:coauthVersionLast="47" xr6:coauthVersionMax="47" xr10:uidLastSave="{00000000-0000-0000-0000-000000000000}"/>
  <bookViews>
    <workbookView xWindow="-120" yWindow="-120" windowWidth="29040" windowHeight="15840" xr2:uid="{00000000-000D-0000-FFFF-FFFF00000000}"/>
  </bookViews>
  <sheets>
    <sheet name="Final Project Calcs" sheetId="1" r:id="rId1"/>
    <sheet name="Electricity Conversions" sheetId="2" r:id="rId2"/>
    <sheet name="Solar PV Data" sheetId="3" r:id="rId3"/>
    <sheet name="EV Charging Metrics" sheetId="4" r:id="rId4"/>
    <sheet name="Gas Metrics" sheetId="5" r:id="rId5"/>
    <sheet name="Fuel Oil+Propane Metrics" sheetId="6" r:id="rId6"/>
    <sheet name="Project-Specific Calcs_Lifecycl"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w98BfqURbh2UNDqf2d6/hWu58o5FSLcugL1wYGJuK4s="/>
    </ext>
  </extLst>
</workbook>
</file>

<file path=xl/calcChain.xml><?xml version="1.0" encoding="utf-8"?>
<calcChain xmlns="http://schemas.openxmlformats.org/spreadsheetml/2006/main">
  <c r="M233" i="7" l="1"/>
  <c r="A223" i="7"/>
  <c r="G220" i="7"/>
  <c r="G221" i="7" s="1"/>
  <c r="F220" i="7"/>
  <c r="H220" i="7" s="1"/>
  <c r="E220" i="7"/>
  <c r="E221" i="7" s="1"/>
  <c r="D220" i="7"/>
  <c r="D221" i="7" s="1"/>
  <c r="C220" i="7"/>
  <c r="C221" i="7" s="1"/>
  <c r="I221" i="7" s="1"/>
  <c r="B220" i="7"/>
  <c r="B221" i="7" s="1"/>
  <c r="G219" i="7"/>
  <c r="F219" i="7"/>
  <c r="H219" i="7" s="1"/>
  <c r="E219" i="7"/>
  <c r="D219" i="7"/>
  <c r="C219" i="7"/>
  <c r="I219" i="7" s="1"/>
  <c r="B219" i="7"/>
  <c r="F218" i="7"/>
  <c r="F222" i="7" s="1"/>
  <c r="E218" i="7"/>
  <c r="E222" i="7" s="1"/>
  <c r="D218" i="7"/>
  <c r="D222" i="7" s="1"/>
  <c r="F216" i="7"/>
  <c r="G218" i="7" s="1"/>
  <c r="G222" i="7" s="1"/>
  <c r="B216" i="7"/>
  <c r="C218" i="7" s="1"/>
  <c r="C210" i="7"/>
  <c r="G203" i="7"/>
  <c r="F198" i="7"/>
  <c r="F202" i="7" s="1"/>
  <c r="G202" i="7" s="1"/>
  <c r="P184" i="7"/>
  <c r="R184" i="7" s="1"/>
  <c r="S184" i="7" s="1"/>
  <c r="N184" i="7"/>
  <c r="P183" i="7"/>
  <c r="R183" i="7" s="1"/>
  <c r="S183" i="7" s="1"/>
  <c r="N183" i="7"/>
  <c r="P182" i="7"/>
  <c r="R182" i="7" s="1"/>
  <c r="S182" i="7" s="1"/>
  <c r="N182" i="7"/>
  <c r="D178" i="7"/>
  <c r="D163" i="7"/>
  <c r="E163" i="7" s="1"/>
  <c r="F163" i="7" s="1"/>
  <c r="B114" i="7"/>
  <c r="X102" i="7"/>
  <c r="Y102" i="7" s="1"/>
  <c r="W102" i="7"/>
  <c r="V102" i="7"/>
  <c r="R102" i="7"/>
  <c r="S102" i="7" s="1"/>
  <c r="T102" i="7" s="1"/>
  <c r="Q102" i="7"/>
  <c r="M102" i="7"/>
  <c r="N102" i="7" s="1"/>
  <c r="S101" i="7"/>
  <c r="T101" i="7" s="1"/>
  <c r="R101" i="7"/>
  <c r="Q101" i="7"/>
  <c r="N101" i="7"/>
  <c r="O101" i="7" s="1"/>
  <c r="M101" i="7"/>
  <c r="L101" i="7"/>
  <c r="I101" i="7"/>
  <c r="H101" i="7"/>
  <c r="E84" i="7"/>
  <c r="C84" i="7"/>
  <c r="G80" i="7"/>
  <c r="H80" i="7" s="1"/>
  <c r="B75" i="7"/>
  <c r="B74" i="7"/>
  <c r="B72" i="7"/>
  <c r="B71" i="7"/>
  <c r="B58" i="7"/>
  <c r="B52" i="7"/>
  <c r="E51" i="7"/>
  <c r="E52" i="7" s="1"/>
  <c r="B51" i="7"/>
  <c r="B48" i="7"/>
  <c r="B38" i="7"/>
  <c r="B29" i="7"/>
  <c r="B28" i="7"/>
  <c r="B17" i="7"/>
  <c r="M31" i="6"/>
  <c r="L31" i="6"/>
  <c r="L30" i="6"/>
  <c r="L28" i="6"/>
  <c r="N27" i="6"/>
  <c r="N28" i="6" s="1"/>
  <c r="L27" i="6"/>
  <c r="D21" i="6"/>
  <c r="N30" i="6" s="1"/>
  <c r="N31" i="6" s="1"/>
  <c r="D20" i="6"/>
  <c r="M30" i="6" s="1"/>
  <c r="D11" i="6"/>
  <c r="D10" i="6"/>
  <c r="D9" i="6"/>
  <c r="M27" i="6" s="1"/>
  <c r="M28" i="6" s="1"/>
  <c r="B33" i="5"/>
  <c r="F23" i="5" s="1"/>
  <c r="G23" i="5" s="1"/>
  <c r="B31" i="5"/>
  <c r="G24" i="5"/>
  <c r="C18" i="5" s="1"/>
  <c r="C19" i="5" s="1"/>
  <c r="L31" i="5" s="1"/>
  <c r="L32" i="5" s="1"/>
  <c r="K33" i="5" s="1"/>
  <c r="H13" i="5" s="1"/>
  <c r="F24" i="5"/>
  <c r="S20" i="5"/>
  <c r="A19" i="5"/>
  <c r="J31" i="5" s="1"/>
  <c r="J32" i="5" s="1"/>
  <c r="B18" i="5"/>
  <c r="B19" i="5" s="1"/>
  <c r="K31" i="5" s="1"/>
  <c r="K32" i="5" s="1"/>
  <c r="C14" i="5"/>
  <c r="B14" i="5"/>
  <c r="A14" i="5"/>
  <c r="A4" i="5"/>
  <c r="B155" i="4"/>
  <c r="C155" i="4" s="1"/>
  <c r="C153" i="4"/>
  <c r="J152" i="4"/>
  <c r="J151" i="4"/>
  <c r="C150" i="4"/>
  <c r="C147" i="4"/>
  <c r="C144" i="4"/>
  <c r="C142" i="4"/>
  <c r="E120" i="4"/>
  <c r="E119" i="4"/>
  <c r="E116" i="4"/>
  <c r="E113" i="4"/>
  <c r="E112" i="4"/>
  <c r="D105" i="4"/>
  <c r="E104" i="4"/>
  <c r="D104" i="4"/>
  <c r="D103" i="4"/>
  <c r="D102" i="4"/>
  <c r="E101" i="4"/>
  <c r="D101" i="4"/>
  <c r="D100" i="4"/>
  <c r="D99" i="4"/>
  <c r="D98" i="4"/>
  <c r="E98" i="4" s="1"/>
  <c r="G98" i="4" s="1"/>
  <c r="D97" i="4"/>
  <c r="D96" i="4"/>
  <c r="E95" i="4"/>
  <c r="D95" i="4"/>
  <c r="D94" i="4"/>
  <c r="W93" i="4"/>
  <c r="W94" i="4" s="1"/>
  <c r="D93" i="4"/>
  <c r="V92" i="4"/>
  <c r="V93" i="4" s="1"/>
  <c r="S93" i="4" s="1"/>
  <c r="S95" i="4" s="1"/>
  <c r="G79" i="4" s="1"/>
  <c r="C79" i="4"/>
  <c r="J78" i="4"/>
  <c r="C154" i="4" s="1"/>
  <c r="C78" i="4"/>
  <c r="G78" i="4" s="1"/>
  <c r="G77" i="4"/>
  <c r="F77" i="4"/>
  <c r="D74" i="4"/>
  <c r="H74" i="4" s="1"/>
  <c r="P70" i="4"/>
  <c r="O68" i="4"/>
  <c r="O67" i="4"/>
  <c r="H63" i="4"/>
  <c r="A52" i="4"/>
  <c r="B77" i="4" s="1"/>
  <c r="J33" i="4"/>
  <c r="K22" i="4"/>
  <c r="G22" i="4"/>
  <c r="K21" i="4"/>
  <c r="K20" i="4"/>
  <c r="K19" i="4"/>
  <c r="G19" i="4"/>
  <c r="H19" i="4" s="1"/>
  <c r="K18" i="4"/>
  <c r="G18" i="4"/>
  <c r="H18" i="4" s="1"/>
  <c r="K17" i="4"/>
  <c r="K16" i="4"/>
  <c r="G16" i="4"/>
  <c r="C16" i="4"/>
  <c r="C17" i="4" s="1"/>
  <c r="C18" i="4" s="1"/>
  <c r="C19" i="4" s="1"/>
  <c r="C20" i="4" s="1"/>
  <c r="C21" i="4" s="1"/>
  <c r="N21" i="4" s="1"/>
  <c r="B16" i="4"/>
  <c r="B17" i="4" s="1"/>
  <c r="B18" i="4" s="1"/>
  <c r="B19" i="4" s="1"/>
  <c r="B20" i="4" s="1"/>
  <c r="B21" i="4" s="1"/>
  <c r="M21" i="4" s="1"/>
  <c r="G15" i="4"/>
  <c r="D15" i="4"/>
  <c r="E7" i="4"/>
  <c r="C7" i="4"/>
  <c r="F7" i="4" s="1"/>
  <c r="E6" i="4"/>
  <c r="C6" i="4"/>
  <c r="F6" i="4" s="1"/>
  <c r="F5" i="4"/>
  <c r="E5" i="4"/>
  <c r="C5" i="4"/>
  <c r="AX50" i="3"/>
  <c r="AX49" i="3"/>
  <c r="AX48" i="3"/>
  <c r="K48" i="3"/>
  <c r="AX47" i="3"/>
  <c r="L47" i="3"/>
  <c r="AX46" i="3"/>
  <c r="L46" i="3"/>
  <c r="AZ45" i="3"/>
  <c r="AX45" i="3"/>
  <c r="L45" i="3"/>
  <c r="AX44" i="3"/>
  <c r="L44" i="3"/>
  <c r="AX43" i="3"/>
  <c r="AX42" i="3"/>
  <c r="A15" i="3"/>
  <c r="Q28" i="2"/>
  <c r="Q30" i="2" s="1"/>
  <c r="Q27" i="2"/>
  <c r="B17" i="2"/>
  <c r="C11" i="2"/>
  <c r="C17" i="2" s="1"/>
  <c r="B11" i="2"/>
  <c r="A11" i="2"/>
  <c r="A17" i="2" s="1"/>
  <c r="AQ66" i="1"/>
  <c r="AP66" i="1"/>
  <c r="AO66" i="1"/>
  <c r="AN66" i="1"/>
  <c r="AM66" i="1"/>
  <c r="AL66" i="1"/>
  <c r="AK66" i="1"/>
  <c r="AJ66" i="1"/>
  <c r="AI66" i="1"/>
  <c r="AH66" i="1"/>
  <c r="AG66" i="1"/>
  <c r="AF66" i="1"/>
  <c r="AE66" i="1"/>
  <c r="AD66" i="1"/>
  <c r="AC66" i="1"/>
  <c r="AB66" i="1"/>
  <c r="AA66" i="1"/>
  <c r="Z66" i="1"/>
  <c r="Y66" i="1"/>
  <c r="X66" i="1"/>
  <c r="W66" i="1"/>
  <c r="V66" i="1"/>
  <c r="U66" i="1"/>
  <c r="T66" i="1"/>
  <c r="S66" i="1"/>
  <c r="R66" i="1"/>
  <c r="Q66" i="1"/>
  <c r="P66" i="1"/>
  <c r="O66" i="1"/>
  <c r="N66" i="1"/>
  <c r="M66" i="1"/>
  <c r="AX65" i="1"/>
  <c r="AO65" i="1"/>
  <c r="AL65" i="1"/>
  <c r="AK65" i="1"/>
  <c r="AJ65" i="1"/>
  <c r="AI65" i="1"/>
  <c r="AH65" i="1"/>
  <c r="AG65" i="1"/>
  <c r="AF65" i="1"/>
  <c r="AE65" i="1"/>
  <c r="AD65" i="1"/>
  <c r="AC65" i="1"/>
  <c r="AB65" i="1"/>
  <c r="AA65" i="1"/>
  <c r="Z65" i="1"/>
  <c r="V65" i="1"/>
  <c r="U65" i="1"/>
  <c r="T65" i="1"/>
  <c r="S65" i="1"/>
  <c r="Q65" i="1"/>
  <c r="P65" i="1"/>
  <c r="M65" i="1"/>
  <c r="L65" i="1"/>
  <c r="K65" i="1"/>
  <c r="F65" i="1"/>
  <c r="E65" i="1"/>
  <c r="AX64" i="1"/>
  <c r="AN64" i="1"/>
  <c r="AM64" i="1"/>
  <c r="AK64" i="1"/>
  <c r="AA64" i="1"/>
  <c r="Z64" i="1"/>
  <c r="V64" i="1"/>
  <c r="U64" i="1"/>
  <c r="T64" i="1"/>
  <c r="S64" i="1"/>
  <c r="Q64" i="1"/>
  <c r="M64" i="1"/>
  <c r="L64" i="1"/>
  <c r="K64" i="1"/>
  <c r="AX63" i="1"/>
  <c r="AN63" i="1"/>
  <c r="AM63" i="1"/>
  <c r="AL63" i="1"/>
  <c r="AK63" i="1"/>
  <c r="AI63" i="1"/>
  <c r="AG63" i="1"/>
  <c r="AB63" i="1"/>
  <c r="Z63" i="1"/>
  <c r="V63" i="1"/>
  <c r="U63" i="1"/>
  <c r="T63" i="1"/>
  <c r="S63" i="1"/>
  <c r="Q63" i="1"/>
  <c r="P63" i="1"/>
  <c r="M63" i="1"/>
  <c r="AK61" i="1"/>
  <c r="V61" i="1"/>
  <c r="U61" i="1"/>
  <c r="AX60" i="1"/>
  <c r="AW60" i="1"/>
  <c r="AW66" i="1" s="1"/>
  <c r="AR60" i="1"/>
  <c r="F60" i="1"/>
  <c r="F66" i="1" s="1"/>
  <c r="E60" i="1"/>
  <c r="E66" i="1" s="1"/>
  <c r="AX59" i="1"/>
  <c r="AY59" i="1" s="1"/>
  <c r="AY58" i="1"/>
  <c r="AY57" i="1"/>
  <c r="E57" i="1"/>
  <c r="AY56" i="1"/>
  <c r="AW55" i="1"/>
  <c r="R55" i="1"/>
  <c r="R65" i="1" s="1"/>
  <c r="AY54" i="1"/>
  <c r="AY53" i="1"/>
  <c r="N53" i="1"/>
  <c r="N65" i="1" s="1"/>
  <c r="M53" i="1"/>
  <c r="O53" i="1" s="1"/>
  <c r="AY52" i="1"/>
  <c r="AY51" i="1"/>
  <c r="AY50" i="1"/>
  <c r="R50" i="1"/>
  <c r="AY49" i="1"/>
  <c r="R49" i="1"/>
  <c r="AW48" i="1"/>
  <c r="AY48" i="1" s="1"/>
  <c r="R48" i="1"/>
  <c r="BB47" i="1"/>
  <c r="AZ47" i="1"/>
  <c r="AY47" i="1"/>
  <c r="AT47" i="1"/>
  <c r="AS47" i="1"/>
  <c r="AU47" i="1" s="1"/>
  <c r="AY46" i="1"/>
  <c r="AY45" i="1"/>
  <c r="AW44" i="1"/>
  <c r="AY44" i="1" s="1"/>
  <c r="AW43" i="1"/>
  <c r="AY43" i="1" s="1"/>
  <c r="AY42" i="1"/>
  <c r="AW42" i="1"/>
  <c r="R42" i="1"/>
  <c r="AY41" i="1"/>
  <c r="AW41" i="1"/>
  <c r="AW40" i="1"/>
  <c r="AW64" i="1" s="1"/>
  <c r="O40" i="1"/>
  <c r="AY39" i="1"/>
  <c r="AB39" i="1"/>
  <c r="AB64" i="1" s="1"/>
  <c r="G39" i="1"/>
  <c r="F39" i="1"/>
  <c r="E39" i="1"/>
  <c r="AY38" i="1"/>
  <c r="N38" i="1"/>
  <c r="N64" i="1" s="1"/>
  <c r="AY37" i="1"/>
  <c r="AI37" i="1"/>
  <c r="AI64" i="1" s="1"/>
  <c r="AG37" i="1"/>
  <c r="AG64" i="1" s="1"/>
  <c r="Y37" i="1"/>
  <c r="X37" i="1"/>
  <c r="AY36" i="1"/>
  <c r="O36" i="1"/>
  <c r="F36" i="1"/>
  <c r="F64" i="1" s="1"/>
  <c r="E36" i="1"/>
  <c r="E64" i="1" s="1"/>
  <c r="AY35" i="1"/>
  <c r="P35" i="1"/>
  <c r="P64" i="1" s="1"/>
  <c r="AY34" i="1"/>
  <c r="AO34" i="1"/>
  <c r="AP34" i="1" s="1"/>
  <c r="AS34" i="1" s="1"/>
  <c r="AY33" i="1"/>
  <c r="AP33" i="1"/>
  <c r="AS33" i="1" s="1"/>
  <c r="AY32" i="1"/>
  <c r="AY31" i="1"/>
  <c r="BC30" i="1"/>
  <c r="BB30" i="1"/>
  <c r="AY30" i="1"/>
  <c r="AV30" i="1" s="1"/>
  <c r="BA30" i="1" s="1"/>
  <c r="AY29" i="1"/>
  <c r="AJ29" i="1"/>
  <c r="AY28" i="1"/>
  <c r="AW27" i="1"/>
  <c r="AY27" i="1" s="1"/>
  <c r="AA27" i="1"/>
  <c r="AA63" i="1" s="1"/>
  <c r="G27" i="1"/>
  <c r="AY26" i="1"/>
  <c r="AY25" i="1"/>
  <c r="AY24" i="1"/>
  <c r="F24" i="1"/>
  <c r="G24" i="1" s="1"/>
  <c r="AY23" i="1"/>
  <c r="G23" i="1"/>
  <c r="AW22" i="1"/>
  <c r="AY22" i="1" s="1"/>
  <c r="F22" i="1"/>
  <c r="G22" i="1" s="1"/>
  <c r="E22" i="1"/>
  <c r="AY21" i="1"/>
  <c r="R21" i="1"/>
  <c r="O21" i="1"/>
  <c r="F21" i="1"/>
  <c r="G21" i="1" s="1"/>
  <c r="AY20" i="1"/>
  <c r="G20" i="1"/>
  <c r="AY19" i="1"/>
  <c r="R19" i="1"/>
  <c r="AY18" i="1"/>
  <c r="AY17" i="1"/>
  <c r="R17" i="1"/>
  <c r="O17" i="1"/>
  <c r="AY16" i="1"/>
  <c r="O16" i="1"/>
  <c r="F16" i="1"/>
  <c r="E16" i="1"/>
  <c r="E63" i="1" s="1"/>
  <c r="AY15" i="1"/>
  <c r="AY14" i="1"/>
  <c r="G14" i="1"/>
  <c r="AY13" i="1"/>
  <c r="AY12" i="1"/>
  <c r="R12" i="1"/>
  <c r="AY11" i="1"/>
  <c r="AY10" i="1"/>
  <c r="G10" i="1"/>
  <c r="AY9" i="1"/>
  <c r="AY8" i="1"/>
  <c r="AY7" i="1"/>
  <c r="G7" i="1"/>
  <c r="AY6" i="1"/>
  <c r="AY5" i="1"/>
  <c r="AU34" i="1" l="1"/>
  <c r="AZ34" i="1" s="1"/>
  <c r="BB34" i="1"/>
  <c r="BB33" i="1"/>
  <c r="AU33" i="1"/>
  <c r="AZ33" i="1" s="1"/>
  <c r="AJ63" i="1"/>
  <c r="AJ61" i="1"/>
  <c r="AY60" i="1"/>
  <c r="AQ34" i="1"/>
  <c r="AT34" i="1" s="1"/>
  <c r="G13" i="1"/>
  <c r="H13" i="1" s="1"/>
  <c r="L14" i="3" s="1"/>
  <c r="F63" i="1"/>
  <c r="F61" i="1"/>
  <c r="O32" i="1"/>
  <c r="AJ37" i="1"/>
  <c r="AJ64" i="1" s="1"/>
  <c r="AY40" i="1"/>
  <c r="O48" i="1"/>
  <c r="G52" i="1"/>
  <c r="G59" i="1"/>
  <c r="E61" i="1"/>
  <c r="AG61" i="1"/>
  <c r="AY64" i="1"/>
  <c r="G9" i="1"/>
  <c r="G16" i="1"/>
  <c r="AC23" i="1"/>
  <c r="O26" i="1"/>
  <c r="W26" i="1" s="1"/>
  <c r="AH31" i="1"/>
  <c r="O35" i="1"/>
  <c r="AI61" i="1"/>
  <c r="W53" i="1"/>
  <c r="C49" i="7"/>
  <c r="C6" i="7"/>
  <c r="C27" i="7"/>
  <c r="C46" i="7"/>
  <c r="C8" i="7"/>
  <c r="C5" i="7"/>
  <c r="C50" i="7"/>
  <c r="D50" i="7" s="1"/>
  <c r="G50" i="7" s="1"/>
  <c r="C26" i="7"/>
  <c r="C47" i="7"/>
  <c r="C9" i="7"/>
  <c r="D43" i="3"/>
  <c r="F45" i="3"/>
  <c r="F46" i="3" s="1"/>
  <c r="F47" i="3" s="1"/>
  <c r="F49" i="3" s="1"/>
  <c r="F50" i="3" s="1"/>
  <c r="F51" i="3" s="1"/>
  <c r="F52" i="3" s="1"/>
  <c r="F53" i="3" s="1"/>
  <c r="F54" i="3" s="1"/>
  <c r="F55" i="3" s="1"/>
  <c r="F56" i="3" s="1"/>
  <c r="F57" i="3" s="1"/>
  <c r="F58" i="3" s="1"/>
  <c r="F59" i="3" s="1"/>
  <c r="F60" i="3" s="1"/>
  <c r="F61" i="3" s="1"/>
  <c r="F62" i="3" s="1"/>
  <c r="F63" i="3" s="1"/>
  <c r="F64" i="3" s="1"/>
  <c r="F65" i="3" s="1"/>
  <c r="F66" i="3" s="1"/>
  <c r="F67" i="3" s="1"/>
  <c r="F68" i="3" s="1"/>
  <c r="G51" i="1"/>
  <c r="G55" i="1"/>
  <c r="O42" i="1"/>
  <c r="O49" i="1"/>
  <c r="O55" i="1"/>
  <c r="W55" i="1" s="1"/>
  <c r="O50" i="1"/>
  <c r="W50" i="1" s="1"/>
  <c r="G6" i="1"/>
  <c r="O12" i="1"/>
  <c r="G15" i="1"/>
  <c r="G17" i="1"/>
  <c r="AU30" i="1"/>
  <c r="AZ30" i="1" s="1"/>
  <c r="G36" i="1"/>
  <c r="AC39" i="1"/>
  <c r="O43" i="1"/>
  <c r="W43" i="1" s="1"/>
  <c r="B20" i="2"/>
  <c r="H22" i="1" s="1"/>
  <c r="O38" i="1"/>
  <c r="AW65" i="1"/>
  <c r="AY65" i="1" s="1"/>
  <c r="AY55" i="1"/>
  <c r="AX61" i="1"/>
  <c r="G11" i="1"/>
  <c r="H11" i="1" s="1"/>
  <c r="AT14" i="3" s="1"/>
  <c r="AC27" i="1"/>
  <c r="AD27" i="1" s="1"/>
  <c r="AQ33" i="1"/>
  <c r="AT33" i="1" s="1"/>
  <c r="R35" i="1"/>
  <c r="R64" i="1" s="1"/>
  <c r="O44" i="1"/>
  <c r="W44" i="1" s="1"/>
  <c r="O45" i="1"/>
  <c r="W45" i="1" s="1"/>
  <c r="AW63" i="1"/>
  <c r="AY63" i="1" s="1"/>
  <c r="AW61" i="1"/>
  <c r="G8" i="1"/>
  <c r="H8" i="1" s="1"/>
  <c r="D14" i="3" s="1"/>
  <c r="G18" i="1"/>
  <c r="H18" i="1" s="1"/>
  <c r="Z14" i="3" s="1"/>
  <c r="O25" i="1"/>
  <c r="W25" i="1" s="1"/>
  <c r="AH29" i="1"/>
  <c r="O41" i="1"/>
  <c r="W41" i="1" s="1"/>
  <c r="AV47" i="1"/>
  <c r="BA47" i="1" s="1"/>
  <c r="BC47" i="1"/>
  <c r="G54" i="1"/>
  <c r="H54" i="1" s="1"/>
  <c r="P14" i="3" s="1"/>
  <c r="D16" i="4"/>
  <c r="E15" i="4"/>
  <c r="F15" i="4" s="1"/>
  <c r="AX66" i="1"/>
  <c r="AF15" i="3"/>
  <c r="AN15" i="3"/>
  <c r="AL15" i="3"/>
  <c r="F50" i="7"/>
  <c r="F41" i="5"/>
  <c r="F49" i="7"/>
  <c r="F51" i="7" s="1"/>
  <c r="F52" i="7" s="1"/>
  <c r="AD15" i="3"/>
  <c r="BH15" i="3"/>
  <c r="G46" i="3"/>
  <c r="G47" i="3" s="1"/>
  <c r="G49" i="3" s="1"/>
  <c r="G50" i="3" s="1"/>
  <c r="G51" i="3" s="1"/>
  <c r="G52" i="3" s="1"/>
  <c r="G53" i="3" s="1"/>
  <c r="G54" i="3" s="1"/>
  <c r="G55" i="3" s="1"/>
  <c r="G56" i="3" s="1"/>
  <c r="G57" i="3" s="1"/>
  <c r="G58" i="3" s="1"/>
  <c r="G59" i="3" s="1"/>
  <c r="G60" i="3" s="1"/>
  <c r="G61" i="3" s="1"/>
  <c r="G62" i="3" s="1"/>
  <c r="G63" i="3" s="1"/>
  <c r="G64" i="3" s="1"/>
  <c r="G65" i="3" s="1"/>
  <c r="G66" i="3" s="1"/>
  <c r="G67" i="3" s="1"/>
  <c r="G68" i="3" s="1"/>
  <c r="G95" i="4"/>
  <c r="G101" i="4"/>
  <c r="BJ15" i="3"/>
  <c r="AJ15" i="3"/>
  <c r="E44" i="3"/>
  <c r="E45" i="3" s="1"/>
  <c r="E46" i="3" s="1"/>
  <c r="E47" i="3" s="1"/>
  <c r="E49" i="3" s="1"/>
  <c r="E50" i="3" s="1"/>
  <c r="E51" i="3" s="1"/>
  <c r="E52" i="3" s="1"/>
  <c r="E53" i="3" s="1"/>
  <c r="E54" i="3" s="1"/>
  <c r="E55" i="3" s="1"/>
  <c r="E56" i="3" s="1"/>
  <c r="E57" i="3" s="1"/>
  <c r="E58" i="3" s="1"/>
  <c r="E59" i="3" s="1"/>
  <c r="E60" i="3" s="1"/>
  <c r="E61" i="3" s="1"/>
  <c r="E62" i="3" s="1"/>
  <c r="E63" i="3" s="1"/>
  <c r="E64" i="3" s="1"/>
  <c r="E65" i="3" s="1"/>
  <c r="E66" i="3" s="1"/>
  <c r="E67" i="3" s="1"/>
  <c r="E68" i="3" s="1"/>
  <c r="H15" i="4"/>
  <c r="H22" i="4"/>
  <c r="C130" i="4"/>
  <c r="F112" i="4"/>
  <c r="J115" i="4"/>
  <c r="E142" i="4"/>
  <c r="E154" i="4"/>
  <c r="C181" i="7"/>
  <c r="C179" i="7"/>
  <c r="C180" i="7"/>
  <c r="C178" i="7"/>
  <c r="C182" i="7"/>
  <c r="H47" i="3"/>
  <c r="H49" i="3" s="1"/>
  <c r="H50" i="3" s="1"/>
  <c r="H51" i="3" s="1"/>
  <c r="H52" i="3" s="1"/>
  <c r="H53" i="3" s="1"/>
  <c r="H54" i="3" s="1"/>
  <c r="H55" i="3" s="1"/>
  <c r="H56" i="3" s="1"/>
  <c r="H57" i="3" s="1"/>
  <c r="H58" i="3" s="1"/>
  <c r="H59" i="3" s="1"/>
  <c r="H60" i="3" s="1"/>
  <c r="H61" i="3" s="1"/>
  <c r="H62" i="3" s="1"/>
  <c r="H63" i="3" s="1"/>
  <c r="H64" i="3" s="1"/>
  <c r="H65" i="3" s="1"/>
  <c r="H66" i="3" s="1"/>
  <c r="H67" i="3" s="1"/>
  <c r="H68" i="3" s="1"/>
  <c r="H221" i="7"/>
  <c r="G17" i="4"/>
  <c r="H17" i="4" s="1"/>
  <c r="G21" i="4"/>
  <c r="H21" i="4" s="1"/>
  <c r="E147" i="4"/>
  <c r="G104" i="4"/>
  <c r="F119" i="4"/>
  <c r="M32" i="6"/>
  <c r="A16" i="6" s="1"/>
  <c r="F84" i="7"/>
  <c r="H16" i="4"/>
  <c r="G20" i="4"/>
  <c r="H20" i="4" s="1"/>
  <c r="F113" i="4"/>
  <c r="E144" i="4"/>
  <c r="E29" i="7"/>
  <c r="E8" i="7"/>
  <c r="F8" i="7" s="1"/>
  <c r="C121" i="7"/>
  <c r="E9" i="7"/>
  <c r="F9" i="7" s="1"/>
  <c r="O102" i="7"/>
  <c r="AA102" i="7" s="1"/>
  <c r="Z102" i="7"/>
  <c r="D181" i="7"/>
  <c r="D179" i="7"/>
  <c r="D182" i="7"/>
  <c r="D180" i="7"/>
  <c r="H64" i="4"/>
  <c r="H71" i="4"/>
  <c r="H67" i="4"/>
  <c r="H62" i="4"/>
  <c r="E103" i="4"/>
  <c r="G103" i="4" s="1"/>
  <c r="E100" i="4"/>
  <c r="G100" i="4" s="1"/>
  <c r="H68" i="4"/>
  <c r="H65" i="4"/>
  <c r="H72" i="4"/>
  <c r="H66" i="4"/>
  <c r="H69" i="4"/>
  <c r="H73" i="4"/>
  <c r="E99" i="4"/>
  <c r="G99" i="4" s="1"/>
  <c r="E102" i="4"/>
  <c r="G102" i="4" s="1"/>
  <c r="I81" i="7"/>
  <c r="K81" i="7" s="1"/>
  <c r="H70" i="4"/>
  <c r="B78" i="4"/>
  <c r="E96" i="4"/>
  <c r="G96" i="4" s="1"/>
  <c r="F116" i="4"/>
  <c r="E155" i="4"/>
  <c r="K63" i="4"/>
  <c r="M29" i="6"/>
  <c r="A3" i="6" s="1"/>
  <c r="AL46" i="1" s="1"/>
  <c r="C222" i="7"/>
  <c r="I222" i="7" s="1"/>
  <c r="I218" i="7"/>
  <c r="F120" i="4"/>
  <c r="U101" i="7"/>
  <c r="G6" i="4"/>
  <c r="K74" i="4"/>
  <c r="E150" i="4"/>
  <c r="E153" i="4"/>
  <c r="C29" i="7"/>
  <c r="D29" i="7" s="1"/>
  <c r="B182" i="7"/>
  <c r="E182" i="7" s="1"/>
  <c r="B180" i="7"/>
  <c r="E180" i="7" s="1"/>
  <c r="D196" i="7" s="1"/>
  <c r="B178" i="7"/>
  <c r="E178" i="7" s="1"/>
  <c r="B194" i="7" s="1"/>
  <c r="B181" i="7"/>
  <c r="B179" i="7"/>
  <c r="C149" i="4"/>
  <c r="F200" i="7"/>
  <c r="E93" i="4"/>
  <c r="G93" i="4" s="1"/>
  <c r="E94" i="4"/>
  <c r="G94" i="4" s="1"/>
  <c r="E110" i="4"/>
  <c r="E114" i="4"/>
  <c r="F114" i="4" s="1"/>
  <c r="E117" i="4"/>
  <c r="F117" i="4" s="1"/>
  <c r="C146" i="4"/>
  <c r="C152" i="4"/>
  <c r="B32" i="7"/>
  <c r="O18" i="1" s="1"/>
  <c r="E97" i="4"/>
  <c r="G97" i="4" s="1"/>
  <c r="C143" i="4"/>
  <c r="D22" i="6"/>
  <c r="J101" i="7"/>
  <c r="V101" i="7" s="1"/>
  <c r="I80" i="7" s="1"/>
  <c r="K80" i="7" s="1"/>
  <c r="F221" i="7"/>
  <c r="E105" i="4"/>
  <c r="G105" i="4" s="1"/>
  <c r="E111" i="4"/>
  <c r="F111" i="4" s="1"/>
  <c r="E118" i="4"/>
  <c r="F118" i="4" s="1"/>
  <c r="C148" i="4"/>
  <c r="C151" i="4"/>
  <c r="F201" i="7"/>
  <c r="E115" i="4"/>
  <c r="F115" i="4" s="1"/>
  <c r="C145" i="4"/>
  <c r="F199" i="7"/>
  <c r="B218" i="7"/>
  <c r="I220" i="7"/>
  <c r="L28" i="1" l="1"/>
  <c r="AT28" i="1" s="1"/>
  <c r="K28" i="1"/>
  <c r="AS28" i="1" s="1"/>
  <c r="W65" i="1"/>
  <c r="Y53" i="1"/>
  <c r="X53" i="1"/>
  <c r="E148" i="4"/>
  <c r="AJ16" i="3"/>
  <c r="AJ17" i="3" s="1"/>
  <c r="AJ18" i="3" s="1"/>
  <c r="AJ19" i="3" s="1"/>
  <c r="AJ20" i="3" s="1"/>
  <c r="AJ21" i="3" s="1"/>
  <c r="AJ22" i="3" s="1"/>
  <c r="AJ23" i="3" s="1"/>
  <c r="AJ24" i="3" s="1"/>
  <c r="AJ25" i="3" s="1"/>
  <c r="AJ26" i="3" s="1"/>
  <c r="AJ27" i="3" s="1"/>
  <c r="AJ28" i="3" s="1"/>
  <c r="AJ29" i="3" s="1"/>
  <c r="AJ30" i="3" s="1"/>
  <c r="AJ31" i="3" s="1"/>
  <c r="AJ32" i="3" s="1"/>
  <c r="AJ33" i="3" s="1"/>
  <c r="AJ34" i="3" s="1"/>
  <c r="AJ35" i="3" s="1"/>
  <c r="AJ36" i="3" s="1"/>
  <c r="AJ37" i="3" s="1"/>
  <c r="AJ38" i="3" s="1"/>
  <c r="AJ39" i="3" s="1"/>
  <c r="D17" i="4"/>
  <c r="E16" i="4"/>
  <c r="F16" i="4" s="1"/>
  <c r="Y25" i="1"/>
  <c r="AT25" i="1" s="1"/>
  <c r="X25" i="1"/>
  <c r="AS25" i="1" s="1"/>
  <c r="Y44" i="1"/>
  <c r="AT44" i="1" s="1"/>
  <c r="X44" i="1"/>
  <c r="AS44" i="1" s="1"/>
  <c r="G64" i="1"/>
  <c r="H36" i="1"/>
  <c r="Y55" i="1"/>
  <c r="X55" i="1"/>
  <c r="D5" i="7"/>
  <c r="C7" i="7"/>
  <c r="W21" i="1"/>
  <c r="H52" i="1"/>
  <c r="J14" i="3" s="1"/>
  <c r="AV34" i="1"/>
  <c r="BA34" i="1" s="1"/>
  <c r="BC34" i="1"/>
  <c r="Y41" i="1"/>
  <c r="AT41" i="1" s="1"/>
  <c r="X41" i="1"/>
  <c r="AS41" i="1" s="1"/>
  <c r="W16" i="1"/>
  <c r="G65" i="1"/>
  <c r="H51" i="1"/>
  <c r="D31" i="7"/>
  <c r="K73" i="4"/>
  <c r="K70" i="4"/>
  <c r="K69" i="4"/>
  <c r="K67" i="4"/>
  <c r="F110" i="4"/>
  <c r="BJ16" i="3"/>
  <c r="BJ17" i="3" s="1"/>
  <c r="BJ18" i="3" s="1"/>
  <c r="BJ19" i="3" s="1"/>
  <c r="BJ20" i="3" s="1"/>
  <c r="BJ21" i="3" s="1"/>
  <c r="BJ22" i="3" s="1"/>
  <c r="BJ23" i="3" s="1"/>
  <c r="BJ24" i="3" s="1"/>
  <c r="BJ25" i="3" s="1"/>
  <c r="BJ26" i="3" s="1"/>
  <c r="BJ27" i="3" s="1"/>
  <c r="BJ28" i="3" s="1"/>
  <c r="BJ29" i="3" s="1"/>
  <c r="BJ30" i="3" s="1"/>
  <c r="BJ31" i="3" s="1"/>
  <c r="BJ32" i="3" s="1"/>
  <c r="BJ33" i="3" s="1"/>
  <c r="BJ34" i="3" s="1"/>
  <c r="BJ35" i="3" s="1"/>
  <c r="BJ36" i="3" s="1"/>
  <c r="BJ37" i="3" s="1"/>
  <c r="BJ38" i="3" s="1"/>
  <c r="BJ39" i="3" s="1"/>
  <c r="AA36" i="3"/>
  <c r="J18" i="1" s="1"/>
  <c r="AA16" i="3"/>
  <c r="I18" i="1" s="1"/>
  <c r="Z15" i="3"/>
  <c r="Z16" i="3" s="1"/>
  <c r="Z17" i="3" s="1"/>
  <c r="Z18" i="3" s="1"/>
  <c r="Z19" i="3" s="1"/>
  <c r="Z20" i="3" s="1"/>
  <c r="Z21" i="3" s="1"/>
  <c r="Z22" i="3" s="1"/>
  <c r="Z23" i="3" s="1"/>
  <c r="Z24" i="3" s="1"/>
  <c r="Z25" i="3" s="1"/>
  <c r="Z26" i="3" s="1"/>
  <c r="Z27" i="3" s="1"/>
  <c r="Z28" i="3" s="1"/>
  <c r="Z29" i="3" s="1"/>
  <c r="Z30" i="3" s="1"/>
  <c r="Z31" i="3" s="1"/>
  <c r="Z32" i="3" s="1"/>
  <c r="Z33" i="3" s="1"/>
  <c r="Z34" i="3" s="1"/>
  <c r="Z35" i="3" s="1"/>
  <c r="Z36" i="3" s="1"/>
  <c r="Z37" i="3" s="1"/>
  <c r="Z38" i="3" s="1"/>
  <c r="Z39" i="3" s="1"/>
  <c r="I43" i="3"/>
  <c r="D44" i="3"/>
  <c r="D8" i="7"/>
  <c r="G8" i="7" s="1"/>
  <c r="H16" i="1"/>
  <c r="T14" i="3" s="1"/>
  <c r="W48" i="1"/>
  <c r="H21" i="1"/>
  <c r="BL14" i="3" s="1"/>
  <c r="AL61" i="1"/>
  <c r="AL64" i="1"/>
  <c r="Y45" i="1"/>
  <c r="AT45" i="1" s="1"/>
  <c r="X45" i="1"/>
  <c r="AS45" i="1" s="1"/>
  <c r="B222" i="7"/>
  <c r="H222" i="7" s="1"/>
  <c r="H218" i="7"/>
  <c r="E152" i="4"/>
  <c r="E149" i="4"/>
  <c r="K66" i="4"/>
  <c r="K71" i="4"/>
  <c r="AL16" i="3"/>
  <c r="AL17" i="3" s="1"/>
  <c r="AL18" i="3" s="1"/>
  <c r="AL19" i="3" s="1"/>
  <c r="AL20" i="3" s="1"/>
  <c r="AL21" i="3" s="1"/>
  <c r="AL22" i="3" s="1"/>
  <c r="AL23" i="3" s="1"/>
  <c r="AL24" i="3" s="1"/>
  <c r="AL25" i="3" s="1"/>
  <c r="AL26" i="3" s="1"/>
  <c r="AL27" i="3" s="1"/>
  <c r="AL28" i="3" s="1"/>
  <c r="AL29" i="3" s="1"/>
  <c r="AL30" i="3" s="1"/>
  <c r="AL31" i="3" s="1"/>
  <c r="AL32" i="3" s="1"/>
  <c r="AL33" i="3" s="1"/>
  <c r="AL34" i="3" s="1"/>
  <c r="AL35" i="3" s="1"/>
  <c r="AL36" i="3" s="1"/>
  <c r="AL37" i="3" s="1"/>
  <c r="AL38" i="3" s="1"/>
  <c r="AL39" i="3" s="1"/>
  <c r="D15" i="3"/>
  <c r="D16" i="3" s="1"/>
  <c r="D17" i="3" s="1"/>
  <c r="D18" i="3" s="1"/>
  <c r="D19" i="3" s="1"/>
  <c r="D20" i="3" s="1"/>
  <c r="D21" i="3" s="1"/>
  <c r="D22" i="3" s="1"/>
  <c r="D23" i="3" s="1"/>
  <c r="D24" i="3" s="1"/>
  <c r="D25" i="3" s="1"/>
  <c r="D26" i="3" s="1"/>
  <c r="D27" i="3" s="1"/>
  <c r="D28" i="3" s="1"/>
  <c r="D29" i="3" s="1"/>
  <c r="D30" i="3" s="1"/>
  <c r="D31" i="3" s="1"/>
  <c r="D32" i="3" s="1"/>
  <c r="D33" i="3" s="1"/>
  <c r="D34" i="3" s="1"/>
  <c r="D35" i="3" s="1"/>
  <c r="D36" i="3" s="1"/>
  <c r="D37" i="3" s="1"/>
  <c r="D38" i="3" s="1"/>
  <c r="D39" i="3" s="1"/>
  <c r="BC33" i="1"/>
  <c r="AV33" i="1"/>
  <c r="BA33" i="1" s="1"/>
  <c r="W38" i="1"/>
  <c r="X38" i="1" s="1"/>
  <c r="X21" i="1"/>
  <c r="W49" i="1"/>
  <c r="D9" i="7"/>
  <c r="G9" i="7" s="1"/>
  <c r="C52" i="7"/>
  <c r="N19" i="1" s="1"/>
  <c r="D46" i="7"/>
  <c r="C48" i="7"/>
  <c r="H9" i="1"/>
  <c r="F14" i="3" s="1"/>
  <c r="H23" i="1"/>
  <c r="AH14" i="3" s="1"/>
  <c r="H27" i="1"/>
  <c r="AV14" i="3" s="1"/>
  <c r="AD16" i="3"/>
  <c r="AD17" i="3" s="1"/>
  <c r="AD18" i="3" s="1"/>
  <c r="AD19" i="3" s="1"/>
  <c r="AD20" i="3" s="1"/>
  <c r="AD21" i="3" s="1"/>
  <c r="AD22" i="3" s="1"/>
  <c r="AD23" i="3" s="1"/>
  <c r="AD24" i="3" s="1"/>
  <c r="AD25" i="3" s="1"/>
  <c r="AD26" i="3" s="1"/>
  <c r="AD27" i="3" s="1"/>
  <c r="AD28" i="3" s="1"/>
  <c r="AD29" i="3" s="1"/>
  <c r="AD30" i="3" s="1"/>
  <c r="AD31" i="3" s="1"/>
  <c r="AD32" i="3" s="1"/>
  <c r="AD33" i="3" s="1"/>
  <c r="AD34" i="3" s="1"/>
  <c r="AD35" i="3" s="1"/>
  <c r="AD36" i="3" s="1"/>
  <c r="AD37" i="3" s="1"/>
  <c r="AD38" i="3" s="1"/>
  <c r="AD39" i="3" s="1"/>
  <c r="AY66" i="1"/>
  <c r="X43" i="1"/>
  <c r="AS43" i="1" s="1"/>
  <c r="Y43" i="1"/>
  <c r="AT43" i="1" s="1"/>
  <c r="Y26" i="1"/>
  <c r="AT26" i="1" s="1"/>
  <c r="X26" i="1"/>
  <c r="AS26" i="1" s="1"/>
  <c r="AY61" i="1"/>
  <c r="X50" i="1"/>
  <c r="AS50" i="1" s="1"/>
  <c r="AY22" i="3"/>
  <c r="AZ22" i="3" s="1"/>
  <c r="AY23" i="3"/>
  <c r="AZ23" i="3" s="1"/>
  <c r="AY25" i="3"/>
  <c r="AY20" i="3"/>
  <c r="AZ20" i="3" s="1"/>
  <c r="AY19" i="3"/>
  <c r="AZ19" i="3" s="1"/>
  <c r="AY21" i="3"/>
  <c r="AZ21" i="3" s="1"/>
  <c r="AY18" i="3"/>
  <c r="AZ18" i="3" s="1"/>
  <c r="AY24" i="3"/>
  <c r="AZ24" i="3" s="1"/>
  <c r="G60" i="1"/>
  <c r="AY17" i="3"/>
  <c r="AZ17" i="3" s="1"/>
  <c r="H59" i="1"/>
  <c r="AY16" i="3"/>
  <c r="AZ16" i="3" s="1"/>
  <c r="AY14" i="3"/>
  <c r="AZ14" i="3" s="1"/>
  <c r="AY15" i="3"/>
  <c r="AZ15" i="3" s="1"/>
  <c r="G66" i="1"/>
  <c r="E146" i="4"/>
  <c r="E179" i="7"/>
  <c r="C195" i="7" s="1"/>
  <c r="K72" i="4"/>
  <c r="K64" i="4"/>
  <c r="AN16" i="3"/>
  <c r="AN17" i="3" s="1"/>
  <c r="AN18" i="3" s="1"/>
  <c r="AN19" i="3" s="1"/>
  <c r="AN20" i="3" s="1"/>
  <c r="AN21" i="3" s="1"/>
  <c r="AN22" i="3" s="1"/>
  <c r="AN23" i="3" s="1"/>
  <c r="AN24" i="3" s="1"/>
  <c r="AN25" i="3" s="1"/>
  <c r="AN26" i="3" s="1"/>
  <c r="AN27" i="3" s="1"/>
  <c r="AN28" i="3" s="1"/>
  <c r="AN29" i="3" s="1"/>
  <c r="AN30" i="3" s="1"/>
  <c r="AN31" i="3" s="1"/>
  <c r="AN32" i="3" s="1"/>
  <c r="AN33" i="3" s="1"/>
  <c r="AN34" i="3" s="1"/>
  <c r="AN35" i="3" s="1"/>
  <c r="AN36" i="3" s="1"/>
  <c r="AN37" i="3" s="1"/>
  <c r="AN38" i="3" s="1"/>
  <c r="AN39" i="3" s="1"/>
  <c r="P15" i="3"/>
  <c r="P16" i="3" s="1"/>
  <c r="P17" i="3" s="1"/>
  <c r="P18" i="3" s="1"/>
  <c r="P19" i="3" s="1"/>
  <c r="P20" i="3" s="1"/>
  <c r="P21" i="3" s="1"/>
  <c r="P22" i="3" s="1"/>
  <c r="P23" i="3" s="1"/>
  <c r="P24" i="3" s="1"/>
  <c r="P25" i="3" s="1"/>
  <c r="P26" i="3" s="1"/>
  <c r="P27" i="3" s="1"/>
  <c r="P28" i="3" s="1"/>
  <c r="P29" i="3" s="1"/>
  <c r="P30" i="3" s="1"/>
  <c r="P31" i="3" s="1"/>
  <c r="P32" i="3" s="1"/>
  <c r="P33" i="3" s="1"/>
  <c r="P34" i="3" s="1"/>
  <c r="P35" i="3" s="1"/>
  <c r="P36" i="3" s="1"/>
  <c r="P37" i="3" s="1"/>
  <c r="P38" i="3" s="1"/>
  <c r="P39" i="3" s="1"/>
  <c r="AE27" i="1"/>
  <c r="AF27" i="1"/>
  <c r="AH37" i="1"/>
  <c r="H17" i="1"/>
  <c r="X14" i="3" s="1"/>
  <c r="D27" i="7"/>
  <c r="G27" i="7" s="1"/>
  <c r="H24" i="1"/>
  <c r="BB14" i="3" s="1"/>
  <c r="H7" i="1"/>
  <c r="AP14" i="3" s="1"/>
  <c r="D197" i="7"/>
  <c r="D200" i="7"/>
  <c r="D198" i="7"/>
  <c r="D199" i="7"/>
  <c r="C32" i="7"/>
  <c r="D26" i="7"/>
  <c r="W36" i="1"/>
  <c r="E143" i="4"/>
  <c r="L15" i="3"/>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K62" i="4"/>
  <c r="E145" i="4"/>
  <c r="E181" i="7"/>
  <c r="E197" i="7" s="1"/>
  <c r="K65" i="4"/>
  <c r="AF16" i="3"/>
  <c r="AF17" i="3" s="1"/>
  <c r="AF18" i="3" s="1"/>
  <c r="AF19" i="3" s="1"/>
  <c r="AF20" i="3" s="1"/>
  <c r="AF21" i="3" s="1"/>
  <c r="AF22" i="3" s="1"/>
  <c r="AF23" i="3" s="1"/>
  <c r="AF24" i="3" s="1"/>
  <c r="AF25" i="3" s="1"/>
  <c r="AF26" i="3" s="1"/>
  <c r="AF27" i="3" s="1"/>
  <c r="AF28" i="3" s="1"/>
  <c r="AF29" i="3" s="1"/>
  <c r="AF30" i="3" s="1"/>
  <c r="AF31" i="3" s="1"/>
  <c r="AF32" i="3" s="1"/>
  <c r="AF33" i="3" s="1"/>
  <c r="AF34" i="3" s="1"/>
  <c r="AF35" i="3" s="1"/>
  <c r="AF36" i="3" s="1"/>
  <c r="AF37" i="3" s="1"/>
  <c r="AF38" i="3" s="1"/>
  <c r="AF39" i="3" s="1"/>
  <c r="D77" i="4"/>
  <c r="F40" i="5"/>
  <c r="F42" i="5" s="1"/>
  <c r="AH46" i="1"/>
  <c r="AO46" i="1" s="1"/>
  <c r="H15" i="1"/>
  <c r="R14" i="3" s="1"/>
  <c r="W42" i="1"/>
  <c r="D6" i="7"/>
  <c r="G6" i="7" s="1"/>
  <c r="W35" i="1"/>
  <c r="O64" i="1"/>
  <c r="O65" i="1"/>
  <c r="Y21" i="1"/>
  <c r="W40" i="1"/>
  <c r="H39" i="1"/>
  <c r="BD14" i="3" s="1"/>
  <c r="AT15" i="3"/>
  <c r="AT16" i="3" s="1"/>
  <c r="AT17" i="3" s="1"/>
  <c r="AT18" i="3" s="1"/>
  <c r="AT19" i="3" s="1"/>
  <c r="AT20" i="3" s="1"/>
  <c r="AT21" i="3" s="1"/>
  <c r="AT22" i="3" s="1"/>
  <c r="AT23" i="3" s="1"/>
  <c r="AT24" i="3" s="1"/>
  <c r="AT25" i="3" s="1"/>
  <c r="AT26" i="3" s="1"/>
  <c r="AT27" i="3" s="1"/>
  <c r="AT28" i="3" s="1"/>
  <c r="AT29" i="3" s="1"/>
  <c r="AT30" i="3" s="1"/>
  <c r="AT31" i="3" s="1"/>
  <c r="AT32" i="3" s="1"/>
  <c r="AT33" i="3" s="1"/>
  <c r="AT34" i="3" s="1"/>
  <c r="AT35" i="3" s="1"/>
  <c r="AT36" i="3" s="1"/>
  <c r="AT37" i="3" s="1"/>
  <c r="AT38" i="3" s="1"/>
  <c r="AT39" i="3" s="1"/>
  <c r="H6" i="1"/>
  <c r="G63" i="1"/>
  <c r="G61" i="1"/>
  <c r="E151" i="4"/>
  <c r="AH63" i="1"/>
  <c r="AH61" i="1"/>
  <c r="AO29" i="1"/>
  <c r="AC64" i="1"/>
  <c r="AD39" i="1"/>
  <c r="AC61" i="1"/>
  <c r="AD23" i="1"/>
  <c r="AC63" i="1"/>
  <c r="B198" i="7"/>
  <c r="B196" i="7"/>
  <c r="B197" i="7"/>
  <c r="B195" i="7"/>
  <c r="G195" i="7" s="1"/>
  <c r="G194" i="7"/>
  <c r="M218" i="7"/>
  <c r="S218" i="7"/>
  <c r="K218" i="7"/>
  <c r="Q218" i="7"/>
  <c r="O218" i="7"/>
  <c r="K68" i="4"/>
  <c r="E32" i="7"/>
  <c r="R18" i="1" s="1"/>
  <c r="F29" i="7"/>
  <c r="F32" i="7" s="1"/>
  <c r="BI38" i="3"/>
  <c r="BI18" i="3"/>
  <c r="BH16" i="3"/>
  <c r="BH17" i="3" s="1"/>
  <c r="BH18" i="3" s="1"/>
  <c r="BH19" i="3" s="1"/>
  <c r="BH20" i="3" s="1"/>
  <c r="BH21" i="3" s="1"/>
  <c r="BH22" i="3" s="1"/>
  <c r="BH23" i="3" s="1"/>
  <c r="BH24" i="3" s="1"/>
  <c r="BH25" i="3" s="1"/>
  <c r="BH26" i="3" s="1"/>
  <c r="BH27" i="3" s="1"/>
  <c r="BH28" i="3" s="1"/>
  <c r="BH29" i="3" s="1"/>
  <c r="BH30" i="3" s="1"/>
  <c r="BH31" i="3" s="1"/>
  <c r="BH32" i="3" s="1"/>
  <c r="BH33" i="3" s="1"/>
  <c r="BH34" i="3" s="1"/>
  <c r="BH35" i="3" s="1"/>
  <c r="BH36" i="3" s="1"/>
  <c r="BH37" i="3" s="1"/>
  <c r="BH38" i="3" s="1"/>
  <c r="BH39" i="3" s="1"/>
  <c r="W12" i="1"/>
  <c r="H55" i="1"/>
  <c r="V14" i="3" s="1"/>
  <c r="D47" i="7"/>
  <c r="G47" i="7" s="1"/>
  <c r="C51" i="7"/>
  <c r="D49" i="7"/>
  <c r="AO31" i="1"/>
  <c r="H14" i="1"/>
  <c r="N14" i="3" s="1"/>
  <c r="H20" i="1"/>
  <c r="AB14" i="3" s="1"/>
  <c r="H10" i="1"/>
  <c r="H14" i="3" s="1"/>
  <c r="BC26" i="1" l="1"/>
  <c r="AV26" i="1"/>
  <c r="BA26" i="1" s="1"/>
  <c r="BB25" i="1"/>
  <c r="AU25" i="1"/>
  <c r="AZ25" i="1" s="1"/>
  <c r="AO18" i="3"/>
  <c r="Y50" i="1"/>
  <c r="AT50" i="1" s="1"/>
  <c r="AE19" i="3"/>
  <c r="BL15" i="3"/>
  <c r="BL16" i="3" s="1"/>
  <c r="BL17" i="3" s="1"/>
  <c r="BL18" i="3" s="1"/>
  <c r="BL19" i="3" s="1"/>
  <c r="BL20" i="3" s="1"/>
  <c r="BL21" i="3" s="1"/>
  <c r="BL22" i="3" s="1"/>
  <c r="BL23" i="3" s="1"/>
  <c r="BL24" i="3" s="1"/>
  <c r="BL25" i="3" s="1"/>
  <c r="BL26" i="3" s="1"/>
  <c r="BL27" i="3" s="1"/>
  <c r="BL28" i="3" s="1"/>
  <c r="BL29" i="3" s="1"/>
  <c r="BL30" i="3" s="1"/>
  <c r="BL31" i="3" s="1"/>
  <c r="BL32" i="3" s="1"/>
  <c r="BL33" i="3" s="1"/>
  <c r="BL34" i="3" s="1"/>
  <c r="BL35" i="3" s="1"/>
  <c r="BL36" i="3" s="1"/>
  <c r="BL37" i="3" s="1"/>
  <c r="BL38" i="3" s="1"/>
  <c r="BL39" i="3" s="1"/>
  <c r="Y16" i="1"/>
  <c r="X16" i="1"/>
  <c r="G5" i="7"/>
  <c r="G7" i="7" s="1"/>
  <c r="D7" i="7"/>
  <c r="AV25" i="1"/>
  <c r="BA25" i="1" s="1"/>
  <c r="BC25" i="1"/>
  <c r="H15" i="3"/>
  <c r="H16" i="3" s="1"/>
  <c r="H17" i="3" s="1"/>
  <c r="H18" i="3" s="1"/>
  <c r="H19" i="3" s="1"/>
  <c r="H20" i="3" s="1"/>
  <c r="H21" i="3" s="1"/>
  <c r="H22" i="3" s="1"/>
  <c r="H23" i="3" s="1"/>
  <c r="H24" i="3" s="1"/>
  <c r="H25" i="3" s="1"/>
  <c r="H26" i="3" s="1"/>
  <c r="H27" i="3" s="1"/>
  <c r="H28" i="3" s="1"/>
  <c r="H29" i="3" s="1"/>
  <c r="H30" i="3" s="1"/>
  <c r="H31" i="3" s="1"/>
  <c r="H32" i="3" s="1"/>
  <c r="H33" i="3" s="1"/>
  <c r="H34" i="3" s="1"/>
  <c r="H35" i="3" s="1"/>
  <c r="H36" i="3" s="1"/>
  <c r="H37" i="3" s="1"/>
  <c r="H38" i="3" s="1"/>
  <c r="H39" i="3" s="1"/>
  <c r="I18" i="3"/>
  <c r="I10" i="1" s="1"/>
  <c r="AS10" i="1" s="1"/>
  <c r="AU19" i="3"/>
  <c r="I11" i="1" s="1"/>
  <c r="AG19" i="3"/>
  <c r="M18" i="3"/>
  <c r="I13" i="1" s="1"/>
  <c r="AS13" i="1" s="1"/>
  <c r="AH64" i="1"/>
  <c r="AO37" i="1"/>
  <c r="AO38" i="3"/>
  <c r="AU43" i="1"/>
  <c r="AZ43" i="1" s="1"/>
  <c r="BB43" i="1"/>
  <c r="AE39" i="3"/>
  <c r="E39" i="3"/>
  <c r="J8" i="1" s="1"/>
  <c r="AT8" i="1" s="1"/>
  <c r="L218" i="7"/>
  <c r="R218" i="7"/>
  <c r="J218" i="7"/>
  <c r="P218" i="7"/>
  <c r="N218" i="7"/>
  <c r="X48" i="1"/>
  <c r="AS48" i="1" s="1"/>
  <c r="Y48" i="1"/>
  <c r="AT48" i="1" s="1"/>
  <c r="BK17" i="3"/>
  <c r="AU41" i="1"/>
  <c r="AZ41" i="1" s="1"/>
  <c r="BB41" i="1"/>
  <c r="G29" i="7"/>
  <c r="G31" i="7" s="1"/>
  <c r="AV41" i="1"/>
  <c r="BA41" i="1" s="1"/>
  <c r="BC41" i="1"/>
  <c r="D18" i="4"/>
  <c r="E17" i="4"/>
  <c r="F17" i="4" s="1"/>
  <c r="X65" i="1"/>
  <c r="AS53" i="1"/>
  <c r="BB50" i="1"/>
  <c r="AU50" i="1"/>
  <c r="AZ50" i="1" s="1"/>
  <c r="AV43" i="1"/>
  <c r="BA43" i="1" s="1"/>
  <c r="BC43" i="1"/>
  <c r="E19" i="3"/>
  <c r="I8" i="1" s="1"/>
  <c r="AS8" i="1" s="1"/>
  <c r="AC36" i="3"/>
  <c r="J20" i="1" s="1"/>
  <c r="AT20" i="1" s="1"/>
  <c r="AB15" i="3"/>
  <c r="AB16" i="3" s="1"/>
  <c r="AB17" i="3" s="1"/>
  <c r="AB18" i="3" s="1"/>
  <c r="AB19" i="3" s="1"/>
  <c r="AB20" i="3" s="1"/>
  <c r="AB21" i="3" s="1"/>
  <c r="AB22" i="3" s="1"/>
  <c r="AB23" i="3" s="1"/>
  <c r="AB24" i="3" s="1"/>
  <c r="AB25" i="3" s="1"/>
  <c r="AB26" i="3" s="1"/>
  <c r="AB27" i="3" s="1"/>
  <c r="AB28" i="3" s="1"/>
  <c r="AB29" i="3" s="1"/>
  <c r="AB30" i="3" s="1"/>
  <c r="AB31" i="3" s="1"/>
  <c r="AB32" i="3" s="1"/>
  <c r="AB33" i="3" s="1"/>
  <c r="AB34" i="3" s="1"/>
  <c r="AB35" i="3" s="1"/>
  <c r="AB36" i="3" s="1"/>
  <c r="AB37" i="3" s="1"/>
  <c r="AB38" i="3" s="1"/>
  <c r="AB39" i="3" s="1"/>
  <c r="AD63" i="1"/>
  <c r="AF23" i="1"/>
  <c r="AE23" i="1"/>
  <c r="AU39" i="3"/>
  <c r="J11" i="1" s="1"/>
  <c r="E200" i="7"/>
  <c r="E199" i="7"/>
  <c r="E201" i="7"/>
  <c r="G201" i="7" s="1"/>
  <c r="E198" i="7"/>
  <c r="M38" i="3"/>
  <c r="J13" i="1" s="1"/>
  <c r="AT13" i="1" s="1"/>
  <c r="BA18" i="3"/>
  <c r="O39" i="3"/>
  <c r="J14" i="1" s="1"/>
  <c r="AT14" i="1" s="1"/>
  <c r="N15" i="3"/>
  <c r="N16" i="3" s="1"/>
  <c r="N17" i="3" s="1"/>
  <c r="N18" i="3" s="1"/>
  <c r="N19" i="3" s="1"/>
  <c r="N20" i="3" s="1"/>
  <c r="N21" i="3" s="1"/>
  <c r="N22" i="3" s="1"/>
  <c r="N23" i="3" s="1"/>
  <c r="N24" i="3" s="1"/>
  <c r="N25" i="3" s="1"/>
  <c r="N26" i="3" s="1"/>
  <c r="N27" i="3" s="1"/>
  <c r="N28" i="3" s="1"/>
  <c r="N29" i="3" s="1"/>
  <c r="N30" i="3" s="1"/>
  <c r="N31" i="3" s="1"/>
  <c r="N32" i="3" s="1"/>
  <c r="N33" i="3" s="1"/>
  <c r="N34" i="3" s="1"/>
  <c r="N35" i="3" s="1"/>
  <c r="N36" i="3" s="1"/>
  <c r="N37" i="3" s="1"/>
  <c r="N38" i="3" s="1"/>
  <c r="N39" i="3" s="1"/>
  <c r="Y12" i="1"/>
  <c r="X12" i="1"/>
  <c r="AG39" i="3"/>
  <c r="C198" i="7"/>
  <c r="C196" i="7"/>
  <c r="G196" i="7" s="1"/>
  <c r="C199" i="7"/>
  <c r="G199" i="7" s="1"/>
  <c r="C197" i="7"/>
  <c r="G197" i="7" s="1"/>
  <c r="AV15" i="3"/>
  <c r="AV16" i="3" s="1"/>
  <c r="AV17" i="3" s="1"/>
  <c r="AV18" i="3" s="1"/>
  <c r="AV19" i="3" s="1"/>
  <c r="AV20" i="3" s="1"/>
  <c r="AV21" i="3" s="1"/>
  <c r="AV22" i="3" s="1"/>
  <c r="AV23" i="3" s="1"/>
  <c r="AV24" i="3" s="1"/>
  <c r="AV25" i="3" s="1"/>
  <c r="AV26" i="3" s="1"/>
  <c r="AV27" i="3" s="1"/>
  <c r="AV28" i="3" s="1"/>
  <c r="AV29" i="3" s="1"/>
  <c r="AV30" i="3" s="1"/>
  <c r="AV31" i="3" s="1"/>
  <c r="AV32" i="3" s="1"/>
  <c r="AV33" i="3" s="1"/>
  <c r="AV34" i="3" s="1"/>
  <c r="AV35" i="3" s="1"/>
  <c r="AV36" i="3" s="1"/>
  <c r="AV37" i="3" s="1"/>
  <c r="AV38" i="3" s="1"/>
  <c r="AV39" i="3" s="1"/>
  <c r="AW39" i="3"/>
  <c r="J27" i="1" s="1"/>
  <c r="AT27" i="1" s="1"/>
  <c r="AM17" i="3"/>
  <c r="AU45" i="1"/>
  <c r="AZ45" i="1" s="1"/>
  <c r="BB45" i="1"/>
  <c r="G10" i="7"/>
  <c r="BK37" i="3"/>
  <c r="H64" i="1"/>
  <c r="I36" i="1"/>
  <c r="Y65" i="1"/>
  <c r="AT53" i="1"/>
  <c r="G198" i="7"/>
  <c r="W38" i="3"/>
  <c r="J55" i="1" s="1"/>
  <c r="AT55" i="1" s="1"/>
  <c r="V15" i="3"/>
  <c r="V16" i="3" s="1"/>
  <c r="V17" i="3" s="1"/>
  <c r="V18" i="3" s="1"/>
  <c r="V19" i="3" s="1"/>
  <c r="V20" i="3" s="1"/>
  <c r="V21" i="3" s="1"/>
  <c r="V22" i="3" s="1"/>
  <c r="V23" i="3" s="1"/>
  <c r="V24" i="3" s="1"/>
  <c r="V25" i="3" s="1"/>
  <c r="V26" i="3" s="1"/>
  <c r="V27" i="3" s="1"/>
  <c r="V28" i="3" s="1"/>
  <c r="V29" i="3" s="1"/>
  <c r="V30" i="3" s="1"/>
  <c r="V31" i="3" s="1"/>
  <c r="V32" i="3" s="1"/>
  <c r="V33" i="3" s="1"/>
  <c r="V34" i="3" s="1"/>
  <c r="V35" i="3" s="1"/>
  <c r="V36" i="3" s="1"/>
  <c r="V37" i="3" s="1"/>
  <c r="V38" i="3" s="1"/>
  <c r="V39" i="3" s="1"/>
  <c r="W18" i="3"/>
  <c r="I55" i="1" s="1"/>
  <c r="AS55" i="1" s="1"/>
  <c r="X15" i="3"/>
  <c r="X16" i="3" s="1"/>
  <c r="X17" i="3" s="1"/>
  <c r="X18" i="3" s="1"/>
  <c r="X19" i="3" s="1"/>
  <c r="X20" i="3" s="1"/>
  <c r="X21" i="3" s="1"/>
  <c r="X22" i="3" s="1"/>
  <c r="X23" i="3" s="1"/>
  <c r="X24" i="3" s="1"/>
  <c r="X25" i="3" s="1"/>
  <c r="X26" i="3" s="1"/>
  <c r="X27" i="3" s="1"/>
  <c r="X28" i="3" s="1"/>
  <c r="X29" i="3" s="1"/>
  <c r="X30" i="3" s="1"/>
  <c r="X31" i="3" s="1"/>
  <c r="X32" i="3" s="1"/>
  <c r="X33" i="3" s="1"/>
  <c r="X34" i="3" s="1"/>
  <c r="X35" i="3" s="1"/>
  <c r="X36" i="3" s="1"/>
  <c r="X37" i="3" s="1"/>
  <c r="X38" i="3" s="1"/>
  <c r="X39" i="3" s="1"/>
  <c r="Y16" i="3"/>
  <c r="I17" i="1" s="1"/>
  <c r="AD64" i="1"/>
  <c r="AE39" i="1"/>
  <c r="AE64" i="1" s="1"/>
  <c r="AF39" i="1"/>
  <c r="AF64" i="1" s="1"/>
  <c r="Y42" i="1"/>
  <c r="AT42" i="1" s="1"/>
  <c r="X42" i="1"/>
  <c r="AS42" i="1" s="1"/>
  <c r="AQ16" i="3"/>
  <c r="I7" i="1" s="1"/>
  <c r="AS7" i="1" s="1"/>
  <c r="AP15" i="3"/>
  <c r="AP16" i="3" s="1"/>
  <c r="AP17" i="3" s="1"/>
  <c r="AP18" i="3" s="1"/>
  <c r="AP19" i="3" s="1"/>
  <c r="AP20" i="3" s="1"/>
  <c r="AP21" i="3" s="1"/>
  <c r="AP22" i="3" s="1"/>
  <c r="AP23" i="3" s="1"/>
  <c r="AP24" i="3" s="1"/>
  <c r="AP25" i="3" s="1"/>
  <c r="AP26" i="3" s="1"/>
  <c r="AP27" i="3" s="1"/>
  <c r="AP28" i="3" s="1"/>
  <c r="AP29" i="3" s="1"/>
  <c r="AP30" i="3" s="1"/>
  <c r="AP31" i="3" s="1"/>
  <c r="AP32" i="3" s="1"/>
  <c r="AP33" i="3" s="1"/>
  <c r="AP34" i="3" s="1"/>
  <c r="AP35" i="3" s="1"/>
  <c r="AP36" i="3" s="1"/>
  <c r="AP37" i="3" s="1"/>
  <c r="AP38" i="3" s="1"/>
  <c r="AP39" i="3" s="1"/>
  <c r="Q19" i="3"/>
  <c r="I54" i="1" s="1"/>
  <c r="AS54" i="1" s="1"/>
  <c r="H60" i="1"/>
  <c r="H61" i="1" s="1"/>
  <c r="H66" i="1"/>
  <c r="AZ25" i="3"/>
  <c r="AY26" i="3"/>
  <c r="AI16" i="3"/>
  <c r="I23" i="1" s="1"/>
  <c r="AS23" i="1" s="1"/>
  <c r="AH15" i="3"/>
  <c r="AH16" i="3" s="1"/>
  <c r="AH17" i="3" s="1"/>
  <c r="AH18" i="3" s="1"/>
  <c r="AH19" i="3" s="1"/>
  <c r="AH20" i="3" s="1"/>
  <c r="AH21" i="3" s="1"/>
  <c r="AH22" i="3" s="1"/>
  <c r="AH23" i="3" s="1"/>
  <c r="AH24" i="3" s="1"/>
  <c r="AH25" i="3" s="1"/>
  <c r="AH26" i="3" s="1"/>
  <c r="AH27" i="3" s="1"/>
  <c r="AH28" i="3" s="1"/>
  <c r="AH29" i="3" s="1"/>
  <c r="AH30" i="3" s="1"/>
  <c r="AH31" i="3" s="1"/>
  <c r="AH32" i="3" s="1"/>
  <c r="AH33" i="3" s="1"/>
  <c r="AH34" i="3" s="1"/>
  <c r="AH35" i="3" s="1"/>
  <c r="AH36" i="3" s="1"/>
  <c r="AH37" i="3" s="1"/>
  <c r="AH38" i="3" s="1"/>
  <c r="AH39" i="3" s="1"/>
  <c r="AS38" i="1"/>
  <c r="Y38" i="1"/>
  <c r="AT38" i="1" s="1"/>
  <c r="AM37" i="3"/>
  <c r="AV45" i="1"/>
  <c r="BA45" i="1" s="1"/>
  <c r="BC45" i="1"/>
  <c r="D45" i="3"/>
  <c r="I44" i="3"/>
  <c r="J44" i="3" s="1"/>
  <c r="G114" i="4"/>
  <c r="G120" i="4"/>
  <c r="H65" i="1"/>
  <c r="AR14" i="3"/>
  <c r="H63" i="1"/>
  <c r="BF14" i="3"/>
  <c r="C163" i="7"/>
  <c r="G163" i="7" s="1"/>
  <c r="E77" i="4"/>
  <c r="E78" i="4"/>
  <c r="H78" i="4" s="1"/>
  <c r="F101" i="4"/>
  <c r="H101" i="4" s="1"/>
  <c r="F102" i="4"/>
  <c r="H102" i="4" s="1"/>
  <c r="F105" i="4"/>
  <c r="H105" i="4" s="1"/>
  <c r="F103" i="4"/>
  <c r="H103" i="4" s="1"/>
  <c r="F99" i="4"/>
  <c r="H99" i="4" s="1"/>
  <c r="F94" i="4"/>
  <c r="H94" i="4" s="1"/>
  <c r="F95" i="4"/>
  <c r="H95" i="4" s="1"/>
  <c r="F97" i="4"/>
  <c r="H97" i="4" s="1"/>
  <c r="F104" i="4"/>
  <c r="H104" i="4" s="1"/>
  <c r="F98" i="4"/>
  <c r="H98" i="4" s="1"/>
  <c r="F100" i="4"/>
  <c r="H100" i="4" s="1"/>
  <c r="F93" i="4"/>
  <c r="H93" i="4" s="1"/>
  <c r="F96" i="4"/>
  <c r="H96" i="4" s="1"/>
  <c r="Y35" i="1"/>
  <c r="W64" i="1"/>
  <c r="X35" i="1"/>
  <c r="G200" i="7"/>
  <c r="Y49" i="1"/>
  <c r="AT49" i="1" s="1"/>
  <c r="X49" i="1"/>
  <c r="AS49" i="1" s="1"/>
  <c r="U19" i="3"/>
  <c r="I16" i="1" s="1"/>
  <c r="AS16" i="1" s="1"/>
  <c r="T15" i="3"/>
  <c r="T16" i="3" s="1"/>
  <c r="T17" i="3" s="1"/>
  <c r="T18" i="3" s="1"/>
  <c r="T19" i="3" s="1"/>
  <c r="T20" i="3" s="1"/>
  <c r="T21" i="3" s="1"/>
  <c r="T22" i="3" s="1"/>
  <c r="T23" i="3" s="1"/>
  <c r="T24" i="3" s="1"/>
  <c r="T25" i="3" s="1"/>
  <c r="T26" i="3" s="1"/>
  <c r="T27" i="3" s="1"/>
  <c r="T28" i="3" s="1"/>
  <c r="T29" i="3" s="1"/>
  <c r="T30" i="3" s="1"/>
  <c r="T31" i="3" s="1"/>
  <c r="T32" i="3" s="1"/>
  <c r="T33" i="3" s="1"/>
  <c r="T34" i="3" s="1"/>
  <c r="T35" i="3" s="1"/>
  <c r="T36" i="3" s="1"/>
  <c r="T37" i="3" s="1"/>
  <c r="T38" i="3" s="1"/>
  <c r="T39" i="3" s="1"/>
  <c r="AQ31" i="1"/>
  <c r="AT31" i="1" s="1"/>
  <c r="AP31" i="1"/>
  <c r="AS31" i="1" s="1"/>
  <c r="D51" i="7"/>
  <c r="G49" i="7"/>
  <c r="G51" i="7" s="1"/>
  <c r="BD15" i="3"/>
  <c r="BD16" i="3" s="1"/>
  <c r="BD17" i="3" s="1"/>
  <c r="BD18" i="3" s="1"/>
  <c r="BD19" i="3" s="1"/>
  <c r="BD20" i="3" s="1"/>
  <c r="BD21" i="3" s="1"/>
  <c r="BD22" i="3" s="1"/>
  <c r="BD23" i="3" s="1"/>
  <c r="BD24" i="3" s="1"/>
  <c r="BD25" i="3" s="1"/>
  <c r="BD26" i="3" s="1"/>
  <c r="BD27" i="3" s="1"/>
  <c r="BD28" i="3" s="1"/>
  <c r="BD29" i="3" s="1"/>
  <c r="BD30" i="3" s="1"/>
  <c r="BD31" i="3" s="1"/>
  <c r="BD32" i="3" s="1"/>
  <c r="BD33" i="3" s="1"/>
  <c r="BD34" i="3" s="1"/>
  <c r="BD35" i="3" s="1"/>
  <c r="BD36" i="3" s="1"/>
  <c r="BD37" i="3" s="1"/>
  <c r="BD38" i="3" s="1"/>
  <c r="BD39" i="3" s="1"/>
  <c r="S39" i="3"/>
  <c r="J15" i="1" s="1"/>
  <c r="AT15" i="1" s="1"/>
  <c r="R15" i="3"/>
  <c r="R16" i="3" s="1"/>
  <c r="R17" i="3" s="1"/>
  <c r="R18" i="3" s="1"/>
  <c r="R19" i="3" s="1"/>
  <c r="R20" i="3" s="1"/>
  <c r="R21" i="3" s="1"/>
  <c r="R22" i="3" s="1"/>
  <c r="R23" i="3" s="1"/>
  <c r="R24" i="3" s="1"/>
  <c r="R25" i="3" s="1"/>
  <c r="R26" i="3" s="1"/>
  <c r="R27" i="3" s="1"/>
  <c r="R28" i="3" s="1"/>
  <c r="R29" i="3" s="1"/>
  <c r="R30" i="3" s="1"/>
  <c r="R31" i="3" s="1"/>
  <c r="R32" i="3" s="1"/>
  <c r="R33" i="3" s="1"/>
  <c r="R34" i="3" s="1"/>
  <c r="R35" i="3" s="1"/>
  <c r="R36" i="3" s="1"/>
  <c r="R37" i="3" s="1"/>
  <c r="R38" i="3" s="1"/>
  <c r="R39" i="3" s="1"/>
  <c r="Y36" i="1"/>
  <c r="X36" i="1"/>
  <c r="BC36" i="3"/>
  <c r="J24" i="1" s="1"/>
  <c r="AT24" i="1" s="1"/>
  <c r="BB15" i="3"/>
  <c r="BB16" i="3" s="1"/>
  <c r="BB17" i="3" s="1"/>
  <c r="BB18" i="3" s="1"/>
  <c r="BB19" i="3" s="1"/>
  <c r="BB20" i="3" s="1"/>
  <c r="BB21" i="3" s="1"/>
  <c r="BB22" i="3" s="1"/>
  <c r="BB23" i="3" s="1"/>
  <c r="BB24" i="3" s="1"/>
  <c r="BB25" i="3" s="1"/>
  <c r="BB26" i="3" s="1"/>
  <c r="BB27" i="3" s="1"/>
  <c r="BB28" i="3" s="1"/>
  <c r="BB29" i="3" s="1"/>
  <c r="BB30" i="3" s="1"/>
  <c r="BB31" i="3" s="1"/>
  <c r="BB32" i="3" s="1"/>
  <c r="BB33" i="3" s="1"/>
  <c r="BB34" i="3" s="1"/>
  <c r="BB35" i="3" s="1"/>
  <c r="BB36" i="3" s="1"/>
  <c r="BB37" i="3" s="1"/>
  <c r="BB38" i="3" s="1"/>
  <c r="BB39" i="3" s="1"/>
  <c r="BC16" i="3"/>
  <c r="I24" i="1" s="1"/>
  <c r="AS24" i="1" s="1"/>
  <c r="Q39" i="3"/>
  <c r="J54" i="1" s="1"/>
  <c r="AT54" i="1" s="1"/>
  <c r="F15" i="3"/>
  <c r="F16" i="3" s="1"/>
  <c r="F17" i="3" s="1"/>
  <c r="F18" i="3" s="1"/>
  <c r="F19" i="3" s="1"/>
  <c r="F20" i="3" s="1"/>
  <c r="F21" i="3" s="1"/>
  <c r="F22" i="3" s="1"/>
  <c r="F23" i="3" s="1"/>
  <c r="F24" i="3" s="1"/>
  <c r="F25" i="3" s="1"/>
  <c r="F26" i="3" s="1"/>
  <c r="F27" i="3" s="1"/>
  <c r="F28" i="3" s="1"/>
  <c r="F29" i="3" s="1"/>
  <c r="F30" i="3" s="1"/>
  <c r="F31" i="3" s="1"/>
  <c r="F32" i="3" s="1"/>
  <c r="F33" i="3" s="1"/>
  <c r="F34" i="3" s="1"/>
  <c r="F35" i="3" s="1"/>
  <c r="F36" i="3" s="1"/>
  <c r="F37" i="3" s="1"/>
  <c r="F38" i="3" s="1"/>
  <c r="F39" i="3" s="1"/>
  <c r="G19" i="3"/>
  <c r="I9" i="1" s="1"/>
  <c r="AS9" i="1" s="1"/>
  <c r="G39" i="3"/>
  <c r="J9" i="1" s="1"/>
  <c r="AT9" i="1" s="1"/>
  <c r="J43" i="3"/>
  <c r="K39" i="3"/>
  <c r="J52" i="1" s="1"/>
  <c r="AT52" i="1" s="1"/>
  <c r="J15" i="3"/>
  <c r="J16" i="3" s="1"/>
  <c r="J17" i="3" s="1"/>
  <c r="J18" i="3" s="1"/>
  <c r="J19" i="3" s="1"/>
  <c r="J20" i="3" s="1"/>
  <c r="J21" i="3" s="1"/>
  <c r="J22" i="3" s="1"/>
  <c r="J23" i="3" s="1"/>
  <c r="J24" i="3" s="1"/>
  <c r="J25" i="3" s="1"/>
  <c r="J26" i="3" s="1"/>
  <c r="J27" i="3" s="1"/>
  <c r="J28" i="3" s="1"/>
  <c r="J29" i="3" s="1"/>
  <c r="J30" i="3" s="1"/>
  <c r="J31" i="3" s="1"/>
  <c r="J32" i="3" s="1"/>
  <c r="J33" i="3" s="1"/>
  <c r="J34" i="3" s="1"/>
  <c r="J35" i="3" s="1"/>
  <c r="J36" i="3" s="1"/>
  <c r="J37" i="3" s="1"/>
  <c r="J38" i="3" s="1"/>
  <c r="J39" i="3" s="1"/>
  <c r="BB44" i="1"/>
  <c r="AU44" i="1"/>
  <c r="AZ44" i="1" s="1"/>
  <c r="AK19" i="3"/>
  <c r="BB28" i="1"/>
  <c r="AU28" i="1"/>
  <c r="AZ28" i="1" s="1"/>
  <c r="D52" i="7"/>
  <c r="G46" i="7"/>
  <c r="G48" i="7" s="1"/>
  <c r="D48" i="7"/>
  <c r="R63" i="1"/>
  <c r="R61" i="1"/>
  <c r="N63" i="1"/>
  <c r="O19" i="1"/>
  <c r="AO61" i="1"/>
  <c r="AO63" i="1"/>
  <c r="AQ29" i="1"/>
  <c r="AP29" i="1"/>
  <c r="Y40" i="1"/>
  <c r="AT40" i="1" s="1"/>
  <c r="X40" i="1"/>
  <c r="AS40" i="1" s="1"/>
  <c r="D32" i="7"/>
  <c r="G26" i="7"/>
  <c r="G28" i="7" s="1"/>
  <c r="D28" i="7"/>
  <c r="BB26" i="1"/>
  <c r="AU26" i="1"/>
  <c r="AZ26" i="1" s="1"/>
  <c r="BC44" i="1"/>
  <c r="AV44" i="1"/>
  <c r="BA44" i="1" s="1"/>
  <c r="AK39" i="3"/>
  <c r="BC28" i="1"/>
  <c r="AV28" i="1"/>
  <c r="BA28" i="1" s="1"/>
  <c r="BB55" i="1" l="1"/>
  <c r="AU55" i="1"/>
  <c r="AZ55" i="1" s="1"/>
  <c r="H198" i="7"/>
  <c r="AM56" i="1" s="1"/>
  <c r="H202" i="7"/>
  <c r="AN56" i="1" s="1"/>
  <c r="BC55" i="1"/>
  <c r="AV55" i="1"/>
  <c r="BA55" i="1" s="1"/>
  <c r="BN14" i="3"/>
  <c r="I22" i="1" s="1"/>
  <c r="AS22" i="1" s="1"/>
  <c r="AV40" i="1"/>
  <c r="BA40" i="1" s="1"/>
  <c r="BC40" i="1"/>
  <c r="BE17" i="3"/>
  <c r="I39" i="1" s="1"/>
  <c r="AS39" i="1" s="1"/>
  <c r="Y64" i="1"/>
  <c r="AT35" i="1"/>
  <c r="C132" i="4"/>
  <c r="C134" i="4" s="1"/>
  <c r="D150" i="4"/>
  <c r="F150" i="4" s="1"/>
  <c r="G150" i="4" s="1"/>
  <c r="D154" i="4"/>
  <c r="F154" i="4" s="1"/>
  <c r="G154" i="4" s="1"/>
  <c r="D142" i="4"/>
  <c r="F142" i="4" s="1"/>
  <c r="G142" i="4" s="1"/>
  <c r="D155" i="4"/>
  <c r="F155" i="4" s="1"/>
  <c r="G155" i="4" s="1"/>
  <c r="J74" i="4"/>
  <c r="J109" i="4"/>
  <c r="D147" i="4"/>
  <c r="F147" i="4" s="1"/>
  <c r="G147" i="4" s="1"/>
  <c r="J63" i="4"/>
  <c r="H81" i="4"/>
  <c r="I63" i="4"/>
  <c r="L63" i="4" s="1"/>
  <c r="D153" i="4"/>
  <c r="F153" i="4" s="1"/>
  <c r="G153" i="4" s="1"/>
  <c r="I74" i="4"/>
  <c r="D144" i="4"/>
  <c r="F144" i="4" s="1"/>
  <c r="G144" i="4" s="1"/>
  <c r="J67" i="4"/>
  <c r="I72" i="4"/>
  <c r="I62" i="4"/>
  <c r="I65" i="4"/>
  <c r="L65" i="4" s="1"/>
  <c r="D152" i="4"/>
  <c r="F152" i="4" s="1"/>
  <c r="G152" i="4" s="1"/>
  <c r="J65" i="4"/>
  <c r="J70" i="4"/>
  <c r="D149" i="4"/>
  <c r="F149" i="4" s="1"/>
  <c r="G149" i="4" s="1"/>
  <c r="J64" i="4"/>
  <c r="I70" i="4"/>
  <c r="L70" i="4" s="1"/>
  <c r="D146" i="4"/>
  <c r="F146" i="4" s="1"/>
  <c r="G146" i="4" s="1"/>
  <c r="I64" i="4"/>
  <c r="L64" i="4" s="1"/>
  <c r="D151" i="4"/>
  <c r="F151" i="4" s="1"/>
  <c r="G151" i="4" s="1"/>
  <c r="D143" i="4"/>
  <c r="F143" i="4" s="1"/>
  <c r="G143" i="4" s="1"/>
  <c r="D145" i="4"/>
  <c r="F145" i="4" s="1"/>
  <c r="G145" i="4" s="1"/>
  <c r="J66" i="4"/>
  <c r="J68" i="4"/>
  <c r="J72" i="4"/>
  <c r="J62" i="4"/>
  <c r="J69" i="4"/>
  <c r="D148" i="4"/>
  <c r="F148" i="4" s="1"/>
  <c r="G148" i="4" s="1"/>
  <c r="I69" i="4"/>
  <c r="I66" i="4"/>
  <c r="I68" i="4"/>
  <c r="L68" i="4" s="1"/>
  <c r="I73" i="4"/>
  <c r="I67" i="4"/>
  <c r="L67" i="4" s="1"/>
  <c r="I71" i="4"/>
  <c r="J73" i="4"/>
  <c r="J71" i="4"/>
  <c r="K60" i="1"/>
  <c r="K59" i="1"/>
  <c r="I59" i="1"/>
  <c r="I60" i="1"/>
  <c r="AE63" i="1"/>
  <c r="AE61" i="1"/>
  <c r="AV48" i="1"/>
  <c r="BA48" i="1" s="1"/>
  <c r="BC48" i="1"/>
  <c r="BN15" i="3"/>
  <c r="J22" i="1" s="1"/>
  <c r="AT22" i="1" s="1"/>
  <c r="B19" i="7"/>
  <c r="W17" i="1" s="1"/>
  <c r="B18" i="7"/>
  <c r="BC50" i="1"/>
  <c r="AV50" i="1"/>
  <c r="BA50" i="1" s="1"/>
  <c r="BB40" i="1"/>
  <c r="AU40" i="1"/>
  <c r="AZ40" i="1" s="1"/>
  <c r="BC31" i="1"/>
  <c r="AV31" i="1"/>
  <c r="BA31" i="1" s="1"/>
  <c r="L60" i="1"/>
  <c r="L59" i="1"/>
  <c r="AV14" i="1"/>
  <c r="BA14" i="1" s="1"/>
  <c r="BC14" i="1"/>
  <c r="AV8" i="1"/>
  <c r="BA8" i="1" s="1"/>
  <c r="BC8" i="1"/>
  <c r="BC24" i="1"/>
  <c r="AV24" i="1"/>
  <c r="BA24" i="1" s="1"/>
  <c r="BB23" i="1"/>
  <c r="AU23" i="1"/>
  <c r="AZ23" i="1" s="1"/>
  <c r="AU48" i="1"/>
  <c r="AZ48" i="1" s="1"/>
  <c r="BB48" i="1"/>
  <c r="BC9" i="1"/>
  <c r="AV9" i="1"/>
  <c r="BA9" i="1" s="1"/>
  <c r="BE37" i="3"/>
  <c r="J39" i="1" s="1"/>
  <c r="AT39" i="1" s="1"/>
  <c r="U39" i="3"/>
  <c r="J16" i="1" s="1"/>
  <c r="AT16" i="1" s="1"/>
  <c r="I100" i="4"/>
  <c r="K58" i="1" s="1"/>
  <c r="I105" i="4"/>
  <c r="L58" i="1" s="1"/>
  <c r="BF15" i="3"/>
  <c r="BF16" i="3" s="1"/>
  <c r="BF17" i="3" s="1"/>
  <c r="BF18" i="3" s="1"/>
  <c r="BF19" i="3" s="1"/>
  <c r="BF20" i="3" s="1"/>
  <c r="BF21" i="3" s="1"/>
  <c r="BF22" i="3" s="1"/>
  <c r="BF23" i="3" s="1"/>
  <c r="BF24" i="3" s="1"/>
  <c r="BF25" i="3" s="1"/>
  <c r="BF26" i="3" s="1"/>
  <c r="BF27" i="3" s="1"/>
  <c r="BF28" i="3" s="1"/>
  <c r="BF29" i="3" s="1"/>
  <c r="BF30" i="3" s="1"/>
  <c r="BF31" i="3" s="1"/>
  <c r="BF32" i="3" s="1"/>
  <c r="BF33" i="3" s="1"/>
  <c r="BF34" i="3" s="1"/>
  <c r="BF35" i="3" s="1"/>
  <c r="BF36" i="3" s="1"/>
  <c r="BF37" i="3" s="1"/>
  <c r="BF38" i="3" s="1"/>
  <c r="BF39" i="3" s="1"/>
  <c r="D46" i="3"/>
  <c r="I45" i="3"/>
  <c r="AI36" i="3"/>
  <c r="J23" i="1" s="1"/>
  <c r="AT23" i="1" s="1"/>
  <c r="AQ36" i="3"/>
  <c r="J7" i="1" s="1"/>
  <c r="AT7" i="1" s="1"/>
  <c r="AT12" i="1"/>
  <c r="BC13" i="1"/>
  <c r="AV13" i="1"/>
  <c r="BA13" i="1" s="1"/>
  <c r="AU24" i="1"/>
  <c r="AZ24" i="1" s="1"/>
  <c r="BB24" i="1"/>
  <c r="G168" i="7"/>
  <c r="G165" i="7"/>
  <c r="BB7" i="1"/>
  <c r="AU7" i="1"/>
  <c r="AZ7" i="1" s="1"/>
  <c r="BC53" i="1"/>
  <c r="AV53" i="1"/>
  <c r="BA53" i="1" s="1"/>
  <c r="AS12" i="1"/>
  <c r="AF63" i="1"/>
  <c r="AF61" i="1"/>
  <c r="AU10" i="1"/>
  <c r="AZ10" i="1" s="1"/>
  <c r="BB10" i="1"/>
  <c r="AQ63" i="1"/>
  <c r="AT29" i="1"/>
  <c r="BB9" i="1"/>
  <c r="AU9" i="1"/>
  <c r="AZ9" i="1" s="1"/>
  <c r="BB49" i="1"/>
  <c r="AU49" i="1"/>
  <c r="AZ49" i="1" s="1"/>
  <c r="AZ26" i="3"/>
  <c r="AY27" i="3"/>
  <c r="I64" i="1"/>
  <c r="AS36" i="1"/>
  <c r="J36" i="1"/>
  <c r="BB53" i="1"/>
  <c r="AU53" i="1"/>
  <c r="AZ53" i="1" s="1"/>
  <c r="I38" i="3"/>
  <c r="J10" i="1" s="1"/>
  <c r="AT10" i="1" s="1"/>
  <c r="AV49" i="1"/>
  <c r="BA49" i="1" s="1"/>
  <c r="BC49" i="1"/>
  <c r="Y36" i="3"/>
  <c r="J17" i="1" s="1"/>
  <c r="AW19" i="3"/>
  <c r="I27" i="1" s="1"/>
  <c r="AS27" i="1" s="1"/>
  <c r="AC16" i="3"/>
  <c r="I20" i="1" s="1"/>
  <c r="AS20" i="1" s="1"/>
  <c r="AP46" i="1"/>
  <c r="AO64" i="1"/>
  <c r="AQ37" i="1"/>
  <c r="AP37" i="1"/>
  <c r="BM17" i="3"/>
  <c r="I21" i="1" s="1"/>
  <c r="AS21" i="1" s="1"/>
  <c r="AV52" i="1"/>
  <c r="BA52" i="1" s="1"/>
  <c r="BC52" i="1"/>
  <c r="AU38" i="1"/>
  <c r="AZ38" i="1" s="1"/>
  <c r="BB38" i="1"/>
  <c r="AR15" i="3"/>
  <c r="AR16" i="3" s="1"/>
  <c r="AR17" i="3" s="1"/>
  <c r="AR18" i="3" s="1"/>
  <c r="AR19" i="3" s="1"/>
  <c r="AR20" i="3" s="1"/>
  <c r="AR21" i="3" s="1"/>
  <c r="AR22" i="3" s="1"/>
  <c r="AR23" i="3" s="1"/>
  <c r="AR24" i="3" s="1"/>
  <c r="AR25" i="3" s="1"/>
  <c r="AR26" i="3" s="1"/>
  <c r="AR27" i="3" s="1"/>
  <c r="AR28" i="3" s="1"/>
  <c r="AR29" i="3" s="1"/>
  <c r="AR30" i="3" s="1"/>
  <c r="AR31" i="3" s="1"/>
  <c r="AR32" i="3" s="1"/>
  <c r="AR33" i="3" s="1"/>
  <c r="AR34" i="3" s="1"/>
  <c r="AR35" i="3" s="1"/>
  <c r="AR36" i="3" s="1"/>
  <c r="AR37" i="3" s="1"/>
  <c r="AR38" i="3" s="1"/>
  <c r="AR39" i="3" s="1"/>
  <c r="AU42" i="1"/>
  <c r="AZ42" i="1" s="1"/>
  <c r="BB42" i="1"/>
  <c r="AV27" i="1"/>
  <c r="BA27" i="1" s="1"/>
  <c r="BC27" i="1"/>
  <c r="AV20" i="1"/>
  <c r="BA20" i="1" s="1"/>
  <c r="BC20" i="1"/>
  <c r="BC15" i="1"/>
  <c r="AV15" i="1"/>
  <c r="BA15" i="1" s="1"/>
  <c r="AU54" i="1"/>
  <c r="AZ54" i="1" s="1"/>
  <c r="BB54" i="1"/>
  <c r="AP63" i="1"/>
  <c r="AS29" i="1"/>
  <c r="AU16" i="1"/>
  <c r="AZ16" i="1" s="1"/>
  <c r="BB16" i="1"/>
  <c r="B40" i="7"/>
  <c r="B39" i="7"/>
  <c r="X18" i="1" s="1"/>
  <c r="G32" i="7"/>
  <c r="W18" i="1" s="1"/>
  <c r="O63" i="1"/>
  <c r="O61" i="1"/>
  <c r="B60" i="7"/>
  <c r="Y19" i="1" s="1"/>
  <c r="AT19" i="1" s="1"/>
  <c r="B59" i="7"/>
  <c r="X19" i="1" s="1"/>
  <c r="AS19" i="1" s="1"/>
  <c r="G52" i="7"/>
  <c r="W19" i="1" s="1"/>
  <c r="K19" i="3"/>
  <c r="I52" i="1" s="1"/>
  <c r="AS52" i="1" s="1"/>
  <c r="AV54" i="1"/>
  <c r="BA54" i="1" s="1"/>
  <c r="BC54" i="1"/>
  <c r="S19" i="3"/>
  <c r="I15" i="1" s="1"/>
  <c r="AS15" i="1" s="1"/>
  <c r="BB31" i="1"/>
  <c r="AU31" i="1"/>
  <c r="AZ31" i="1" s="1"/>
  <c r="X64" i="1"/>
  <c r="AS35" i="1"/>
  <c r="AV38" i="1"/>
  <c r="BA38" i="1" s="1"/>
  <c r="BC38" i="1"/>
  <c r="AV42" i="1"/>
  <c r="BA42" i="1" s="1"/>
  <c r="BC42" i="1"/>
  <c r="O19" i="3"/>
  <c r="I14" i="1" s="1"/>
  <c r="AS14" i="1" s="1"/>
  <c r="AU8" i="1"/>
  <c r="AZ8" i="1" s="1"/>
  <c r="BB8" i="1"/>
  <c r="D19" i="4"/>
  <c r="E18" i="4"/>
  <c r="F18" i="4" s="1"/>
  <c r="BB13" i="1"/>
  <c r="AU13" i="1"/>
  <c r="AZ13" i="1" s="1"/>
  <c r="BM38" i="3"/>
  <c r="J21" i="1" s="1"/>
  <c r="AT21" i="1" s="1"/>
  <c r="D47" i="3" l="1"/>
  <c r="I46" i="3"/>
  <c r="J46" i="3" s="1"/>
  <c r="BB19" i="1"/>
  <c r="AU19" i="1"/>
  <c r="AZ19" i="1" s="1"/>
  <c r="AS39" i="3"/>
  <c r="J51" i="1" s="1"/>
  <c r="AV12" i="1"/>
  <c r="BA12" i="1" s="1"/>
  <c r="BC12" i="1"/>
  <c r="BG19" i="3"/>
  <c r="I6" i="1" s="1"/>
  <c r="L71" i="4"/>
  <c r="L62" i="4"/>
  <c r="K32" i="1"/>
  <c r="AS32" i="1" s="1"/>
  <c r="L32" i="1"/>
  <c r="AT32" i="1" s="1"/>
  <c r="BB52" i="1"/>
  <c r="AU52" i="1"/>
  <c r="AZ52" i="1" s="1"/>
  <c r="AT37" i="1"/>
  <c r="BC19" i="1"/>
  <c r="AV19" i="1"/>
  <c r="BA19" i="1" s="1"/>
  <c r="AU29" i="1"/>
  <c r="AZ29" i="1" s="1"/>
  <c r="BB29" i="1"/>
  <c r="AQ46" i="1"/>
  <c r="AT46" i="1" s="1"/>
  <c r="AS46" i="1"/>
  <c r="BG39" i="3"/>
  <c r="J6" i="1" s="1"/>
  <c r="L72" i="4"/>
  <c r="BC35" i="1"/>
  <c r="AV35" i="1"/>
  <c r="BB22" i="1"/>
  <c r="AU22" i="1"/>
  <c r="AZ22" i="1" s="1"/>
  <c r="AS19" i="3"/>
  <c r="I51" i="1" s="1"/>
  <c r="AU14" i="1"/>
  <c r="AZ14" i="1" s="1"/>
  <c r="BB14" i="1"/>
  <c r="AU20" i="1"/>
  <c r="AZ20" i="1" s="1"/>
  <c r="BB20" i="1"/>
  <c r="J64" i="1"/>
  <c r="AT36" i="1"/>
  <c r="AT64" i="1" s="1"/>
  <c r="BC64" i="1" s="1"/>
  <c r="AU12" i="1"/>
  <c r="AZ12" i="1" s="1"/>
  <c r="BB12" i="1"/>
  <c r="G169" i="7"/>
  <c r="L5" i="1" s="1"/>
  <c r="K5" i="1"/>
  <c r="L66" i="1"/>
  <c r="AT58" i="1"/>
  <c r="X17" i="1"/>
  <c r="L73" i="4"/>
  <c r="AN65" i="1"/>
  <c r="AN61" i="1"/>
  <c r="AQ56" i="1"/>
  <c r="AP64" i="1"/>
  <c r="AS37" i="1"/>
  <c r="D20" i="4"/>
  <c r="E19" i="4"/>
  <c r="F19" i="4" s="1"/>
  <c r="AS64" i="1"/>
  <c r="BB64" i="1" s="1"/>
  <c r="AU35" i="1"/>
  <c r="BB35" i="1"/>
  <c r="BC21" i="1"/>
  <c r="AV21" i="1"/>
  <c r="BA21" i="1" s="1"/>
  <c r="AU27" i="1"/>
  <c r="AZ27" i="1" s="1"/>
  <c r="BB27" i="1"/>
  <c r="AU36" i="1"/>
  <c r="AZ36" i="1" s="1"/>
  <c r="BB36" i="1"/>
  <c r="BC7" i="1"/>
  <c r="AV7" i="1"/>
  <c r="BA7" i="1" s="1"/>
  <c r="AS58" i="1"/>
  <c r="K66" i="1"/>
  <c r="W63" i="1"/>
  <c r="W61" i="1"/>
  <c r="I66" i="1"/>
  <c r="AS59" i="1"/>
  <c r="BB39" i="1"/>
  <c r="AU39" i="1"/>
  <c r="AZ39" i="1" s="1"/>
  <c r="AM65" i="1"/>
  <c r="AM61" i="1"/>
  <c r="AP56" i="1"/>
  <c r="AV10" i="1"/>
  <c r="BA10" i="1" s="1"/>
  <c r="BC10" i="1"/>
  <c r="BB15" i="1"/>
  <c r="AU15" i="1"/>
  <c r="AZ15" i="1" s="1"/>
  <c r="AV29" i="1"/>
  <c r="BA29" i="1" s="1"/>
  <c r="BC29" i="1"/>
  <c r="BC23" i="1"/>
  <c r="AV23" i="1"/>
  <c r="BA23" i="1" s="1"/>
  <c r="AV16" i="1"/>
  <c r="BA16" i="1" s="1"/>
  <c r="BC16" i="1"/>
  <c r="L66" i="4"/>
  <c r="M69" i="4" s="1"/>
  <c r="H155" i="4"/>
  <c r="L11" i="1" s="1"/>
  <c r="AT11" i="1" s="1"/>
  <c r="H149" i="4"/>
  <c r="K11" i="1" s="1"/>
  <c r="AS11" i="1" s="1"/>
  <c r="L74" i="4"/>
  <c r="Y18" i="1"/>
  <c r="AT18" i="1" s="1"/>
  <c r="AS18" i="1"/>
  <c r="BB21" i="1"/>
  <c r="AU21" i="1"/>
  <c r="AZ21" i="1" s="1"/>
  <c r="AY28" i="3"/>
  <c r="AZ27" i="3"/>
  <c r="J45" i="3"/>
  <c r="BC39" i="1"/>
  <c r="AV39" i="1"/>
  <c r="BA39" i="1" s="1"/>
  <c r="BC22" i="1"/>
  <c r="AV22" i="1"/>
  <c r="BA22" i="1" s="1"/>
  <c r="L69" i="4"/>
  <c r="Y17" i="1" l="1"/>
  <c r="X61" i="1"/>
  <c r="X63" i="1"/>
  <c r="AS17" i="1"/>
  <c r="BA35" i="1"/>
  <c r="AT51" i="1"/>
  <c r="AQ61" i="1"/>
  <c r="BB37" i="1"/>
  <c r="AU37" i="1"/>
  <c r="AZ37" i="1" s="1"/>
  <c r="AU32" i="1"/>
  <c r="AZ32" i="1" s="1"/>
  <c r="BB32" i="1"/>
  <c r="BB18" i="1"/>
  <c r="AU18" i="1"/>
  <c r="AZ18" i="1" s="1"/>
  <c r="BC18" i="1"/>
  <c r="AV18" i="1"/>
  <c r="BA18" i="1" s="1"/>
  <c r="AP65" i="1"/>
  <c r="AS56" i="1"/>
  <c r="D21" i="4"/>
  <c r="E20" i="4"/>
  <c r="F20" i="4" s="1"/>
  <c r="AV58" i="1"/>
  <c r="BC58" i="1"/>
  <c r="AU11" i="1"/>
  <c r="AZ11" i="1" s="1"/>
  <c r="BB11" i="1"/>
  <c r="AS66" i="1"/>
  <c r="BB66" i="1" s="1"/>
  <c r="AU58" i="1"/>
  <c r="BB58" i="1"/>
  <c r="K63" i="1"/>
  <c r="K61" i="1"/>
  <c r="AS5" i="1"/>
  <c r="M74" i="4"/>
  <c r="AZ35" i="1"/>
  <c r="BC36" i="1"/>
  <c r="AV36" i="1"/>
  <c r="BA36" i="1" s="1"/>
  <c r="AV32" i="1"/>
  <c r="BA32" i="1" s="1"/>
  <c r="BC32" i="1"/>
  <c r="AV11" i="1"/>
  <c r="BA11" i="1" s="1"/>
  <c r="BC11" i="1"/>
  <c r="AT56" i="1"/>
  <c r="AQ65" i="1"/>
  <c r="L63" i="1"/>
  <c r="L61" i="1"/>
  <c r="AT5" i="1"/>
  <c r="J63" i="1"/>
  <c r="AT6" i="1"/>
  <c r="AS60" i="1"/>
  <c r="BB60" i="1" s="1"/>
  <c r="AU59" i="1"/>
  <c r="BB59" i="1"/>
  <c r="AY29" i="3"/>
  <c r="AZ28" i="3"/>
  <c r="AS51" i="1"/>
  <c r="BB46" i="1"/>
  <c r="AU46" i="1"/>
  <c r="AZ46" i="1" s="1"/>
  <c r="AQ64" i="1"/>
  <c r="I63" i="1"/>
  <c r="AS6" i="1"/>
  <c r="I47" i="3"/>
  <c r="D49" i="3"/>
  <c r="AV46" i="1"/>
  <c r="BA46" i="1" s="1"/>
  <c r="BC46" i="1"/>
  <c r="BC37" i="1"/>
  <c r="AV37" i="1"/>
  <c r="BA37" i="1" s="1"/>
  <c r="AP61" i="1"/>
  <c r="I49" i="3" l="1"/>
  <c r="J49" i="3" s="1"/>
  <c r="D50" i="3"/>
  <c r="AS63" i="1"/>
  <c r="BB63" i="1" s="1"/>
  <c r="AU5" i="1"/>
  <c r="BB5" i="1"/>
  <c r="AV51" i="1"/>
  <c r="BC51" i="1"/>
  <c r="J47" i="3"/>
  <c r="I48" i="3"/>
  <c r="J48" i="3" s="1"/>
  <c r="AU51" i="1"/>
  <c r="BB51" i="1"/>
  <c r="BA58" i="1"/>
  <c r="AV5" i="1"/>
  <c r="BC5" i="1"/>
  <c r="AY30" i="3"/>
  <c r="AZ29" i="3"/>
  <c r="D22" i="4"/>
  <c r="E21" i="4"/>
  <c r="F21" i="4" s="1"/>
  <c r="BB17" i="1"/>
  <c r="AU17" i="1"/>
  <c r="AZ17" i="1" s="1"/>
  <c r="AU60" i="1"/>
  <c r="AZ60" i="1" s="1"/>
  <c r="AZ59" i="1"/>
  <c r="AU56" i="1"/>
  <c r="AZ56" i="1" s="1"/>
  <c r="BB56" i="1"/>
  <c r="AV56" i="1"/>
  <c r="BA56" i="1" s="1"/>
  <c r="BC56" i="1"/>
  <c r="AU64" i="1"/>
  <c r="AZ64" i="1" s="1"/>
  <c r="BB6" i="1"/>
  <c r="AU6" i="1"/>
  <c r="AZ6" i="1" s="1"/>
  <c r="AV64" i="1"/>
  <c r="BA64" i="1" s="1"/>
  <c r="AZ58" i="1"/>
  <c r="AV6" i="1"/>
  <c r="BA6" i="1" s="1"/>
  <c r="BC6" i="1"/>
  <c r="Y61" i="1"/>
  <c r="Y63" i="1"/>
  <c r="AT17" i="1"/>
  <c r="AT63" i="1" s="1"/>
  <c r="BC63" i="1" s="1"/>
  <c r="D23" i="4" l="1"/>
  <c r="D24" i="4" s="1"/>
  <c r="D25" i="4" s="1"/>
  <c r="D26" i="4" s="1"/>
  <c r="D27" i="4" s="1"/>
  <c r="D28" i="4" s="1"/>
  <c r="E22" i="4"/>
  <c r="F22" i="4" s="1"/>
  <c r="BA51" i="1"/>
  <c r="AZ30" i="3"/>
  <c r="AY31" i="3"/>
  <c r="AU63" i="1"/>
  <c r="AZ63" i="1" s="1"/>
  <c r="AZ5" i="1"/>
  <c r="AU66" i="1"/>
  <c r="AZ66" i="1" s="1"/>
  <c r="AZ51" i="1"/>
  <c r="BC17" i="1"/>
  <c r="AV17" i="1"/>
  <c r="BA17" i="1" s="1"/>
  <c r="I57" i="1"/>
  <c r="AV63" i="1"/>
  <c r="BA63" i="1" s="1"/>
  <c r="BA5" i="1"/>
  <c r="I50" i="3"/>
  <c r="J50" i="3" s="1"/>
  <c r="D51" i="3"/>
  <c r="AS57" i="1" l="1"/>
  <c r="I61" i="1"/>
  <c r="I65" i="1"/>
  <c r="D52" i="3"/>
  <c r="I51" i="3"/>
  <c r="J51" i="3" s="1"/>
  <c r="AZ31" i="3"/>
  <c r="AY32" i="3"/>
  <c r="AZ32" i="3" l="1"/>
  <c r="AY33" i="3"/>
  <c r="D53" i="3"/>
  <c r="I52" i="3"/>
  <c r="J52" i="3" s="1"/>
  <c r="BB57" i="1"/>
  <c r="AU57" i="1"/>
  <c r="AS61" i="1"/>
  <c r="BB61" i="1" s="1"/>
  <c r="AS65" i="1"/>
  <c r="BB65" i="1" s="1"/>
  <c r="AZ57" i="1" l="1"/>
  <c r="AU65" i="1"/>
  <c r="AZ65" i="1" s="1"/>
  <c r="AU61" i="1"/>
  <c r="AZ61" i="1" s="1"/>
  <c r="D54" i="3"/>
  <c r="I53" i="3"/>
  <c r="J53" i="3" s="1"/>
  <c r="AY34" i="3"/>
  <c r="AZ33" i="3"/>
  <c r="AZ34" i="3" l="1"/>
  <c r="AY35" i="3"/>
  <c r="D55" i="3"/>
  <c r="I54" i="3"/>
  <c r="J54" i="3" s="1"/>
  <c r="AY36" i="3" l="1"/>
  <c r="AZ35" i="3"/>
  <c r="D56" i="3"/>
  <c r="I55" i="3"/>
  <c r="J55" i="3" s="1"/>
  <c r="I56" i="3" l="1"/>
  <c r="J56" i="3" s="1"/>
  <c r="D57" i="3"/>
  <c r="AY37" i="3"/>
  <c r="AZ36" i="3"/>
  <c r="AZ37" i="3" l="1"/>
  <c r="AY38" i="3"/>
  <c r="I57" i="3"/>
  <c r="J57" i="3" s="1"/>
  <c r="D58" i="3"/>
  <c r="D59" i="3" l="1"/>
  <c r="I58" i="3"/>
  <c r="J58" i="3" s="1"/>
  <c r="AY39" i="3"/>
  <c r="AZ39" i="3" s="1"/>
  <c r="AZ38" i="3"/>
  <c r="BA38" i="3" s="1"/>
  <c r="J59" i="1" l="1"/>
  <c r="J60" i="1"/>
  <c r="D60" i="3"/>
  <c r="I59" i="3"/>
  <c r="J59" i="3" s="1"/>
  <c r="D61" i="3" l="1"/>
  <c r="I60" i="3"/>
  <c r="J60" i="3" s="1"/>
  <c r="J66" i="1"/>
  <c r="AT59" i="1"/>
  <c r="AT60" i="1" l="1"/>
  <c r="BC60" i="1" s="1"/>
  <c r="AV59" i="1"/>
  <c r="BC59" i="1"/>
  <c r="AT66" i="1"/>
  <c r="BC66" i="1" s="1"/>
  <c r="D62" i="3"/>
  <c r="I61" i="3"/>
  <c r="J61" i="3" s="1"/>
  <c r="D63" i="3" l="1"/>
  <c r="I62" i="3"/>
  <c r="J62" i="3" s="1"/>
  <c r="BA59" i="1"/>
  <c r="AV60" i="1"/>
  <c r="BA60" i="1" s="1"/>
  <c r="AV66" i="1"/>
  <c r="BA66" i="1" s="1"/>
  <c r="I63" i="3" l="1"/>
  <c r="J63" i="3" s="1"/>
  <c r="D64" i="3"/>
  <c r="I64" i="3" l="1"/>
  <c r="J64" i="3" s="1"/>
  <c r="D65" i="3"/>
  <c r="I65" i="3" l="1"/>
  <c r="J65" i="3" s="1"/>
  <c r="D66" i="3"/>
  <c r="D67" i="3" l="1"/>
  <c r="I66" i="3"/>
  <c r="J66" i="3" s="1"/>
  <c r="D68" i="3" l="1"/>
  <c r="I68" i="3" s="1"/>
  <c r="J68" i="3" s="1"/>
  <c r="J69" i="3" s="1"/>
  <c r="J57" i="1" s="1"/>
  <c r="I67" i="3"/>
  <c r="J67" i="3" s="1"/>
  <c r="AT57" i="1" l="1"/>
  <c r="J65" i="1"/>
  <c r="J61" i="1"/>
  <c r="AV57" i="1" l="1"/>
  <c r="BC57" i="1"/>
  <c r="AT65" i="1"/>
  <c r="BC65" i="1" s="1"/>
  <c r="AT61" i="1"/>
  <c r="BC61" i="1" s="1"/>
  <c r="BA57" i="1" l="1"/>
  <c r="AV65" i="1"/>
  <c r="BA65" i="1" s="1"/>
  <c r="AV61" i="1"/>
  <c r="BA61" i="1" s="1"/>
</calcChain>
</file>

<file path=xl/sharedStrings.xml><?xml version="1.0" encoding="utf-8"?>
<sst xmlns="http://schemas.openxmlformats.org/spreadsheetml/2006/main" count="789" uniqueCount="598">
  <si>
    <t>PROJECT OWNER</t>
  </si>
  <si>
    <t>MEASURE #</t>
  </si>
  <si>
    <t>Project ID #</t>
  </si>
  <si>
    <t>PROJECT</t>
  </si>
  <si>
    <t>MEASURES</t>
  </si>
  <si>
    <t>COST:BENEFIT</t>
  </si>
  <si>
    <t xml:space="preserve">Solar PV </t>
  </si>
  <si>
    <t>EV Charging</t>
  </si>
  <si>
    <t>Existing Building Renovation</t>
  </si>
  <si>
    <t>New Construction</t>
  </si>
  <si>
    <t>Programs</t>
  </si>
  <si>
    <t>Electricity</t>
  </si>
  <si>
    <t>Gas</t>
  </si>
  <si>
    <t>Fuel Oil</t>
  </si>
  <si>
    <t>Propane</t>
  </si>
  <si>
    <t>Electricity Savings</t>
  </si>
  <si>
    <t>Gas Savings</t>
  </si>
  <si>
    <t>Fuel Oil Savings</t>
  </si>
  <si>
    <t>Project On-Line Date</t>
  </si>
  <si>
    <t>Total Project</t>
  </si>
  <si>
    <t>GHG Savings Funded by CPRG</t>
  </si>
  <si>
    <t>Funded Measures Total Project Cost</t>
  </si>
  <si>
    <t>CPRG Grant Amount</t>
  </si>
  <si>
    <t>% Funded</t>
  </si>
  <si>
    <t>CPRG Funding Requested/MTCO2e Savings from CPRG Funding                  2025-2050</t>
  </si>
  <si>
    <t>CPRG Funding Requested/MTCO2e Savings from Total Measure                2025-2030</t>
  </si>
  <si>
    <t>CPRG Funding Requested/MTCO2e Savings from Total Measure                   2025-2050</t>
  </si>
  <si>
    <t>kW/DC</t>
  </si>
  <si>
    <t>kWh Annual Output (Savings)</t>
  </si>
  <si>
    <t xml:space="preserve">Total Annual kWh Savings Including Line Losses </t>
  </si>
  <si>
    <t>Annually</t>
  </si>
  <si>
    <t>2025-2030, with .05% Annual Degradation</t>
  </si>
  <si>
    <t>2025-2050, with .05% Annual Degradation</t>
  </si>
  <si>
    <t>2025-2030</t>
  </si>
  <si>
    <t>2025-2050</t>
  </si>
  <si>
    <t>Baseline Annual kWh (electricity)</t>
  </si>
  <si>
    <t>Post-Renovation Annual kWh</t>
  </si>
  <si>
    <t>Annual kWh Savings Including Line Losses</t>
  </si>
  <si>
    <t>Baseline Annual ccf (gas)</t>
  </si>
  <si>
    <t>Post-Renovation Annual ccf</t>
  </si>
  <si>
    <t>Annual ccf Savings</t>
  </si>
  <si>
    <t>Baseline Annual Gallons (fuel oil)</t>
  </si>
  <si>
    <t>Post-Renovation Annual Gallons</t>
  </si>
  <si>
    <t>Annual Savings (gallons)</t>
  </si>
  <si>
    <t>Annual Electricity Consumption Baseline (code-compliant) per Unit (kWh)</t>
  </si>
  <si>
    <t>Annual Electricity Consumption Proposed per Unit (kWh)</t>
  </si>
  <si>
    <t>kWh Annual Savings</t>
  </si>
  <si>
    <t>kWh Annual Savings with Line Losses</t>
  </si>
  <si>
    <t>kWh Saved Annually - electricity with line losses</t>
  </si>
  <si>
    <t>ccf Saved Annually - gas</t>
  </si>
  <si>
    <t>Gallons Saved Annually - fuel oil</t>
  </si>
  <si>
    <t>City of Philadelphia</t>
  </si>
  <si>
    <t xml:space="preserve">William Penn School District </t>
  </si>
  <si>
    <t>Philadelphia Northeast Airport</t>
  </si>
  <si>
    <t xml:space="preserve">Bucks County </t>
  </si>
  <si>
    <t>Haverford Township</t>
  </si>
  <si>
    <t xml:space="preserve">Haverford Township </t>
  </si>
  <si>
    <t>Borough of West Chester</t>
  </si>
  <si>
    <t>2025</t>
  </si>
  <si>
    <t>West Chester University</t>
  </si>
  <si>
    <t>2026</t>
  </si>
  <si>
    <t>West Goshen Township</t>
  </si>
  <si>
    <t>Merion Fire Company of Ardmore</t>
  </si>
  <si>
    <t xml:space="preserve">West Vincent Township </t>
  </si>
  <si>
    <t>Radnor Township</t>
  </si>
  <si>
    <t>2025-2028</t>
  </si>
  <si>
    <t>2026-2027</t>
  </si>
  <si>
    <t>Philadelphia Water Department (PWD)</t>
  </si>
  <si>
    <t>School District of Philadelphia (SDP)</t>
  </si>
  <si>
    <t>2028</t>
  </si>
  <si>
    <t>Lower Merion Township</t>
  </si>
  <si>
    <t>2025-2027</t>
  </si>
  <si>
    <t>Chester County</t>
  </si>
  <si>
    <t xml:space="preserve">City of Philadelphia </t>
  </si>
  <si>
    <t>Delaware County</t>
  </si>
  <si>
    <t>Upper Dublin Township</t>
  </si>
  <si>
    <t>Philadelphia Authority for Industrial Development (PAID)</t>
  </si>
  <si>
    <t>Delaware Valley Regional Planning Commission (DVRPC)</t>
  </si>
  <si>
    <t>Brandywine Realty Trust</t>
  </si>
  <si>
    <t>Camphill Village Kimberton Hills</t>
  </si>
  <si>
    <t>2026-solar                2028-EE</t>
  </si>
  <si>
    <t>Philadelphia Gas Works (PGW)</t>
  </si>
  <si>
    <t>Centennial Parkside Community Development Corporation (CPCDC)</t>
  </si>
  <si>
    <t>Habitat for Humanity Philadelphia</t>
  </si>
  <si>
    <t>Deep Sea-GP, LLC.</t>
  </si>
  <si>
    <t>Pennrose</t>
  </si>
  <si>
    <t>YouthBuild Philadelphia Charter School</t>
  </si>
  <si>
    <t>Energy Coordinating Agency (ECA)</t>
  </si>
  <si>
    <t>Philadelphia Energy Authority (PEA)</t>
  </si>
  <si>
    <t>Philadelphia Housing Authority (PHA)</t>
  </si>
  <si>
    <t>Philadelphia Housing Development Corporation (PHDC)</t>
  </si>
  <si>
    <t>BTM Solutions, LLC.</t>
  </si>
  <si>
    <t>Philadelphia Youth Basketball, Inc.</t>
  </si>
  <si>
    <t>Mosaic Development Partners</t>
  </si>
  <si>
    <t>Solar States</t>
  </si>
  <si>
    <t xml:space="preserve">Share Food Program </t>
  </si>
  <si>
    <t>Philadelphia Green Capital Corporation (PGCC)</t>
  </si>
  <si>
    <t>Montgomery County</t>
  </si>
  <si>
    <t>TerraSol Energies Inc.</t>
  </si>
  <si>
    <t>TerraSol Energies, Inc.</t>
  </si>
  <si>
    <t>TOTAL</t>
  </si>
  <si>
    <t xml:space="preserve">MEASURE 1 TOTALS </t>
  </si>
  <si>
    <t>MEASURE 2 TOTALS</t>
  </si>
  <si>
    <t>MEASURE 3 TOTALS</t>
  </si>
  <si>
    <t>MEASURE 4 TOTALS</t>
  </si>
  <si>
    <t>pounds to metric tons factor</t>
  </si>
  <si>
    <t>Pounds/kWh CO2e Electricity</t>
  </si>
  <si>
    <t>eGRID subregion annual CO2 total output emission rate (lb/MWh)</t>
  </si>
  <si>
    <t>eGRID subregion annual CH4 total output emission rate (lb/MWh)</t>
  </si>
  <si>
    <t>eGRID subregion annual N2O total output emission rate (lb/MWh)</t>
  </si>
  <si>
    <t>SRCO2RTA</t>
  </si>
  <si>
    <t>SRCH4RTA</t>
  </si>
  <si>
    <t>SRN2ORTA</t>
  </si>
  <si>
    <t>CO2 lb/kWh</t>
  </si>
  <si>
    <t>GWPs</t>
  </si>
  <si>
    <t>CO2</t>
  </si>
  <si>
    <t>CH4</t>
  </si>
  <si>
    <t>N2O</t>
  </si>
  <si>
    <t>lbs CO2e/kWh</t>
  </si>
  <si>
    <t>T&amp;D Line Losses:</t>
  </si>
  <si>
    <t xml:space="preserve">Conversions: </t>
  </si>
  <si>
    <t xml:space="preserve">Line Loss Calculation: </t>
  </si>
  <si>
    <t xml:space="preserve">Line losses </t>
  </si>
  <si>
    <t>per EIA data table 10 "Source-Disposition" line 26 "Estimated losses" for 2022</t>
  </si>
  <si>
    <t>ton</t>
  </si>
  <si>
    <t>pounds</t>
  </si>
  <si>
    <t>Total disposition</t>
  </si>
  <si>
    <t>MWH</t>
  </si>
  <si>
    <t>mWh</t>
  </si>
  <si>
    <t>kWh</t>
  </si>
  <si>
    <t>Direct use</t>
  </si>
  <si>
    <t>GWh</t>
  </si>
  <si>
    <t>Multiplier</t>
  </si>
  <si>
    <t>metric ton</t>
  </si>
  <si>
    <t>Source Reference:</t>
  </si>
  <si>
    <t>Pennsylvania Electricity Profile 2022 - U.S. Energy Information Administration (EIA)</t>
  </si>
  <si>
    <t>State Electricity Profiles</t>
  </si>
  <si>
    <r>
      <rPr>
        <b/>
        <sz val="7"/>
        <color rgb="FF333333"/>
        <rFont val="Arial"/>
        <family val="2"/>
      </rPr>
      <t>Data for:</t>
    </r>
    <r>
      <rPr>
        <sz val="7"/>
        <color rgb="FF333333"/>
        <rFont val="Arial"/>
        <family val="2"/>
      </rPr>
      <t> 2022 </t>
    </r>
    <r>
      <rPr>
        <b/>
        <sz val="10"/>
        <color rgb="FF7D7D7D"/>
        <rFont val="Arial"/>
        <family val="2"/>
      </rPr>
      <t> </t>
    </r>
    <r>
      <rPr>
        <b/>
        <sz val="7"/>
        <color rgb="FF333333"/>
        <rFont val="Arial"/>
        <family val="2"/>
      </rPr>
      <t>Release Date:</t>
    </r>
    <r>
      <rPr>
        <sz val="7"/>
        <color rgb="FF333333"/>
        <rFont val="Arial"/>
        <family val="2"/>
      </rPr>
      <t> November 2, 2023 </t>
    </r>
    <r>
      <rPr>
        <b/>
        <sz val="10"/>
        <color rgb="FF7D7D7D"/>
        <rFont val="Arial"/>
        <family val="2"/>
      </rPr>
      <t> </t>
    </r>
    <r>
      <rPr>
        <b/>
        <sz val="7"/>
        <color rgb="FF333333"/>
        <rFont val="Arial"/>
        <family val="2"/>
      </rPr>
      <t>Next Release Date:</t>
    </r>
    <r>
      <rPr>
        <sz val="7"/>
        <color rgb="FF333333"/>
        <rFont val="Arial"/>
        <family val="2"/>
      </rPr>
      <t> November 2024</t>
    </r>
  </si>
  <si>
    <t>Archived State Electricity Profiles</t>
  </si>
  <si>
    <t>Pennsylvania Electricity Profile 2022</t>
  </si>
  <si>
    <t>Table 1. 2022 Summary statistics (Pennsylvania)</t>
  </si>
  <si>
    <t>Item</t>
  </si>
  <si>
    <t>Value</t>
  </si>
  <si>
    <t>Rank</t>
  </si>
  <si>
    <t>Primary energy source</t>
  </si>
  <si>
    <t>Natural gas</t>
  </si>
  <si>
    <t>Net summer capacity (megawatts)</t>
  </si>
  <si>
    <t>Electric utilities</t>
  </si>
  <si>
    <t>IPP &amp; CHP</t>
  </si>
  <si>
    <t>Net generation (megawatthours)</t>
  </si>
  <si>
    <t>Emissions</t>
  </si>
  <si>
    <t>Sulfur dioxide (short tons)</t>
  </si>
  <si>
    <t>Nitrogen oxide (short tons)</t>
  </si>
  <si>
    <t>Carbon dioxide (thousand metric tons)</t>
  </si>
  <si>
    <t>Sulfur dioxide (lbs/MWh)</t>
  </si>
  <si>
    <t>Nitrogen oxide (lbs/MWh)</t>
  </si>
  <si>
    <t>Carbon dioxide (lbs/MWh)</t>
  </si>
  <si>
    <t>Total retail sales (megawatthours)</t>
  </si>
  <si>
    <t>Full service provider sales</t>
  </si>
  <si>
    <t>Energy-only provider sales</t>
  </si>
  <si>
    <t>Direct use (megawatthours)</t>
  </si>
  <si>
    <t>Average retail price (cents/kWh)</t>
  </si>
  <si>
    <r>
      <rPr>
        <sz val="11"/>
        <color rgb="FF333333"/>
        <rFont val="Arial"/>
        <family val="2"/>
      </rPr>
      <t>Sources: U.S. Energy Information Administration, Form EIA-860, </t>
    </r>
    <r>
      <rPr>
        <i/>
        <sz val="11"/>
        <color rgb="FF333333"/>
        <rFont val="Arial"/>
        <family val="2"/>
      </rPr>
      <t>Annual Electric Generator Report</t>
    </r>
    <r>
      <rPr>
        <sz val="11"/>
        <color rgb="FF333333"/>
        <rFont val="Arial"/>
        <family val="2"/>
      </rPr>
      <t>, U.S. Energy Information Administration, Form EIA-861, </t>
    </r>
    <r>
      <rPr>
        <i/>
        <sz val="11"/>
        <color rgb="FF333333"/>
        <rFont val="Arial"/>
        <family val="2"/>
      </rPr>
      <t>Annual Electric Power Industry Report,</t>
    </r>
    <r>
      <rPr>
        <sz val="11"/>
        <color rgb="FF333333"/>
        <rFont val="Arial"/>
        <family val="2"/>
      </rPr>
      <t> U.S. Energy Information Administration, Form EIA-923, </t>
    </r>
    <r>
      <rPr>
        <i/>
        <sz val="11"/>
        <color rgb="FF333333"/>
        <rFont val="Arial"/>
        <family val="2"/>
      </rPr>
      <t>Power Plant Operations Report</t>
    </r>
    <r>
      <rPr>
        <sz val="11"/>
        <color rgb="FF333333"/>
        <rFont val="Arial"/>
        <family val="2"/>
      </rPr>
      <t> and predecessor forms.</t>
    </r>
  </si>
  <si>
    <t>Solar PV Degradation Rates &amp; Lifetime Data</t>
  </si>
  <si>
    <t>Degradation rate</t>
  </si>
  <si>
    <t xml:space="preserve">Annually </t>
  </si>
  <si>
    <t>(0.5%)</t>
  </si>
  <si>
    <t>PV Lifetime Project - 2021 NREL Annual Report</t>
  </si>
  <si>
    <t xml:space="preserve">Varies by manufacturer Annual median degradation rate: -0.5% and -0.8% per year </t>
  </si>
  <si>
    <t>Photovoltaic Degradation Rates -- An Analytical Review: Preprint (nrel.gov)</t>
  </si>
  <si>
    <t>Most retain 80% production after 30 years</t>
  </si>
  <si>
    <t>Onymous early‐life performance degradation analysis of recent photovoltaic module technologies - Theristis - 2023 - Progress in Photovoltaics: Research and Applications - Wiley Online Library</t>
  </si>
  <si>
    <t>Lifetime</t>
  </si>
  <si>
    <t>Years</t>
  </si>
  <si>
    <t>Inverters/batteries need replacement @ 25 years</t>
  </si>
  <si>
    <t>Project-Specific Degradation Calculations Accounting for Project Schedule Start-Up, Annual lbs CO2e</t>
  </si>
  <si>
    <t>Bucks County Govt Bldg</t>
  </si>
  <si>
    <t xml:space="preserve">Haverford Twp Free Library </t>
  </si>
  <si>
    <t>Haverford Twp PD</t>
  </si>
  <si>
    <t>Phila Youth Basketball</t>
  </si>
  <si>
    <t>West Goshen Twp Public Works</t>
  </si>
  <si>
    <t>Merion Fire Company</t>
  </si>
  <si>
    <t>Solar States/Overbrook Environmental Education Ctr</t>
  </si>
  <si>
    <t>Bucks County Fire Safety + Training Facility</t>
  </si>
  <si>
    <t>West Vincent Solar PV-Public Works  Building + Opalanie Park</t>
  </si>
  <si>
    <t>Share Food Program</t>
  </si>
  <si>
    <t>Radnor Twp Municipal Bldg</t>
  </si>
  <si>
    <t>Radnor Public Works Bldg</t>
  </si>
  <si>
    <t>PWD</t>
  </si>
  <si>
    <t>Lower Merion Twp Ludington Library</t>
  </si>
  <si>
    <t>Lower Merion Twp Penn Wynne Library</t>
  </si>
  <si>
    <t>Chester County Net Zero Bus Depot</t>
  </si>
  <si>
    <t xml:space="preserve">Lower Merion Townhip Bala Cynwyd Public Library </t>
  </si>
  <si>
    <t>Lower Merion Twp Ardmore Book Processing Center</t>
  </si>
  <si>
    <t>Lower Merion Township Bala Gym</t>
  </si>
  <si>
    <t>Philadelphia Northeat Airport</t>
  </si>
  <si>
    <t>BTM Solutions</t>
  </si>
  <si>
    <t>West Chester Borough</t>
  </si>
  <si>
    <t>Upper Dublin Net Zero</t>
  </si>
  <si>
    <t>TerraSol/Car Charge - Exton + Coatesville*</t>
  </si>
  <si>
    <t>City of Phila Health Centers</t>
  </si>
  <si>
    <t>Habitat for Humanity</t>
  </si>
  <si>
    <t>Wm Penn SD</t>
  </si>
  <si>
    <t>Lower Merion Twp Community Center</t>
  </si>
  <si>
    <t>Lower Merion Admin &amp; Public Safety</t>
  </si>
  <si>
    <t>SDP 9 PV arrays for 9 Schools</t>
  </si>
  <si>
    <t>Lower Merion Combined</t>
  </si>
  <si>
    <t>Year</t>
  </si>
  <si>
    <t>kWh Charged</t>
  </si>
  <si>
    <t>kWh to Grid</t>
  </si>
  <si>
    <t>CO2e Grid Savings</t>
  </si>
  <si>
    <t>Annual Degradation Rate Multiplier</t>
  </si>
  <si>
    <t>Start 2025</t>
  </si>
  <si>
    <t>Start 2026</t>
  </si>
  <si>
    <t>Starts 2028</t>
  </si>
  <si>
    <t>Starts 2025</t>
  </si>
  <si>
    <t>Starts 2027</t>
  </si>
  <si>
    <t>Starts 2026</t>
  </si>
  <si>
    <t>Start 2028</t>
  </si>
  <si>
    <t>Starts 2027 (guess)</t>
  </si>
  <si>
    <t>*Added to EV charging Savings from net-zero solar charging</t>
  </si>
  <si>
    <t xml:space="preserve">Philadelphia Green Capital Corp </t>
  </si>
  <si>
    <t>kWh - Y1</t>
  </si>
  <si>
    <t>kWh - Y2</t>
  </si>
  <si>
    <t>kWh - Y3</t>
  </si>
  <si>
    <t>kWh - Y4</t>
  </si>
  <si>
    <t>kWh - Y5</t>
  </si>
  <si>
    <t>TOTAL kWh</t>
  </si>
  <si>
    <t>Total GHG Savings</t>
  </si>
  <si>
    <t>kW/year</t>
  </si>
  <si>
    <t>Generation (kWh)</t>
  </si>
  <si>
    <t>Line losses added to kWh</t>
  </si>
  <si>
    <t>L2 EV Charging Port Utilization in the US</t>
  </si>
  <si>
    <t>Evaluating Electric Vehicle Public Charging Utilization in the United States using the EV WATTS Dataset: Preprint (nrel.gov)</t>
  </si>
  <si>
    <t>Avg Weekday Use (kWh/port/day), 2022</t>
  </si>
  <si>
    <t>Avg Weekday Use/Year</t>
  </si>
  <si>
    <t>Avg Weekend Use (kWh/port/day), 2022</t>
  </si>
  <si>
    <t>Avg Weekend Use/Year</t>
  </si>
  <si>
    <t>Total Annual, 2022, kWh/port</t>
  </si>
  <si>
    <t xml:space="preserve">Level 2 Municipal </t>
  </si>
  <si>
    <t>DCFC Municipal</t>
  </si>
  <si>
    <t>Level 2 + DCFC  Municipal</t>
  </si>
  <si>
    <t>DCFC Parking/Garage</t>
  </si>
  <si>
    <t>L2 EV Charging Utilization by Port - Projections Based on 2022 EV WATTS/NREL Data and 2030 Federal Goal of 33M Evs on Road x 2030</t>
  </si>
  <si>
    <t># L2 Public Ports</t>
  </si>
  <si>
    <t># EVs Total</t>
  </si>
  <si>
    <t>L2 Muni Public Charging Station Usage, Annual (kWh/Port)</t>
  </si>
  <si>
    <t>Total kWh-All L2 Municipal Ports</t>
  </si>
  <si>
    <t>Annual kWh/EV</t>
  </si>
  <si>
    <t># Evs per Public L2 Muni Port</t>
  </si>
  <si>
    <t>Projected % Increase in EVs per Port</t>
  </si>
  <si>
    <t>Est kWh/Port</t>
  </si>
  <si>
    <t>The United States surpassed two million on-road light-duty electric vehicles in 2021 - U.S. Energy Information Administration (EIA)</t>
  </si>
  <si>
    <t>vs 2022 baseline</t>
  </si>
  <si>
    <t>vs prior year</t>
  </si>
  <si>
    <t xml:space="preserve">Multiplier due to projected miles increase in light duty passenger driving per year </t>
  </si>
  <si>
    <t>The 2030 National Charging Network: Estimating U.S. Light-Duty Demand for Electric Vehicle Charging Infrastructure (nrel.gov)</t>
  </si>
  <si>
    <t xml:space="preserve">Most current forecasting scenario </t>
  </si>
  <si>
    <t>End of charger life</t>
  </si>
  <si>
    <t>33M EVs on Road x 2030 = Federal Goal</t>
  </si>
  <si>
    <t>According to Experian Automotive's latest numbers, 288.5 million registered vehicles were driving around U.S. roads in the third quarter of last year. </t>
  </si>
  <si>
    <t>What Is the Percentage of Electric Cars in the U.S.? | Edmunds</t>
  </si>
  <si>
    <t xml:space="preserve">In 2030, this is the % of Evs on road vs current # total cars on road </t>
  </si>
  <si>
    <t>Total light-duty behicles on road:</t>
  </si>
  <si>
    <t>Sourcing: kWh per Mile Driven</t>
  </si>
  <si>
    <t>kWh/100 miles</t>
  </si>
  <si>
    <t>per EPA</t>
  </si>
  <si>
    <t>Comparison: Your Car vs. an Electric Vehicle | US EPA</t>
  </si>
  <si>
    <t>kWh/mile</t>
  </si>
  <si>
    <t>Calculations</t>
  </si>
  <si>
    <t xml:space="preserve">Per L2 Municipal Public Charging Station </t>
  </si>
  <si>
    <t>Total kWh-All Ports</t>
  </si>
  <si>
    <t># Evs per Public L2 Port</t>
  </si>
  <si>
    <t>Total Miles</t>
  </si>
  <si>
    <t>EV CO2 Emissions</t>
  </si>
  <si>
    <t>Plug-in Hybrid CO2 emissions</t>
  </si>
  <si>
    <t>Conventional CO2 emissions</t>
  </si>
  <si>
    <t>Annual CO2e Savings (lbs)</t>
  </si>
  <si>
    <t>Approx one-third are plug-in hybrid; 2/3 are Evs</t>
  </si>
  <si>
    <t>Chart: EV Market Revenue Set To Hit $384 Billion in 2022 | Statista</t>
  </si>
  <si>
    <t>*Preumes 10% of charges = plug-in hybrids, 90% all Evs</t>
  </si>
  <si>
    <t>kWh/Mile</t>
  </si>
  <si>
    <t>Gallons/Mile</t>
  </si>
  <si>
    <t>lbs CO2/kWh</t>
  </si>
  <si>
    <t>lbs CO2/Mile - EV</t>
  </si>
  <si>
    <t>lbs/CO2/gall gas</t>
  </si>
  <si>
    <t xml:space="preserve">lbs/CO2/Mile - Conventional </t>
  </si>
  <si>
    <t xml:space="preserve">Average EV = </t>
  </si>
  <si>
    <t>Miles/kWh</t>
  </si>
  <si>
    <t xml:space="preserve">Average Plug-in hybrid = </t>
  </si>
  <si>
    <t>Conventional car =</t>
  </si>
  <si>
    <t>Savings per mile</t>
  </si>
  <si>
    <t>On average, 8,887 grams of CO2 are emitted from burning one gallon of gasoline.</t>
  </si>
  <si>
    <t>MONTGOMERY COUNTY - EV CHARGING INFRASTRUCTURE CALCS FOR PUBLIC CHARGERS ONLY</t>
  </si>
  <si>
    <t>Plug-in hybrids use 30-60% less gas than conventional cars</t>
  </si>
  <si>
    <t>Metric to be used = 45%</t>
  </si>
  <si>
    <t>Plug-in Hybrids (fueleconomy.gov)</t>
  </si>
  <si>
    <t>Type</t>
  </si>
  <si>
    <t># Ports</t>
  </si>
  <si>
    <t>Qty</t>
  </si>
  <si>
    <t>L2</t>
  </si>
  <si>
    <t>Average car:  22.2 miles per gallon</t>
  </si>
  <si>
    <t>Greenhouse Gas Emissions from a Typical Passenger Vehicle | US EPA</t>
  </si>
  <si>
    <t>L3</t>
  </si>
  <si>
    <t>L3 Muni Public Charging Station Usage, Annual (kWh/port)</t>
  </si>
  <si>
    <t>Total Annual  kWh - All Ports</t>
  </si>
  <si>
    <t>CO2 emissions from gallon of gasoline</t>
  </si>
  <si>
    <t>grams CO2</t>
  </si>
  <si>
    <t>1 gram =</t>
  </si>
  <si>
    <t>pound</t>
  </si>
  <si>
    <t>(Standard average car)</t>
  </si>
  <si>
    <t xml:space="preserve">grams CO2 per mile </t>
  </si>
  <si>
    <t>411 grams =</t>
  </si>
  <si>
    <t>Greenhouse Gas Emissions from a Typical Passenger Vehicle (EPA-420-F-14-040a, May 2014)</t>
  </si>
  <si>
    <t>Other GHG Factor</t>
  </si>
  <si>
    <t>TerraSol  / Car Charge Coatesville</t>
  </si>
  <si>
    <t>EV vs Conventional CO2e Savings/Mile</t>
  </si>
  <si>
    <t>lbs CO2e - Conventional Car (Savings)</t>
  </si>
  <si>
    <t>Evs with clean charging CO2e Savings per Mile</t>
  </si>
  <si>
    <t>CO2e savings added to solar savings in Project Calcs tab</t>
  </si>
  <si>
    <t>DELCO FAIR ACRES EV CHARGERS</t>
  </si>
  <si>
    <t>Chevy Bolts</t>
  </si>
  <si>
    <t>in fleet to date</t>
  </si>
  <si>
    <t xml:space="preserve">Will allow for continued fleet expansion </t>
  </si>
  <si>
    <t xml:space="preserve">Narrative says 14 - Budget = 12 </t>
  </si>
  <si>
    <t>Total annual miles driven</t>
  </si>
  <si>
    <t>Conventional passenger car</t>
  </si>
  <si>
    <t>lbs Co2e</t>
  </si>
  <si>
    <t xml:space="preserve">EV </t>
  </si>
  <si>
    <t>lbs CO2e</t>
  </si>
  <si>
    <t>Annual Savings: CO2e lbs</t>
  </si>
  <si>
    <t xml:space="preserve">West Chester Borough </t>
  </si>
  <si>
    <t>16 Level 2 Chargers</t>
  </si>
  <si>
    <t>CO2e EV</t>
  </si>
  <si>
    <t xml:space="preserve">CO2e Conventional </t>
  </si>
  <si>
    <t>Savings/Charger (lbs/CO2)</t>
  </si>
  <si>
    <t>Total Savings                    (16 chargers)</t>
  </si>
  <si>
    <t xml:space="preserve">*Applied public ev charging utilization to this entire project </t>
  </si>
  <si>
    <t xml:space="preserve">Local distribution losses </t>
  </si>
  <si>
    <t>20140729 DOE Fact sheet_Natural Gas GHG Emissions.pdf (energy.gov)</t>
  </si>
  <si>
    <t>Reference for System Losses</t>
  </si>
  <si>
    <t>66 bcf/23409 bcf</t>
  </si>
  <si>
    <t>methane leaked</t>
  </si>
  <si>
    <t>CH4 GWP</t>
  </si>
  <si>
    <t>N2O GWP</t>
  </si>
  <si>
    <t>1 ccf gas</t>
  </si>
  <si>
    <t xml:space="preserve">Emissions Factors per scf natural gas </t>
  </si>
  <si>
    <t>Emission Factors for Greenhouse Gas Inventories (epa.gov)</t>
  </si>
  <si>
    <t>CO2 (kg)</t>
  </si>
  <si>
    <t>CH4 (g)</t>
  </si>
  <si>
    <t>N2O (g)</t>
  </si>
  <si>
    <t xml:space="preserve">Emissions Factors per ccf natural gas </t>
  </si>
  <si>
    <t>eCO2e per ccf natural gas (pounds)</t>
  </si>
  <si>
    <t>CO2 (g)</t>
  </si>
  <si>
    <t>Emissions Factors per ccf natural gas (Pounds)</t>
  </si>
  <si>
    <t>CO2 (lbs)</t>
  </si>
  <si>
    <t>CH4 (lbs)</t>
  </si>
  <si>
    <t>N2O (lbs)</t>
  </si>
  <si>
    <t>U.S. Energy Information Administration - EIA - Independent Statistics and Analysis</t>
  </si>
  <si>
    <t xml:space="preserve">Conversion factors: </t>
  </si>
  <si>
    <t>1 ccf</t>
  </si>
  <si>
    <t>cubic feet</t>
  </si>
  <si>
    <t>g/mmBTU</t>
  </si>
  <si>
    <t>g/ccf</t>
  </si>
  <si>
    <t>lbs/ccf</t>
  </si>
  <si>
    <t>kg to pounds</t>
  </si>
  <si>
    <t>g to pounds</t>
  </si>
  <si>
    <t xml:space="preserve">Added methane emissions due to distribution leaks </t>
  </si>
  <si>
    <t>scf</t>
  </si>
  <si>
    <t>1ccf =</t>
  </si>
  <si>
    <t xml:space="preserve">therms </t>
  </si>
  <si>
    <t>1 therm =</t>
  </si>
  <si>
    <t>ccf</t>
  </si>
  <si>
    <t>mmBtu</t>
  </si>
  <si>
    <t>1 MBtu =</t>
  </si>
  <si>
    <t>kWh = 1MBTU</t>
  </si>
  <si>
    <t>ccf = 1MBTU</t>
  </si>
  <si>
    <t xml:space="preserve">Fuel Oil </t>
  </si>
  <si>
    <t xml:space="preserve">pounds CO2 per gallon </t>
  </si>
  <si>
    <t>emission-factors_apr2021.pdf (epa.gov)</t>
  </si>
  <si>
    <t>kg CO2</t>
  </si>
  <si>
    <t>g CH4</t>
  </si>
  <si>
    <t>g N2O</t>
  </si>
  <si>
    <t xml:space="preserve">Radnor Municipal Building </t>
  </si>
  <si>
    <t>Annual Energy Savings from Existing Building Upgrade</t>
  </si>
  <si>
    <t>Electricity (kWh)</t>
  </si>
  <si>
    <t>Electricity (kWh) w/Line Losses</t>
  </si>
  <si>
    <t>CO2e</t>
  </si>
  <si>
    <t>Gas (ccf)</t>
  </si>
  <si>
    <t>Total CO2e, Annual</t>
  </si>
  <si>
    <t>LED Lighting Upgrade</t>
  </si>
  <si>
    <t>LED Lighting Controls</t>
  </si>
  <si>
    <t>Total Lighting</t>
  </si>
  <si>
    <t>HVAC Controls Upgrade</t>
  </si>
  <si>
    <t xml:space="preserve">VRF Heat Pumps </t>
  </si>
  <si>
    <t>Total HVAC</t>
  </si>
  <si>
    <t>Schedule</t>
  </si>
  <si>
    <t>Lighting On-Line  - 2026</t>
  </si>
  <si>
    <t>HVAC On-Line - 2027</t>
  </si>
  <si>
    <t xml:space="preserve">CO2e Savings by Year </t>
  </si>
  <si>
    <t>(+every year thereafter for 25 years)</t>
  </si>
  <si>
    <t xml:space="preserve">Radnor Public Works Building </t>
  </si>
  <si>
    <t>HVAC Controls + EquipmentUpgrade</t>
  </si>
  <si>
    <t xml:space="preserve">TOTAL   </t>
  </si>
  <si>
    <t>Radnor RAC</t>
  </si>
  <si>
    <t>HVAC EquipmentUpgrade</t>
  </si>
  <si>
    <t>HVAC Controls</t>
  </si>
  <si>
    <t>PEA Small Food/Refrigeration Program</t>
  </si>
  <si>
    <t>kWh Saved</t>
  </si>
  <si>
    <t>Y1</t>
  </si>
  <si>
    <t>Y2</t>
  </si>
  <si>
    <t>Y3</t>
  </si>
  <si>
    <t>Y4</t>
  </si>
  <si>
    <t>Y5</t>
  </si>
  <si>
    <t>Y6</t>
  </si>
  <si>
    <t>Y7</t>
  </si>
  <si>
    <t>Navy Yard Bus Electrification Project</t>
  </si>
  <si>
    <t>Average per Year</t>
  </si>
  <si>
    <t>Average per Bus</t>
  </si>
  <si>
    <t>CO2e/Bus/Year</t>
  </si>
  <si>
    <t>Eight Buses</t>
  </si>
  <si>
    <t>Current bus fleet miles</t>
  </si>
  <si>
    <t>Diesel</t>
  </si>
  <si>
    <t>n=6 buses</t>
  </si>
  <si>
    <t>EV</t>
  </si>
  <si>
    <t>New technology BEV</t>
  </si>
  <si>
    <t>520 kWh</t>
  </si>
  <si>
    <t>lbs CO2e/EV Bus Mile</t>
  </si>
  <si>
    <t>500 km</t>
  </si>
  <si>
    <t>miles equivalent</t>
  </si>
  <si>
    <t>CO2 emissions from a gallon of gasoline: 8,887 grams CO2/ gallon</t>
  </si>
  <si>
    <t>km</t>
  </si>
  <si>
    <t>1g=</t>
  </si>
  <si>
    <t>CO2 emissions from a gallon of diesel: 10,180 grams CO2/ gallon</t>
  </si>
  <si>
    <t>miles</t>
  </si>
  <si>
    <t>The average passenger vehicle emits about 400 grams of CO2 per mile.</t>
  </si>
  <si>
    <t>Here is the average MPG for different buses:</t>
  </si>
  <si>
    <t>Comparing Types of Buses and Their MPG (pfleet.com)</t>
  </si>
  <si>
    <t>10,180 grams CO2/gallon of diesel</t>
  </si>
  <si>
    <r>
      <rPr>
        <b/>
        <sz val="12"/>
        <color rgb="FF444444"/>
        <rFont val="Arial"/>
        <family val="2"/>
      </rPr>
      <t>School bus MPG:</t>
    </r>
    <r>
      <rPr>
        <sz val="12"/>
        <color rgb="FF444444"/>
        <rFont val="Arial"/>
        <family val="2"/>
      </rPr>
      <t> 6 to 10</t>
    </r>
  </si>
  <si>
    <t>Greenhouse Gases Equivalencies Calculator - Calculations and References | US EPA</t>
  </si>
  <si>
    <r>
      <rPr>
        <b/>
        <sz val="12"/>
        <color rgb="FF444444"/>
        <rFont val="Arial"/>
        <family val="2"/>
      </rPr>
      <t>City bus MPG:</t>
    </r>
    <r>
      <rPr>
        <sz val="12"/>
        <color rgb="FF444444"/>
        <rFont val="Arial"/>
        <family val="2"/>
      </rPr>
      <t> 3.5 to 6.5</t>
    </r>
  </si>
  <si>
    <t>mpg average</t>
  </si>
  <si>
    <r>
      <rPr>
        <b/>
        <sz val="12"/>
        <color rgb="FF444444"/>
        <rFont val="Arial"/>
        <family val="2"/>
      </rPr>
      <t>Coach bus MPG:</t>
    </r>
    <r>
      <rPr>
        <sz val="12"/>
        <color rgb="FF444444"/>
        <rFont val="Arial"/>
        <family val="2"/>
      </rPr>
      <t> 6 to 8</t>
    </r>
  </si>
  <si>
    <t>kg CO2 / gallon of diesel</t>
  </si>
  <si>
    <r>
      <rPr>
        <b/>
        <sz val="12"/>
        <color rgb="FF444444"/>
        <rFont val="Arial"/>
        <family val="2"/>
      </rPr>
      <t>Charter bus MPG</t>
    </r>
    <r>
      <rPr>
        <sz val="12"/>
        <color rgb="FF444444"/>
        <rFont val="Arial"/>
        <family val="2"/>
      </rPr>
      <t>: 5 to 8</t>
    </r>
  </si>
  <si>
    <t>kg CO2 motor gasoline/gallon</t>
  </si>
  <si>
    <r>
      <rPr>
        <b/>
        <sz val="12"/>
        <color rgb="FF444444"/>
        <rFont val="Arial"/>
        <family val="2"/>
      </rPr>
      <t>Shuttle bus MPG:</t>
    </r>
    <r>
      <rPr>
        <sz val="12"/>
        <color rgb="FF444444"/>
        <rFont val="Arial"/>
        <family val="2"/>
      </rPr>
      <t> 15 to 20</t>
    </r>
  </si>
  <si>
    <r>
      <rPr>
        <b/>
        <sz val="12"/>
        <color rgb="FF444444"/>
        <rFont val="Arial"/>
        <family val="2"/>
      </rPr>
      <t>Tour bus MPG:</t>
    </r>
    <r>
      <rPr>
        <sz val="12"/>
        <color rgb="FF444444"/>
        <rFont val="Arial"/>
        <family val="2"/>
      </rPr>
      <t> 6 to 8</t>
    </r>
  </si>
  <si>
    <t xml:space="preserve">CH4     </t>
  </si>
  <si>
    <r>
      <rPr>
        <b/>
        <sz val="12"/>
        <color rgb="FF444444"/>
        <rFont val="Arial"/>
        <family val="2"/>
      </rPr>
      <t>Double decker bus MPG:</t>
    </r>
    <r>
      <rPr>
        <sz val="12"/>
        <color rgb="FF444444"/>
        <rFont val="Arial"/>
        <family val="2"/>
      </rPr>
      <t> 4 to 6</t>
    </r>
  </si>
  <si>
    <t>g CO2/ gallon</t>
  </si>
  <si>
    <t>CO2 lbs/gallon</t>
  </si>
  <si>
    <t>CO2 lb/mile</t>
  </si>
  <si>
    <t>CH4  g/mile</t>
  </si>
  <si>
    <t>CH4 g/gallon</t>
  </si>
  <si>
    <t>CO2e g/gallon</t>
  </si>
  <si>
    <t>CO2e lbs/gallon</t>
  </si>
  <si>
    <t>CO2e lbs/mile</t>
  </si>
  <si>
    <t>N2O g/mile</t>
  </si>
  <si>
    <t>N2O g/gallon</t>
  </si>
  <si>
    <t>Total CO2e lbs/gallon</t>
  </si>
  <si>
    <t>Total CO2e lbs/mile</t>
  </si>
  <si>
    <r>
      <rPr>
        <b/>
        <sz val="12"/>
        <color rgb="FF444444"/>
        <rFont val="Arial"/>
        <family val="2"/>
      </rPr>
      <t>Articulated bus MPG:</t>
    </r>
    <r>
      <rPr>
        <sz val="12"/>
        <color rgb="FF444444"/>
        <rFont val="Arial"/>
        <family val="2"/>
      </rPr>
      <t> 3.5 to 5.5</t>
    </r>
  </si>
  <si>
    <t>Diesel/bus</t>
  </si>
  <si>
    <t>Gasoline/light duty</t>
  </si>
  <si>
    <t xml:space="preserve">ev PER MILE PER greet </t>
  </si>
  <si>
    <t xml:space="preserve">EV300 Type 1 Lith-Ion Conventional materials </t>
  </si>
  <si>
    <t xml:space="preserve">us ELECTRICITY MIX </t>
  </si>
  <si>
    <t>PER MILE</t>
  </si>
  <si>
    <t>kg/mi</t>
  </si>
  <si>
    <t>co2</t>
  </si>
  <si>
    <t>PHA - Johnson Homes</t>
  </si>
  <si>
    <t>Lighting</t>
  </si>
  <si>
    <t>CHP HVAC</t>
  </si>
  <si>
    <t>Reflective Roof</t>
  </si>
  <si>
    <t>City of Philadelphia - EV Chargers</t>
  </si>
  <si>
    <t>CO2e lbs</t>
  </si>
  <si>
    <t>Equiv Miles</t>
  </si>
  <si>
    <t>Equiv Gallons</t>
  </si>
  <si>
    <t>Equiv CO2e lbs</t>
  </si>
  <si>
    <t>Annual CO2e Savings</t>
  </si>
  <si>
    <t>Current Annual kWh</t>
  </si>
  <si>
    <t>grams to lbs</t>
  </si>
  <si>
    <t>grams CO2e/gallon</t>
  </si>
  <si>
    <t>Fleet Growth in 2030</t>
  </si>
  <si>
    <t>(Est 15% in 5 yrs, with additional 15% over next 5 yrs)</t>
  </si>
  <si>
    <t xml:space="preserve">CO2e Savings </t>
  </si>
  <si>
    <t xml:space="preserve">Small Food Business Program </t>
  </si>
  <si>
    <t>Typical retail food store leaks 25% refrigerant =</t>
  </si>
  <si>
    <t xml:space="preserve">pounds/year </t>
  </si>
  <si>
    <t>Co2e-Small</t>
  </si>
  <si>
    <t>Co2e-Med</t>
  </si>
  <si>
    <t>CO2e-Lg</t>
  </si>
  <si>
    <t>SUM (pounds)</t>
  </si>
  <si>
    <t>Most common HFC-134a</t>
  </si>
  <si>
    <t xml:space="preserve">Avg capacity </t>
  </si>
  <si>
    <t>Operating Emissions Factor (% of capacity/year)</t>
  </si>
  <si>
    <t>Annual Lekage/Unit  (kg refrigerant)</t>
  </si>
  <si>
    <t>GWP</t>
  </si>
  <si>
    <t>kg Leakage/year</t>
  </si>
  <si>
    <t>Lbs CO2e Leakage/Unit/Year</t>
  </si>
  <si>
    <t>Small</t>
  </si>
  <si>
    <t>to</t>
  </si>
  <si>
    <t>kg</t>
  </si>
  <si>
    <t>refrigerant capacity</t>
  </si>
  <si>
    <t>Medium</t>
  </si>
  <si>
    <t>Large</t>
  </si>
  <si>
    <t>Followed GHG Protocol Methodology</t>
  </si>
  <si>
    <t>Adipic Acid Production (ghgprotocol.org)</t>
  </si>
  <si>
    <t>kg =</t>
  </si>
  <si>
    <t>Program Year</t>
  </si>
  <si>
    <t>Y1 emissions savings over time</t>
  </si>
  <si>
    <t>Y2 emissions savings over time</t>
  </si>
  <si>
    <t>Y3 emissions savings over time</t>
  </si>
  <si>
    <t>Y4 emissions savings over time</t>
  </si>
  <si>
    <t>Y5 emissions savings over time</t>
  </si>
  <si>
    <t>Annual Total Fugitive CO2e Emissions Savings</t>
  </si>
  <si>
    <t>Triple demand in 3 years</t>
  </si>
  <si>
    <t>ECA Oil to HP Conversions</t>
  </si>
  <si>
    <t># Homes by year</t>
  </si>
  <si>
    <t>TOTALS</t>
  </si>
  <si>
    <t>Y1 TOTALS</t>
  </si>
  <si>
    <t>Y2 TOTALS</t>
  </si>
  <si>
    <t>Y3 TOTALS</t>
  </si>
  <si>
    <t>Y4 TOTALS</t>
  </si>
  <si>
    <t>Y5 TOTALS</t>
  </si>
  <si>
    <t>gall</t>
  </si>
  <si>
    <t>% distribution of measure &amp; home type</t>
  </si>
  <si>
    <t>kWh savings/yr</t>
  </si>
  <si>
    <t>fuel savings/yr</t>
  </si>
  <si>
    <t xml:space="preserve">btu/gallon fuel oil </t>
  </si>
  <si>
    <t>mbtu/gal</t>
  </si>
  <si>
    <t>CPRG Funding Requested/MTCO2e Savings from CPRG Funding                  2025-2030</t>
  </si>
  <si>
    <t>(ID #23) The City of Philadelphia will upgrade 100 Electric Vehicle Charging Stations to power its municipal fleet.</t>
  </si>
  <si>
    <t>(ID #14) William Penn School District will install a 777 kW solar farm and solar-ready roofing at Park Lane Elementary School.</t>
  </si>
  <si>
    <t>(ID #28) Philadelphia Northeast Airport will install a 2.01 MW on-site solar power array over its parking lot to serve all of the airport’s electricity needs</t>
  </si>
  <si>
    <t>(ID #1) Bucks County will install a 485 kW solar array to generate and provide clean energy to its Government Building and four new Level 2 EV chargers.</t>
  </si>
  <si>
    <t>(ID #12) Haverford Township will install a 48 kW solar array to generate and provide clean energy to the Haverford Township Free Library.</t>
  </si>
  <si>
    <t>(ID #13) Haverford Township will install a 85 kW solar canopy over the Police Department parking lot to generate and provide clean energy to the Haverford Township Police Department.</t>
  </si>
  <si>
    <t>(ID #7) West Chester Borough will install 16 Level 2 EV charging plugs, powered by a 68 kW charging canopy, to power the Borough's municipal fleet and public users.</t>
  </si>
  <si>
    <t>(ID #4) West Chester University will install of a new geothermal system and well field to provide heating and cooling for the new 175,000 square foot Sturzebecker Health Science Center</t>
  </si>
  <si>
    <t xml:space="preserve">(ID #5) West Goshen Township will install a 267 kW solar array to generate and provide clean energy to the West Goshen Township Public Works Building. </t>
  </si>
  <si>
    <t xml:space="preserve">(ID #19) The Merion Fire Company of Ardmore will install a 48kW solar array on the roof of its Ardmore Firehouse to generate and provide clean energy. </t>
  </si>
  <si>
    <t>(ID #2) Bucks County will install a 102 kW solar array to generate and provide clean energy to its Fire Safety and Training Facility.</t>
  </si>
  <si>
    <t xml:space="preserve">(ID #6) West Vincent Township will upgrade HVAC and install a 65 kW solar array and battery backup at its Public Works Building and its Opalanie Park maintenance facility. </t>
  </si>
  <si>
    <t>(ID #15) Radnor Township will install a 140 kW rooftop solar array, upgrade HVAC systems, and install LED lighting at its Municipal Building.</t>
  </si>
  <si>
    <t>(ID #16) Radnor Township will install a 185 kW rooftop solar array, upgrade HVAC systems, and install LED lighting at its Public Works Building.</t>
  </si>
  <si>
    <t>(ID #17) Radnor Township will install rooftop electrified heat pumps and LED lighting at the Radnor Activity Center.</t>
  </si>
  <si>
    <t>(ID #26) The Philadelphia Water Department will upgrade and expand its solar array to 1,219 kW at its Southeast Water Pollution Control Plant.</t>
  </si>
  <si>
    <t>(ID #22) School District of Philadelphia will modernize twenty schools, providing a total of 3.39 MW of on-site solar PV for 9 schools, lighting and HVAC electrification/modernization in 3 schools, and LED upgrades in 8 schools.</t>
  </si>
  <si>
    <t xml:space="preserve">(ID #18) Lower Merion Township will replace the roofs and install a total of 1.32 MW of solar at the Ludington Library, Penn Wynne, Ardmore Avenue Community Center, the Bala Cynwyd Library,  the Ardmore Book Processing Center, the Township Administration Building and the Public Safety Building, and the Bala Gym.         </t>
  </si>
  <si>
    <t xml:space="preserve">(ID #3) Chester County will develop and construct an all electric bus depot for the county's community transit service, which will include a 627 kW solar array combined with 30 kW of battery storage to support future bus electrification. </t>
  </si>
  <si>
    <t xml:space="preserve">(ID #24) The City of Philadelphia will extend its energy efficiency work at 8 city Health Centers to add 882 kW of onsite solar power. </t>
  </si>
  <si>
    <t>(ID #10) Delaware County will install submeters on its George W. Hill Correctional Facility campus, and will install LED lighting in the prison building and guard booth.</t>
  </si>
  <si>
    <t>(ID #9) Delaware County will perform LED lighting retrofits and sumbetering at its Fair Acres Geriatric Facility and campus. I</t>
  </si>
  <si>
    <t>(ID #20) Upper Dublin Township will turn its Civic and Public Services Facility into a net-zero building, with on-site solar production, geothermal energy, and an energy efficient envelope</t>
  </si>
  <si>
    <t>(ID #29) PAID will procure 3-4 electric buses, install two electric bus charging stations, and upgrade power infrastructure at the Philadelphia Navy Yard.</t>
  </si>
  <si>
    <t>(ID #27) PWD will install an automated biogas utilization valve to send 12,630 metric tons of biogas annually to the Biolsolids Recycling Center onsite at the Water Department's Southwest Water Pollution Control Plant, in order to utilize biogas and reduce flaring and reliance on natural gas.</t>
  </si>
  <si>
    <t xml:space="preserve">(ID #21) The Delaware Valley Regional Planning Commission will hire a Shared Energy Manager to provide energy management services to municipalities in southeast PA who do not have the technical expertise or staff bandwidth to manage municipal energy usage. </t>
  </si>
  <si>
    <t>(ID #30) PAID will install LED pedestrian streetlights at the Philadelphia Navy Yard.</t>
  </si>
  <si>
    <t>(ID #11) Delaware County will install 12 dual-port Level II electric vehicle chargers at its Fair Acres Campus to serve the county fleet.</t>
  </si>
  <si>
    <t>(ID #8) Delaware County will plan, design, and construct a commercial-grade composting facility that will utilize processes to improve air quality.</t>
  </si>
  <si>
    <t>(ID #25) The City of Philadelphia will undertake renovations to double processing capacity at its Fairmount Park Organic Recycling Center and Compost Site, which process park organics waste and supplies compost to residents.</t>
  </si>
  <si>
    <t>(ID #32) Brandywine Realty Trust will complete the adaptive reuse and converstion of an existing 13-story tower from commercial office use to 170 residential energy efficient multifamily units.</t>
  </si>
  <si>
    <t>(ID #31) Camphill Village Kimberton Hills is a life-sharing community for adults with intellectual disabilities, will undertake a comprehensive clean energy transition, including installation of 284 kW of solar paired with 1.5 MW of battery storage</t>
  </si>
  <si>
    <t xml:space="preserve">(ID #42) PGW will use grant funds to expand the Enhanced LIME (Low Income Multifamily Efficiency) program, to fund energy saving measures in low-income residences that wouldn’t otherwise be installed.  It will treat 6 multifamily buildings annually over the first three years of the grant. </t>
  </si>
  <si>
    <t>(ID #33) Centennial Parkside Community Development Corporation will work with partners to provide energy efficiency upgrades to 10-50 existing building in West Philadelphia, as an extension of its award winning Buildings Upgrade Prize concept.</t>
  </si>
  <si>
    <t xml:space="preserve"> (ID #36) Habitat for Humanity Philadelphia will construct up to 26 new affordable homeownership units for low- to median-income households, all of which will be EnergyStar certified and will include 125 kW of solar to reduce utility bills.</t>
  </si>
  <si>
    <t>(ID #34) Deep Sea-GP, LLC. will transform an existing 9-story building into Beacon of Hope, a mixed use energy efficient development project that will provide 30 units of veteran housing and support services to Kensington residents.</t>
  </si>
  <si>
    <t>(ID #38) Pennrose will Construct a 65-unit 100% affordable scattered-site development in Strawberry Mansion to support low-income families. The Energy Star certified site will include LED lighting, high efficiency HVAC and weatherization.</t>
  </si>
  <si>
    <t>(ID #39) Pennrose will complete energy and infrastructure upgrades at Neumann North, a public housing apartment complex serving low-income seniors in Fishtown.</t>
  </si>
  <si>
    <t>(ID #40) Pennrose will construct Bartram Village Phase I, providing 64 energy efficient units to low-income residents of Kingsessing. Bartram I will meet Enterprise Green Communities and Net Zero Ready Standards.</t>
  </si>
  <si>
    <t>(ID #41) Pennrose will construct Bartram Village Phase II, providing 90 energy efficient units and a community center to low-income residents of Kingsessing. Bartram II will meet Enterprise Green Communities and Net Zero Ready Standards.</t>
  </si>
  <si>
    <t xml:space="preserve">(ID #46) YouthBuild Philadelphia Charter School  will  transform a vacant property into a transitional housing facility for the House of WIN (Women in Transition). YouthBuild students will receive hands-on experience in energy efficient rehabilitation processes. </t>
  </si>
  <si>
    <t>(ID #35) Energy Coordinating Agency will pilot a Heating Oil to Heat Pump Conversion program for approximately 600 single-family homes within low-income and disadvantaged communities (LIDAC) in the City of Philadelphia.</t>
  </si>
  <si>
    <t>(ID #37) PEA will expand its nationally-recognized Built to Last Program, which will restore and future-proof 4,000 additional low-income single-family homes citywide by adding solar, heat pumps, and other electrification measures.</t>
  </si>
  <si>
    <t>(ID #43) Philadelphia Housing Authority will renovate a 101-unit 16-story affordable senior housing facility including LED lighting and conversion from gas to electric cooking.</t>
  </si>
  <si>
    <t>(ID #44) Philadelphia Housing Authority will implement a mix of new construction and energy efficient upgrades at the 240-unit James W. Johnson affordable housing complex.</t>
  </si>
  <si>
    <t xml:space="preserve">(ID #45) Philadelphia Housing Development Corporation will add energy retrofits to gap financing for low-income housing tax credit (LIHTC) preservation applications and standalone affordable housing preservation financing. </t>
  </si>
  <si>
    <t>(ID #49) BTM Solutions, LLC will install a 933 kW solar array at the Philadelphia Business and Techology Center as a behind-the-meter pilot site to utilize a 233 kW Renewable Battery Energy Storage System (BESS) for individual buildings with energy demands below 1 megawatt.</t>
  </si>
  <si>
    <t>(ID #50) Philadelphia Youth Basketball Inc. will install a 287 kW Rooftop solar array designed to cover electricity needs of the newly opened Alan Horowitz "Sixth Man" Center.</t>
  </si>
  <si>
    <t>(ID #51) Mosaic Development Partners, in partnership with Called to Serve Community Development Corporation will transform the Zion Baptist Church Annex into the Reverend Leon H. Sullivan Community Impact Center, and will include clean energy generation and LEED Silver Certification.</t>
  </si>
  <si>
    <t>(ID #53 Solar States will install a 32 kW rooftop solar array, indoor garden solar array, and battery storage system at the Overbrook Environmental Education Center.</t>
  </si>
  <si>
    <t xml:space="preserve">(ID #52) Share Food Program will upgrade its warehouse facility by installing a 427 kW solar array, and converting the facility to electric power with VRF technology. </t>
  </si>
  <si>
    <t xml:space="preserve">(ID #47) PEA's Small Food Business Program will finance preventive maintenance/repairs on refrigeration equipment for 750 small food businesses </t>
  </si>
  <si>
    <t xml:space="preserve">(ID #48) The Philadelphia Green Capital Corporation (PGCC) will provide $1/watt grants to commercial and industrial solar installations, including nonprofit organizations, in Southeastern PA. </t>
  </si>
  <si>
    <t>(ID #54) Montgomery County will design and implement 12 public Level 2 electric vehicle charging stations at county-owned or leased sites to ease the transition to electric vehicles.</t>
  </si>
  <si>
    <t>(ID #56) TerraSol Energies will install a 680 kW ground-mount solar array and battery storage to power 4 150kW National Electric Vehicle Infrastructure (NEVI) Direct Current Fast Charging (DCFC) stations in Coatesille, PA.</t>
  </si>
  <si>
    <t>(ID #55) TerraSol Energies will install a 680 kW ground-mount solar array and battery storage to power 4 150kW National Electric Vehicle Infrastructure (NEVI) Direct Current Fast Charging (DCFC) stations in Exton, PA.</t>
  </si>
  <si>
    <t>TOTAL GHGs SAVED (METRIC TONS CO2e)</t>
  </si>
  <si>
    <t xml:space="preserve">CPRG Dollars Invested per MTCO2e Saved </t>
  </si>
  <si>
    <t>Pounds CO2e Saved (Generation Savings)</t>
  </si>
  <si>
    <t>Pounds CO2e Saved                                                  (Generation Savings)</t>
  </si>
  <si>
    <t>Pounds CO2e Saved</t>
  </si>
  <si>
    <t>Refrigerant CO2e Savings (lbs)</t>
  </si>
  <si>
    <t>Total Pounds CO2e Saved</t>
  </si>
  <si>
    <t>CO2e Savings (lbs)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</si>
</sst>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quot;* #,##0.00_);_(&quot;$&quot;* \(#,##0.00\);_(&quot;$&quot;* &quot;-&quot;??_);_(@_)"/>
    <numFmt numFmtId="43" formatCode="_(* #,##0.00_);_(* \(#,##0.00\);_(* &quot;-&quot;??_);_(@_)"/>
    <numFmt numFmtId="164" formatCode="_(* #,##0.0_);_(* \(#,##0.0\);_(* &quot;-&quot;??_);_(@_)"/>
    <numFmt numFmtId="165" formatCode="_(&quot;$&quot;* #,##0_);_(&quot;$&quot;* \(#,##0\);_(&quot;$&quot;* &quot;-&quot;??_);_(@_)"/>
    <numFmt numFmtId="166" formatCode="#,##0.0"/>
    <numFmt numFmtId="167" formatCode="_(* #,##0_);_(* \(#,##0\);_(* &quot;-&quot;??_);_(@_)"/>
    <numFmt numFmtId="168" formatCode="0.0"/>
    <numFmt numFmtId="169" formatCode="_(* #,##0.0_);_(* \(#,##0.0\);_(* &quot;-&quot;?_);_(@_)"/>
    <numFmt numFmtId="170" formatCode="_(* #,##0_);_(* \(#,##0\);_(* &quot;-&quot;?_);_(@_)"/>
    <numFmt numFmtId="171" formatCode="0.0000000"/>
    <numFmt numFmtId="172" formatCode="0.000000"/>
    <numFmt numFmtId="173" formatCode="_(* #,##0.000000000000_);_(* \(#,##0.000000000000\);_(* &quot;-&quot;??_);_(@_)"/>
    <numFmt numFmtId="174" formatCode="_(* #,##0.00000000000000_);_(* \(#,##0.00000000000000\);_(* &quot;-&quot;??_);_(@_)"/>
    <numFmt numFmtId="175" formatCode="0.0%"/>
    <numFmt numFmtId="176" formatCode="0.00000000"/>
    <numFmt numFmtId="177" formatCode="0.000"/>
    <numFmt numFmtId="178" formatCode="0.000000000000000"/>
    <numFmt numFmtId="179" formatCode="_(* #,##0.000000000_);_(* \(#,##0.000000000\);_(* &quot;-&quot;??_);_(@_)"/>
    <numFmt numFmtId="180" formatCode="0.000000000000000000%"/>
    <numFmt numFmtId="181" formatCode="_(* #,##0.0000000000000_);_(* \(#,##0.0000000000000\);_(* &quot;-&quot;??_);_(@_)"/>
    <numFmt numFmtId="182" formatCode="_(* #,##0.00000000000000000_);_(* \(#,##0.00000000000000000\);_(* &quot;-&quot;??_);_(@_)"/>
    <numFmt numFmtId="183" formatCode="_(* #,##0.0000_);_(* \(#,##0.0000\);_(* &quot;-&quot;??_);_(@_)"/>
  </numFmts>
  <fonts count="48" x14ac:knownFonts="1">
    <font>
      <sz val="11"/>
      <color theme="1"/>
      <name val="Calibri"/>
      <scheme val="minor"/>
    </font>
    <font>
      <b/>
      <sz val="11"/>
      <color theme="1"/>
      <name val="Calibri"/>
      <family val="2"/>
    </font>
    <font>
      <sz val="11"/>
      <name val="Calibri"/>
      <family val="2"/>
    </font>
    <font>
      <sz val="11"/>
      <color theme="1"/>
      <name val="Calibri"/>
      <family val="2"/>
    </font>
    <font>
      <i/>
      <sz val="11"/>
      <color theme="1"/>
      <name val="Calibri"/>
      <family val="2"/>
    </font>
    <font>
      <sz val="11"/>
      <color rgb="FFFF0000"/>
      <name val="Calibri"/>
      <family val="2"/>
    </font>
    <font>
      <b/>
      <sz val="11"/>
      <color rgb="FFFF0000"/>
      <name val="Calibri"/>
      <family val="2"/>
    </font>
    <font>
      <b/>
      <sz val="8"/>
      <color rgb="FF000000"/>
      <name val="Arial"/>
      <family val="2"/>
    </font>
    <font>
      <b/>
      <sz val="8"/>
      <color rgb="FFFFFFFF"/>
      <name val="Arial"/>
      <family val="2"/>
    </font>
    <font>
      <sz val="8"/>
      <color rgb="FF000000"/>
      <name val="Arial"/>
      <family val="2"/>
    </font>
    <font>
      <sz val="11"/>
      <color theme="1"/>
      <name val="Calibri"/>
      <family val="2"/>
      <scheme val="minor"/>
    </font>
    <font>
      <u/>
      <sz val="11"/>
      <color theme="10"/>
      <name val="Calibri"/>
      <family val="2"/>
    </font>
    <font>
      <sz val="24"/>
      <color rgb="FF333333"/>
      <name val="Times New Roman"/>
      <family val="1"/>
    </font>
    <font>
      <b/>
      <sz val="7"/>
      <color rgb="FF333333"/>
      <name val="Arial"/>
      <family val="2"/>
    </font>
    <font>
      <sz val="10"/>
      <color rgb="FF333333"/>
      <name val="Arial"/>
      <family val="2"/>
    </font>
    <font>
      <b/>
      <sz val="11"/>
      <color rgb="FF333333"/>
      <name val="Arial"/>
      <family val="2"/>
    </font>
    <font>
      <sz val="11"/>
      <color rgb="FF333333"/>
      <name val="Arial"/>
      <family val="2"/>
    </font>
    <font>
      <u/>
      <sz val="11"/>
      <color theme="10"/>
      <name val="Calibri"/>
      <family val="2"/>
    </font>
    <font>
      <sz val="8"/>
      <color rgb="FF5A5A5A"/>
      <name val="Arial"/>
      <family val="2"/>
    </font>
    <font>
      <u/>
      <sz val="11"/>
      <color theme="10"/>
      <name val="Calibri"/>
      <family val="2"/>
    </font>
    <font>
      <b/>
      <sz val="11"/>
      <color theme="0"/>
      <name val="Calibri"/>
      <family val="2"/>
    </font>
    <font>
      <sz val="11"/>
      <color theme="0"/>
      <name val="Calibri"/>
      <family val="2"/>
    </font>
    <font>
      <u/>
      <sz val="11"/>
      <color theme="0"/>
      <name val="Calibri"/>
      <family val="2"/>
    </font>
    <font>
      <b/>
      <i/>
      <sz val="11"/>
      <color theme="1"/>
      <name val="Calibri"/>
      <family val="2"/>
    </font>
    <font>
      <sz val="10"/>
      <color theme="0"/>
      <name val="Arial"/>
      <family val="2"/>
    </font>
    <font>
      <u/>
      <sz val="11"/>
      <color theme="10"/>
      <name val="Calibri"/>
      <family val="2"/>
    </font>
    <font>
      <u/>
      <sz val="11"/>
      <color theme="10"/>
      <name val="Calibri"/>
      <family val="2"/>
    </font>
    <font>
      <sz val="12"/>
      <color rgb="FF333333"/>
      <name val="Calibri"/>
      <family val="2"/>
    </font>
    <font>
      <u/>
      <sz val="11"/>
      <color theme="10"/>
      <name val="Calibri"/>
      <family val="2"/>
    </font>
    <font>
      <sz val="12"/>
      <color theme="1"/>
      <name val="Calibri"/>
      <family val="2"/>
    </font>
    <font>
      <u/>
      <sz val="11"/>
      <color theme="10"/>
      <name val="Calibri"/>
      <family val="2"/>
    </font>
    <font>
      <sz val="10"/>
      <color rgb="FF1B1B1B"/>
      <name val="Arial"/>
      <family val="2"/>
    </font>
    <font>
      <sz val="10"/>
      <color theme="1"/>
      <name val="Calibri"/>
      <family val="2"/>
    </font>
    <font>
      <b/>
      <sz val="10"/>
      <color rgb="FF1B1B1B"/>
      <name val="Arial"/>
      <family val="2"/>
    </font>
    <font>
      <sz val="12"/>
      <color rgb="FF444444"/>
      <name val="Arial"/>
      <family val="2"/>
    </font>
    <font>
      <b/>
      <sz val="12"/>
      <color rgb="FF444444"/>
      <name val="Arial"/>
      <family val="2"/>
    </font>
    <font>
      <b/>
      <sz val="8"/>
      <color theme="1"/>
      <name val="Arial"/>
      <family val="2"/>
    </font>
    <font>
      <sz val="7"/>
      <color rgb="FF333333"/>
      <name val="Arial"/>
      <family val="2"/>
    </font>
    <font>
      <b/>
      <sz val="10"/>
      <color rgb="FF7D7D7D"/>
      <name val="Arial"/>
      <family val="2"/>
    </font>
    <font>
      <i/>
      <sz val="11"/>
      <color rgb="FF333333"/>
      <name val="Arial"/>
      <family val="2"/>
    </font>
    <font>
      <b/>
      <sz val="10"/>
      <color theme="1"/>
      <name val="Calibri"/>
      <family val="2"/>
    </font>
    <font>
      <sz val="10"/>
      <name val="Calibri"/>
      <family val="2"/>
    </font>
    <font>
      <i/>
      <sz val="10"/>
      <color theme="1"/>
      <name val="Calibri"/>
      <family val="2"/>
    </font>
    <font>
      <sz val="10"/>
      <color rgb="FF1F1F1F"/>
      <name val="Calibri"/>
      <family val="2"/>
    </font>
    <font>
      <sz val="10"/>
      <color rgb="FF000000"/>
      <name val="Calibri"/>
      <family val="2"/>
    </font>
    <font>
      <sz val="10"/>
      <color rgb="FFFF0000"/>
      <name val="Calibri"/>
      <family val="2"/>
    </font>
    <font>
      <sz val="10"/>
      <color rgb="FF434343"/>
      <name val="Calibri"/>
      <family val="2"/>
    </font>
    <font>
      <b/>
      <sz val="10"/>
      <color rgb="FFFF0000"/>
      <name val="Calibri"/>
      <family val="2"/>
    </font>
  </fonts>
  <fills count="17">
    <fill>
      <patternFill patternType="none"/>
    </fill>
    <fill>
      <patternFill patternType="gray125"/>
    </fill>
    <fill>
      <patternFill patternType="solid">
        <fgColor rgb="FFC5E0B3"/>
        <bgColor rgb="FFC5E0B3"/>
      </patternFill>
    </fill>
    <fill>
      <patternFill patternType="solid">
        <fgColor rgb="FF92D050"/>
        <bgColor rgb="FF92D050"/>
      </patternFill>
    </fill>
    <fill>
      <patternFill patternType="solid">
        <fgColor rgb="FFD0CECE"/>
        <bgColor rgb="FFD0CECE"/>
      </patternFill>
    </fill>
    <fill>
      <patternFill patternType="solid">
        <fgColor rgb="FFBFBFBF"/>
        <bgColor rgb="FFBFBFBF"/>
      </patternFill>
    </fill>
    <fill>
      <patternFill patternType="solid">
        <fgColor rgb="FF108FBC"/>
        <bgColor rgb="FF108FBC"/>
      </patternFill>
    </fill>
    <fill>
      <patternFill patternType="solid">
        <fgColor rgb="FFBDD6EE"/>
        <bgColor rgb="FFBDD6EE"/>
      </patternFill>
    </fill>
    <fill>
      <patternFill patternType="solid">
        <fgColor rgb="FFFFFF00"/>
        <bgColor rgb="FFFFFF00"/>
      </patternFill>
    </fill>
    <fill>
      <patternFill patternType="solid">
        <fgColor rgb="FFF8CBAD"/>
        <bgColor rgb="FFF8CBAD"/>
      </patternFill>
    </fill>
    <fill>
      <patternFill patternType="solid">
        <fgColor rgb="FFF2DCDB"/>
        <bgColor rgb="FFF2DCDB"/>
      </patternFill>
    </fill>
    <fill>
      <patternFill patternType="solid">
        <fgColor rgb="FFFF0000"/>
        <bgColor rgb="FFFF0000"/>
      </patternFill>
    </fill>
    <fill>
      <patternFill patternType="solid">
        <fgColor rgb="FFA8D08D"/>
        <bgColor rgb="FFA8D08D"/>
      </patternFill>
    </fill>
    <fill>
      <patternFill patternType="solid">
        <fgColor rgb="FFFEF2CB"/>
        <bgColor rgb="FFFEF2CB"/>
      </patternFill>
    </fill>
    <fill>
      <patternFill patternType="solid">
        <fgColor rgb="FFFFC000"/>
        <bgColor rgb="FFFFC000"/>
      </patternFill>
    </fill>
    <fill>
      <patternFill patternType="solid">
        <fgColor theme="0"/>
        <bgColor theme="0"/>
      </patternFill>
    </fill>
    <fill>
      <patternFill patternType="solid">
        <fgColor rgb="FFF7CAAC"/>
        <bgColor rgb="FFF7CAAC"/>
      </patternFill>
    </fill>
  </fills>
  <borders count="172">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medium">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style="thin">
        <color rgb="FF000000"/>
      </left>
      <right/>
      <top/>
      <bottom/>
      <diagonal/>
    </border>
    <border>
      <left/>
      <right/>
      <top/>
      <bottom/>
      <diagonal/>
    </border>
    <border>
      <left style="thin">
        <color rgb="FF000000"/>
      </left>
      <right style="medium">
        <color rgb="FF000000"/>
      </right>
      <top style="medium">
        <color rgb="FF000000"/>
      </top>
      <bottom style="thin">
        <color rgb="FF000000"/>
      </bottom>
      <diagonal/>
    </border>
    <border>
      <left style="medium">
        <color rgb="FF000000"/>
      </left>
      <right style="hair">
        <color rgb="FFBFBFBF"/>
      </right>
      <top style="hair">
        <color rgb="FFBFBFBF"/>
      </top>
      <bottom style="hair">
        <color rgb="FFBFBFBF"/>
      </bottom>
      <diagonal/>
    </border>
    <border>
      <left style="hair">
        <color rgb="FFBFBFBF"/>
      </left>
      <right style="hair">
        <color rgb="FFBFBFBF"/>
      </right>
      <top style="hair">
        <color rgb="FFBFBFBF"/>
      </top>
      <bottom style="hair">
        <color rgb="FFBFBFBF"/>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style="medium">
        <color rgb="FF000000"/>
      </right>
      <top/>
      <bottom style="thin">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96D7"/>
      </bottom>
      <diagonal/>
    </border>
    <border>
      <left/>
      <right/>
      <top/>
      <bottom style="medium">
        <color rgb="FF0096D7"/>
      </bottom>
      <diagonal/>
    </border>
    <border>
      <left/>
      <right style="medium">
        <color rgb="FF000000"/>
      </right>
      <top/>
      <bottom style="medium">
        <color rgb="FF0096D7"/>
      </bottom>
      <diagonal/>
    </border>
    <border>
      <left style="medium">
        <color rgb="FF000000"/>
      </left>
      <right/>
      <top style="medium">
        <color rgb="FF0096D7"/>
      </top>
      <bottom/>
      <diagonal/>
    </border>
    <border>
      <left/>
      <right/>
      <top style="medium">
        <color rgb="FF0096D7"/>
      </top>
      <bottom/>
      <diagonal/>
    </border>
    <border>
      <left/>
      <right style="medium">
        <color rgb="FF000000"/>
      </right>
      <top style="medium">
        <color rgb="FF0096D7"/>
      </top>
      <bottom/>
      <diagonal/>
    </border>
    <border>
      <left style="medium">
        <color rgb="FF000000"/>
      </left>
      <right/>
      <top style="dotted">
        <color rgb="FFD8D8D8"/>
      </top>
      <bottom/>
      <diagonal/>
    </border>
    <border>
      <left/>
      <right/>
      <top style="dotted">
        <color rgb="FFD8D8D8"/>
      </top>
      <bottom/>
      <diagonal/>
    </border>
    <border>
      <left/>
      <right style="medium">
        <color rgb="FF000000"/>
      </right>
      <top style="dotted">
        <color rgb="FFD8D8D8"/>
      </top>
      <bottom/>
      <diagonal/>
    </border>
    <border>
      <left style="medium">
        <color rgb="FF000000"/>
      </left>
      <right/>
      <top style="medium">
        <color rgb="FF0096D7"/>
      </top>
      <bottom style="dotted">
        <color rgb="FFD8D8D8"/>
      </bottom>
      <diagonal/>
    </border>
    <border>
      <left/>
      <right/>
      <top style="medium">
        <color rgb="FF0096D7"/>
      </top>
      <bottom style="dotted">
        <color rgb="FFD8D8D8"/>
      </bottom>
      <diagonal/>
    </border>
    <border>
      <left/>
      <right style="medium">
        <color rgb="FF000000"/>
      </right>
      <top style="medium">
        <color rgb="FF0096D7"/>
      </top>
      <bottom style="dotted">
        <color rgb="FFD8D8D8"/>
      </bottom>
      <diagonal/>
    </border>
    <border>
      <left style="medium">
        <color rgb="FF000000"/>
      </left>
      <right/>
      <top style="medium">
        <color rgb="FF0096D7"/>
      </top>
      <bottom style="medium">
        <color rgb="FF000000"/>
      </bottom>
      <diagonal/>
    </border>
    <border>
      <left/>
      <right/>
      <top style="medium">
        <color rgb="FF0096D7"/>
      </top>
      <bottom style="medium">
        <color rgb="FF000000"/>
      </bottom>
      <diagonal/>
    </border>
    <border>
      <left/>
      <right style="medium">
        <color rgb="FF000000"/>
      </right>
      <top style="medium">
        <color rgb="FF0096D7"/>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right/>
      <top style="hair">
        <color rgb="FFBFBFBF"/>
      </top>
      <bottom style="hair">
        <color rgb="FFBFBFBF"/>
      </bottom>
      <diagonal/>
    </border>
    <border>
      <left/>
      <right style="hair">
        <color rgb="FFBFBFBF"/>
      </right>
      <top style="hair">
        <color rgb="FFBFBFBF"/>
      </top>
      <bottom style="hair">
        <color rgb="FFBFBFBF"/>
      </bottom>
      <diagonal/>
    </border>
    <border>
      <left style="hair">
        <color rgb="FFBFBFBF"/>
      </left>
      <right/>
      <top style="hair">
        <color rgb="FFBFBFBF"/>
      </top>
      <bottom style="hair">
        <color rgb="FFBFBFBF"/>
      </bottom>
      <diagonal/>
    </border>
    <border>
      <left style="medium">
        <color rgb="FF000000"/>
      </left>
      <right/>
      <top style="hair">
        <color rgb="FFBFBFBF"/>
      </top>
      <bottom/>
      <diagonal/>
    </border>
    <border>
      <left/>
      <right/>
      <top style="hair">
        <color rgb="FFBFBFBF"/>
      </top>
      <bottom/>
      <diagonal/>
    </border>
    <border>
      <left/>
      <right style="hair">
        <color rgb="FFBFBFBF"/>
      </right>
      <top style="hair">
        <color rgb="FFBFBFBF"/>
      </top>
      <bottom/>
      <diagonal/>
    </border>
    <border>
      <left style="hair">
        <color rgb="FFBFBFBF"/>
      </left>
      <right/>
      <top style="hair">
        <color rgb="FFBFBFBF"/>
      </top>
      <bottom/>
      <diagonal/>
    </border>
    <border>
      <left/>
      <right style="hair">
        <color rgb="FFBFBFBF"/>
      </right>
      <top/>
      <bottom/>
      <diagonal/>
    </border>
    <border>
      <left style="hair">
        <color rgb="FFBFBFBF"/>
      </left>
      <right/>
      <top/>
      <bottom/>
      <diagonal/>
    </border>
    <border>
      <left style="thin">
        <color rgb="FF000000"/>
      </left>
      <right style="thin">
        <color rgb="FF000000"/>
      </right>
      <top/>
      <bottom/>
      <diagonal/>
    </border>
    <border>
      <left style="thin">
        <color rgb="FF000000"/>
      </left>
      <right/>
      <top/>
      <bottom style="medium">
        <color rgb="FF000000"/>
      </bottom>
      <diagonal/>
    </border>
    <border>
      <left/>
      <right/>
      <top/>
      <bottom style="dotted">
        <color rgb="FFD0CECE"/>
      </bottom>
      <diagonal/>
    </border>
    <border>
      <left/>
      <right/>
      <top/>
      <bottom style="dotted">
        <color rgb="FFD0CECE"/>
      </bottom>
      <diagonal/>
    </border>
    <border>
      <left/>
      <right style="dotted">
        <color rgb="FFD0CECE"/>
      </right>
      <top style="dotted">
        <color rgb="FFD0CECE"/>
      </top>
      <bottom/>
      <diagonal/>
    </border>
    <border>
      <left style="dotted">
        <color rgb="FFD0CECE"/>
      </left>
      <right style="dotted">
        <color rgb="FFD0CECE"/>
      </right>
      <top style="dotted">
        <color rgb="FFD0CECE"/>
      </top>
      <bottom/>
      <diagonal/>
    </border>
    <border>
      <left style="dotted">
        <color rgb="FFD0CECE"/>
      </left>
      <right style="dotted">
        <color rgb="FFD0CECE"/>
      </right>
      <top style="dotted">
        <color rgb="FFD0CECE"/>
      </top>
      <bottom style="dotted">
        <color rgb="FFD0CECE"/>
      </bottom>
      <diagonal/>
    </border>
    <border>
      <left style="dotted">
        <color rgb="FFD0CECE"/>
      </left>
      <right/>
      <top style="dotted">
        <color rgb="FFD0CECE"/>
      </top>
      <bottom style="dotted">
        <color rgb="FFD0CECE"/>
      </bottom>
      <diagonal/>
    </border>
    <border>
      <left/>
      <right/>
      <top style="dotted">
        <color rgb="FFD0CECE"/>
      </top>
      <bottom style="dotted">
        <color rgb="FFD0CECE"/>
      </bottom>
      <diagonal/>
    </border>
    <border>
      <left/>
      <right style="dotted">
        <color rgb="FFD0CECE"/>
      </right>
      <top style="dotted">
        <color rgb="FFD0CECE"/>
      </top>
      <bottom style="dotted">
        <color rgb="FFD0CECE"/>
      </bottom>
      <diagonal/>
    </border>
    <border>
      <left/>
      <right style="dotted">
        <color rgb="FFD0CECE"/>
      </right>
      <top/>
      <bottom style="dotted">
        <color rgb="FFD0CECE"/>
      </bottom>
      <diagonal/>
    </border>
    <border>
      <left style="medium">
        <color rgb="FF000000"/>
      </left>
      <right/>
      <top style="thin">
        <color rgb="FF000000"/>
      </top>
      <bottom/>
      <diagonal/>
    </border>
    <border>
      <left style="hair">
        <color rgb="FFBFBFBF"/>
      </left>
      <right style="hair">
        <color rgb="FFBFBFBF"/>
      </right>
      <top/>
      <bottom style="hair">
        <color rgb="FFBFBFBF"/>
      </bottom>
      <diagonal/>
    </border>
    <border>
      <left style="medium">
        <color rgb="FF000000"/>
      </left>
      <right/>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thin">
        <color rgb="FF000000"/>
      </top>
      <bottom/>
      <diagonal/>
    </border>
    <border>
      <left/>
      <right style="medium">
        <color rgb="FF000000"/>
      </right>
      <top style="thin">
        <color rgb="FF000000"/>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diagonal/>
    </border>
    <border>
      <left style="medium">
        <color rgb="FF000000"/>
      </left>
      <right/>
      <top/>
      <bottom/>
      <diagonal/>
    </border>
    <border>
      <left/>
      <right/>
      <top/>
      <bottom/>
      <diagonal/>
    </border>
    <border>
      <left/>
      <right/>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hair">
        <color rgb="FFA5A5A5"/>
      </left>
      <right style="hair">
        <color rgb="FFA5A5A5"/>
      </right>
      <top style="hair">
        <color rgb="FFA5A5A5"/>
      </top>
      <bottom style="hair">
        <color rgb="FFA5A5A5"/>
      </bottom>
      <diagonal/>
    </border>
    <border>
      <left style="medium">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medium">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D0CECE"/>
      </left>
      <right style="hair">
        <color rgb="FFD0CECE"/>
      </right>
      <top style="hair">
        <color rgb="FFD0CECE"/>
      </top>
      <bottom style="hair">
        <color rgb="FFD0CECE"/>
      </bottom>
      <diagonal/>
    </border>
    <border>
      <left style="hair">
        <color rgb="FFD0CECE"/>
      </left>
      <right/>
      <top style="hair">
        <color rgb="FFD0CECE"/>
      </top>
      <bottom style="hair">
        <color rgb="FFD0CECE"/>
      </bottom>
      <diagonal/>
    </border>
    <border>
      <left style="hair">
        <color rgb="FFD0CECE"/>
      </left>
      <right style="hair">
        <color rgb="FFD0CECE"/>
      </right>
      <top/>
      <bottom style="hair">
        <color rgb="FFD0CECE"/>
      </bottom>
      <diagonal/>
    </border>
    <border>
      <left/>
      <right/>
      <top style="medium">
        <color rgb="FF000000"/>
      </top>
      <bottom style="medium">
        <color rgb="FFCCCCCC"/>
      </bottom>
      <diagonal/>
    </border>
    <border>
      <left/>
      <right/>
      <top style="medium">
        <color rgb="FF000000"/>
      </top>
      <bottom style="medium">
        <color rgb="FFCCCCCC"/>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CCCCCC"/>
      </top>
      <bottom style="medium">
        <color rgb="FFCCCCCC"/>
      </bottom>
      <diagonal/>
    </border>
    <border>
      <left style="medium">
        <color rgb="FF000000"/>
      </left>
      <right style="medium">
        <color rgb="FFCCCCCC"/>
      </right>
      <top style="medium">
        <color rgb="FF000000"/>
      </top>
      <bottom style="medium">
        <color rgb="FFCCCCCC"/>
      </bottom>
      <diagonal/>
    </border>
    <border>
      <left style="medium">
        <color rgb="FFCCCCCC"/>
      </left>
      <right style="medium">
        <color rgb="FFCCCCCC"/>
      </right>
      <top style="medium">
        <color rgb="FF000000"/>
      </top>
      <bottom style="medium">
        <color rgb="FFCCCCCC"/>
      </bottom>
      <diagonal/>
    </border>
    <border>
      <left style="medium">
        <color rgb="FF000000"/>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s>
  <cellStyleXfs count="1">
    <xf numFmtId="0" fontId="0" fillId="0" borderId="0"/>
  </cellStyleXfs>
  <cellXfs count="828">
    <xf numFmtId="0" fontId="0" fillId="0" borderId="0" xfId="0"/>
    <xf numFmtId="164" fontId="3" fillId="0" borderId="54" xfId="0" applyNumberFormat="1" applyFont="1" applyBorder="1"/>
    <xf numFmtId="0" fontId="3" fillId="0" borderId="53" xfId="0" applyFont="1" applyBorder="1"/>
    <xf numFmtId="164" fontId="3" fillId="0" borderId="51" xfId="0" applyNumberFormat="1" applyFont="1" applyBorder="1"/>
    <xf numFmtId="164" fontId="3" fillId="0" borderId="58" xfId="0" applyNumberFormat="1" applyFont="1" applyBorder="1"/>
    <xf numFmtId="164" fontId="3" fillId="0" borderId="60" xfId="0" applyNumberFormat="1" applyFont="1" applyBorder="1"/>
    <xf numFmtId="0" fontId="3" fillId="0" borderId="59" xfId="0" applyFont="1" applyBorder="1"/>
    <xf numFmtId="0" fontId="3" fillId="0" borderId="58" xfId="0" applyFont="1" applyBorder="1"/>
    <xf numFmtId="167" fontId="3" fillId="0" borderId="58" xfId="0" applyNumberFormat="1" applyFont="1" applyBorder="1"/>
    <xf numFmtId="0" fontId="3" fillId="0" borderId="25" xfId="0" applyFont="1" applyBorder="1"/>
    <xf numFmtId="43" fontId="3" fillId="0" borderId="60" xfId="0" applyNumberFormat="1" applyFont="1" applyBorder="1"/>
    <xf numFmtId="43" fontId="3" fillId="0" borderId="58" xfId="0" applyNumberFormat="1" applyFont="1" applyBorder="1"/>
    <xf numFmtId="164" fontId="3" fillId="0" borderId="0" xfId="0" applyNumberFormat="1" applyFont="1"/>
    <xf numFmtId="164" fontId="3" fillId="0" borderId="26" xfId="0" applyNumberFormat="1" applyFont="1" applyBorder="1"/>
    <xf numFmtId="0" fontId="3" fillId="0" borderId="33" xfId="0" applyFont="1" applyBorder="1"/>
    <xf numFmtId="164" fontId="3" fillId="0" borderId="33" xfId="0" applyNumberFormat="1" applyFont="1" applyBorder="1"/>
    <xf numFmtId="43" fontId="3" fillId="0" borderId="22" xfId="0" applyNumberFormat="1" applyFont="1" applyBorder="1"/>
    <xf numFmtId="167" fontId="3" fillId="0" borderId="33" xfId="0" applyNumberFormat="1" applyFont="1" applyBorder="1"/>
    <xf numFmtId="0" fontId="3" fillId="0" borderId="0" xfId="0" applyFont="1"/>
    <xf numFmtId="0" fontId="1" fillId="8" borderId="1" xfId="0" applyFont="1" applyFill="1" applyBorder="1"/>
    <xf numFmtId="0" fontId="3" fillId="0" borderId="20" xfId="0" applyFont="1" applyBorder="1"/>
    <xf numFmtId="0" fontId="3" fillId="0" borderId="0" xfId="0" applyFont="1" applyAlignment="1">
      <alignment horizontal="center" vertical="center"/>
    </xf>
    <xf numFmtId="0" fontId="3" fillId="0" borderId="0" xfId="0" applyFont="1" applyAlignment="1">
      <alignment horizontal="center"/>
    </xf>
    <xf numFmtId="0" fontId="1" fillId="9" borderId="76" xfId="0" applyFont="1" applyFill="1" applyBorder="1"/>
    <xf numFmtId="0" fontId="3" fillId="9" borderId="76" xfId="0" applyFont="1" applyFill="1" applyBorder="1"/>
    <xf numFmtId="0" fontId="7" fillId="10" borderId="17"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10" borderId="77" xfId="0" applyFont="1" applyFill="1" applyBorder="1" applyAlignment="1">
      <alignment horizontal="center" vertical="center" wrapText="1"/>
    </xf>
    <xf numFmtId="0" fontId="7" fillId="0" borderId="78" xfId="0" applyFont="1" applyBorder="1" applyAlignment="1">
      <alignment horizontal="center" vertical="center" wrapText="1"/>
    </xf>
    <xf numFmtId="0" fontId="7" fillId="0" borderId="79" xfId="0" applyFont="1" applyBorder="1" applyAlignment="1">
      <alignment horizontal="center" vertical="center" wrapText="1"/>
    </xf>
    <xf numFmtId="0" fontId="3" fillId="0" borderId="79" xfId="0" applyFont="1" applyBorder="1"/>
    <xf numFmtId="0" fontId="8" fillId="0" borderId="79" xfId="0" applyFont="1" applyBorder="1" applyAlignment="1">
      <alignment horizontal="center" vertical="center" wrapText="1"/>
    </xf>
    <xf numFmtId="0" fontId="7" fillId="10" borderId="59" xfId="0" applyFont="1" applyFill="1" applyBorder="1" applyAlignment="1">
      <alignment horizontal="center"/>
    </xf>
    <xf numFmtId="0" fontId="7" fillId="10" borderId="58" xfId="0" applyFont="1" applyFill="1" applyBorder="1" applyAlignment="1">
      <alignment horizontal="center"/>
    </xf>
    <xf numFmtId="0" fontId="7" fillId="10" borderId="60" xfId="0" applyFont="1" applyFill="1" applyBorder="1" applyAlignment="1">
      <alignment horizontal="center"/>
    </xf>
    <xf numFmtId="0" fontId="7" fillId="0" borderId="78" xfId="0" applyFont="1" applyBorder="1"/>
    <xf numFmtId="0" fontId="7" fillId="0" borderId="79" xfId="0" applyFont="1" applyBorder="1"/>
    <xf numFmtId="0" fontId="8" fillId="0" borderId="79" xfId="0" applyFont="1" applyBorder="1"/>
    <xf numFmtId="0" fontId="3" fillId="0" borderId="80" xfId="0" applyFont="1" applyBorder="1"/>
    <xf numFmtId="0" fontId="3" fillId="0" borderId="81" xfId="0" applyFont="1" applyBorder="1"/>
    <xf numFmtId="0" fontId="9" fillId="0" borderId="82" xfId="0" applyFont="1" applyBorder="1" applyAlignment="1">
      <alignment horizontal="center"/>
    </xf>
    <xf numFmtId="0" fontId="9" fillId="0" borderId="83" xfId="0" applyFont="1" applyBorder="1" applyAlignment="1">
      <alignment horizontal="center"/>
    </xf>
    <xf numFmtId="0" fontId="9" fillId="0" borderId="84" xfId="0" applyFont="1" applyBorder="1" applyAlignment="1">
      <alignment horizontal="center"/>
    </xf>
    <xf numFmtId="3" fontId="9" fillId="0" borderId="0" xfId="0" applyNumberFormat="1" applyFont="1"/>
    <xf numFmtId="0" fontId="9" fillId="0" borderId="0" xfId="0" applyFont="1"/>
    <xf numFmtId="43" fontId="3" fillId="0" borderId="0" xfId="0" applyNumberFormat="1" applyFont="1"/>
    <xf numFmtId="0" fontId="3" fillId="0" borderId="0" xfId="0" applyFont="1" applyAlignment="1">
      <alignment horizontal="right"/>
    </xf>
    <xf numFmtId="0" fontId="1" fillId="0" borderId="80" xfId="0" applyFont="1" applyBorder="1" applyAlignment="1">
      <alignment horizontal="center"/>
    </xf>
    <xf numFmtId="0" fontId="1" fillId="0" borderId="0" xfId="0" applyFont="1" applyAlignment="1">
      <alignment horizontal="center"/>
    </xf>
    <xf numFmtId="0" fontId="1" fillId="0" borderId="81" xfId="0" applyFont="1" applyBorder="1" applyAlignment="1">
      <alignment horizontal="center"/>
    </xf>
    <xf numFmtId="171" fontId="3" fillId="0" borderId="82" xfId="0" applyNumberFormat="1" applyFont="1" applyBorder="1" applyAlignment="1">
      <alignment horizontal="center"/>
    </xf>
    <xf numFmtId="0" fontId="3" fillId="0" borderId="83" xfId="0" applyFont="1" applyBorder="1" applyAlignment="1">
      <alignment horizontal="center"/>
    </xf>
    <xf numFmtId="172" fontId="3" fillId="0" borderId="84" xfId="0" applyNumberFormat="1" applyFont="1" applyBorder="1" applyAlignment="1">
      <alignment horizontal="center"/>
    </xf>
    <xf numFmtId="167" fontId="3" fillId="0" borderId="0" xfId="0" applyNumberFormat="1" applyFont="1"/>
    <xf numFmtId="9" fontId="3" fillId="0" borderId="0" xfId="0" applyNumberFormat="1" applyFont="1"/>
    <xf numFmtId="0" fontId="1" fillId="10" borderId="85" xfId="0" applyFont="1" applyFill="1" applyBorder="1" applyAlignment="1">
      <alignment horizontal="center"/>
    </xf>
    <xf numFmtId="0" fontId="1" fillId="10" borderId="86" xfId="0" applyFont="1" applyFill="1" applyBorder="1" applyAlignment="1">
      <alignment horizontal="center"/>
    </xf>
    <xf numFmtId="0" fontId="1" fillId="10" borderId="87" xfId="0" applyFont="1" applyFill="1" applyBorder="1" applyAlignment="1">
      <alignment horizontal="center"/>
    </xf>
    <xf numFmtId="0" fontId="3" fillId="0" borderId="61" xfId="0" applyFont="1" applyBorder="1" applyAlignment="1">
      <alignment horizontal="center"/>
    </xf>
    <xf numFmtId="0" fontId="3" fillId="0" borderId="88" xfId="0" applyFont="1" applyBorder="1" applyAlignment="1">
      <alignment horizontal="center"/>
    </xf>
    <xf numFmtId="0" fontId="3" fillId="0" borderId="89" xfId="0" applyFont="1" applyBorder="1" applyAlignment="1">
      <alignment horizontal="center"/>
    </xf>
    <xf numFmtId="0" fontId="3" fillId="0" borderId="82" xfId="0" applyFont="1" applyBorder="1" applyAlignment="1">
      <alignment horizontal="center"/>
    </xf>
    <xf numFmtId="0" fontId="3" fillId="0" borderId="84" xfId="0" applyFont="1" applyBorder="1" applyAlignment="1">
      <alignment horizontal="center"/>
    </xf>
    <xf numFmtId="0" fontId="3" fillId="8" borderId="70" xfId="0" applyFont="1" applyFill="1" applyBorder="1"/>
    <xf numFmtId="0" fontId="1" fillId="8" borderId="71" xfId="0" applyFont="1" applyFill="1" applyBorder="1" applyAlignment="1">
      <alignment horizontal="center"/>
    </xf>
    <xf numFmtId="0" fontId="3" fillId="8" borderId="90" xfId="0" applyFont="1" applyFill="1" applyBorder="1"/>
    <xf numFmtId="0" fontId="1" fillId="10" borderId="70" xfId="0" applyFont="1" applyFill="1" applyBorder="1"/>
    <xf numFmtId="0" fontId="1" fillId="10" borderId="71" xfId="0" applyFont="1" applyFill="1" applyBorder="1"/>
    <xf numFmtId="0" fontId="1" fillId="10" borderId="90" xfId="0" applyFont="1" applyFill="1" applyBorder="1"/>
    <xf numFmtId="0" fontId="1" fillId="10" borderId="1" xfId="0" applyFont="1" applyFill="1" applyBorder="1"/>
    <xf numFmtId="0" fontId="10" fillId="0" borderId="0" xfId="0" applyFont="1"/>
    <xf numFmtId="167" fontId="3" fillId="0" borderId="20" xfId="0" applyNumberFormat="1" applyFont="1" applyBorder="1"/>
    <xf numFmtId="173" fontId="3" fillId="0" borderId="36" xfId="0" applyNumberFormat="1" applyFont="1" applyBorder="1"/>
    <xf numFmtId="0" fontId="1" fillId="8" borderId="1" xfId="0" applyFont="1" applyFill="1" applyBorder="1" applyAlignment="1">
      <alignment horizontal="center"/>
    </xf>
    <xf numFmtId="0" fontId="3" fillId="0" borderId="82" xfId="0" applyFont="1" applyBorder="1"/>
    <xf numFmtId="0" fontId="3" fillId="0" borderId="83" xfId="0" applyFont="1" applyBorder="1"/>
    <xf numFmtId="0" fontId="3" fillId="0" borderId="84" xfId="0" applyFont="1" applyBorder="1"/>
    <xf numFmtId="174" fontId="1" fillId="8" borderId="1" xfId="0" applyNumberFormat="1" applyFont="1" applyFill="1" applyBorder="1" applyAlignment="1">
      <alignment horizontal="center"/>
    </xf>
    <xf numFmtId="0" fontId="11" fillId="0" borderId="0" xfId="0" applyFont="1"/>
    <xf numFmtId="0" fontId="14" fillId="0" borderId="80" xfId="0" applyFont="1" applyBorder="1" applyAlignment="1">
      <alignment vertical="center" wrapText="1"/>
    </xf>
    <xf numFmtId="0" fontId="15" fillId="0" borderId="94" xfId="0" applyFont="1" applyBorder="1" applyAlignment="1">
      <alignment horizontal="left" wrapText="1"/>
    </xf>
    <xf numFmtId="0" fontId="15" fillId="0" borderId="95" xfId="0" applyFont="1" applyBorder="1" applyAlignment="1">
      <alignment horizontal="right" wrapText="1"/>
    </xf>
    <xf numFmtId="0" fontId="15" fillId="0" borderId="96" xfId="0" applyFont="1" applyBorder="1" applyAlignment="1">
      <alignment horizontal="right" wrapText="1"/>
    </xf>
    <xf numFmtId="0" fontId="15" fillId="0" borderId="97" xfId="0" applyFont="1" applyBorder="1" applyAlignment="1">
      <alignment horizontal="left" vertical="top" wrapText="1"/>
    </xf>
    <xf numFmtId="0" fontId="15" fillId="0" borderId="98" xfId="0" applyFont="1" applyBorder="1" applyAlignment="1">
      <alignment horizontal="right" vertical="top" wrapText="1"/>
    </xf>
    <xf numFmtId="0" fontId="15" fillId="0" borderId="99" xfId="0" applyFont="1" applyBorder="1" applyAlignment="1">
      <alignment horizontal="right" vertical="top" wrapText="1"/>
    </xf>
    <xf numFmtId="3" fontId="15" fillId="0" borderId="98" xfId="0" applyNumberFormat="1" applyFont="1" applyBorder="1" applyAlignment="1">
      <alignment horizontal="right" vertical="top" wrapText="1"/>
    </xf>
    <xf numFmtId="0" fontId="16" fillId="0" borderId="100" xfId="0" applyFont="1" applyBorder="1" applyAlignment="1">
      <alignment horizontal="left" vertical="top" wrapText="1"/>
    </xf>
    <xf numFmtId="0" fontId="16" fillId="0" borderId="101" xfId="0" applyFont="1" applyBorder="1" applyAlignment="1">
      <alignment horizontal="right" vertical="top" wrapText="1"/>
    </xf>
    <xf numFmtId="0" fontId="16" fillId="0" borderId="102" xfId="0" applyFont="1" applyBorder="1" applyAlignment="1">
      <alignment horizontal="right" vertical="top" wrapText="1"/>
    </xf>
    <xf numFmtId="3" fontId="16" fillId="0" borderId="101" xfId="0" applyNumberFormat="1" applyFont="1" applyBorder="1" applyAlignment="1">
      <alignment horizontal="right" vertical="top" wrapText="1"/>
    </xf>
    <xf numFmtId="0" fontId="1" fillId="0" borderId="0" xfId="0" applyFont="1"/>
    <xf numFmtId="10" fontId="3" fillId="0" borderId="0" xfId="0" quotePrefix="1" applyNumberFormat="1" applyFont="1"/>
    <xf numFmtId="0" fontId="17" fillId="0" borderId="0" xfId="0" applyFont="1" applyAlignment="1">
      <alignment vertical="center"/>
    </xf>
    <xf numFmtId="0" fontId="18" fillId="0" borderId="0" xfId="0" applyFont="1"/>
    <xf numFmtId="0" fontId="1" fillId="0" borderId="0" xfId="0" applyFont="1" applyAlignment="1">
      <alignment horizontal="right"/>
    </xf>
    <xf numFmtId="0" fontId="3" fillId="10" borderId="109" xfId="0" applyFont="1" applyFill="1" applyBorder="1"/>
    <xf numFmtId="0" fontId="1" fillId="10" borderId="35" xfId="0" applyFont="1" applyFill="1" applyBorder="1" applyAlignment="1">
      <alignment horizontal="center"/>
    </xf>
    <xf numFmtId="0" fontId="1" fillId="10" borderId="110" xfId="0" applyFont="1" applyFill="1" applyBorder="1" applyAlignment="1">
      <alignment horizontal="center" wrapText="1"/>
    </xf>
    <xf numFmtId="0" fontId="1" fillId="10" borderId="90" xfId="0" applyFont="1" applyFill="1" applyBorder="1" applyAlignment="1">
      <alignment horizontal="center" wrapText="1"/>
    </xf>
    <xf numFmtId="0" fontId="1" fillId="10" borderId="70" xfId="0" applyFont="1" applyFill="1" applyBorder="1" applyAlignment="1">
      <alignment horizontal="center" wrapText="1"/>
    </xf>
    <xf numFmtId="0" fontId="1" fillId="10" borderId="70" xfId="0" applyFont="1" applyFill="1" applyBorder="1" applyAlignment="1">
      <alignment horizontal="center"/>
    </xf>
    <xf numFmtId="0" fontId="1" fillId="10" borderId="90" xfId="0" applyFont="1" applyFill="1" applyBorder="1" applyAlignment="1">
      <alignment horizontal="center"/>
    </xf>
    <xf numFmtId="0" fontId="1" fillId="10" borderId="111" xfId="0" applyFont="1" applyFill="1" applyBorder="1" applyAlignment="1">
      <alignment horizontal="center" wrapText="1"/>
    </xf>
    <xf numFmtId="0" fontId="1" fillId="10" borderId="71" xfId="0" applyFont="1" applyFill="1" applyBorder="1" applyAlignment="1">
      <alignment horizontal="center" wrapText="1"/>
    </xf>
    <xf numFmtId="0" fontId="3" fillId="10" borderId="90" xfId="0" applyFont="1" applyFill="1" applyBorder="1"/>
    <xf numFmtId="0" fontId="3" fillId="10" borderId="70" xfId="0" applyFont="1" applyFill="1" applyBorder="1"/>
    <xf numFmtId="0" fontId="3" fillId="10" borderId="85" xfId="0" applyFont="1" applyFill="1" applyBorder="1"/>
    <xf numFmtId="0" fontId="3" fillId="10" borderId="87" xfId="0" applyFont="1" applyFill="1" applyBorder="1"/>
    <xf numFmtId="0" fontId="3" fillId="0" borderId="10" xfId="0" applyFont="1" applyBorder="1"/>
    <xf numFmtId="164" fontId="3" fillId="0" borderId="91" xfId="0" applyNumberFormat="1" applyFont="1" applyBorder="1"/>
    <xf numFmtId="164" fontId="1" fillId="8" borderId="111" xfId="0" applyNumberFormat="1" applyFont="1" applyFill="1" applyBorder="1"/>
    <xf numFmtId="164" fontId="1" fillId="8" borderId="111" xfId="0" quotePrefix="1" applyNumberFormat="1" applyFont="1" applyFill="1" applyBorder="1"/>
    <xf numFmtId="168" fontId="1" fillId="8" borderId="111" xfId="0" applyNumberFormat="1" applyFont="1" applyFill="1" applyBorder="1"/>
    <xf numFmtId="168" fontId="3" fillId="0" borderId="91" xfId="0" applyNumberFormat="1" applyFont="1" applyBorder="1"/>
    <xf numFmtId="168" fontId="3" fillId="0" borderId="93" xfId="0" applyNumberFormat="1" applyFont="1" applyBorder="1"/>
    <xf numFmtId="0" fontId="1" fillId="8" borderId="111" xfId="0" applyFont="1" applyFill="1" applyBorder="1"/>
    <xf numFmtId="0" fontId="3" fillId="0" borderId="93" xfId="0" applyFont="1" applyBorder="1"/>
    <xf numFmtId="164" fontId="3" fillId="0" borderId="92" xfId="0" applyNumberFormat="1" applyFont="1" applyBorder="1"/>
    <xf numFmtId="43" fontId="3" fillId="0" borderId="91" xfId="0" applyNumberFormat="1" applyFont="1" applyBorder="1"/>
    <xf numFmtId="43" fontId="1" fillId="8" borderId="110" xfId="0" applyNumberFormat="1" applyFont="1" applyFill="1" applyBorder="1"/>
    <xf numFmtId="0" fontId="1" fillId="8" borderId="70" xfId="0" applyFont="1" applyFill="1" applyBorder="1"/>
    <xf numFmtId="0" fontId="1" fillId="8" borderId="71" xfId="0" applyFont="1" applyFill="1" applyBorder="1"/>
    <xf numFmtId="164" fontId="3" fillId="0" borderId="80" xfId="0" applyNumberFormat="1" applyFont="1" applyBorder="1"/>
    <xf numFmtId="164" fontId="3" fillId="0" borderId="81" xfId="0" applyNumberFormat="1" applyFont="1" applyBorder="1"/>
    <xf numFmtId="168" fontId="3" fillId="0" borderId="81" xfId="0" applyNumberFormat="1" applyFont="1" applyBorder="1"/>
    <xf numFmtId="168" fontId="3" fillId="0" borderId="80" xfId="0" applyNumberFormat="1" applyFont="1" applyBorder="1"/>
    <xf numFmtId="43" fontId="3" fillId="0" borderId="80" xfId="0" applyNumberFormat="1" applyFont="1" applyBorder="1"/>
    <xf numFmtId="43" fontId="1" fillId="8" borderId="85" xfId="0" applyNumberFormat="1" applyFont="1" applyFill="1" applyBorder="1"/>
    <xf numFmtId="0" fontId="1" fillId="8" borderId="87" xfId="0" applyFont="1" applyFill="1" applyBorder="1"/>
    <xf numFmtId="164" fontId="1" fillId="0" borderId="81" xfId="0" applyNumberFormat="1" applyFont="1" applyBorder="1"/>
    <xf numFmtId="164" fontId="1" fillId="8" borderId="112" xfId="0" applyNumberFormat="1" applyFont="1" applyFill="1" applyBorder="1"/>
    <xf numFmtId="43" fontId="1" fillId="8" borderId="112" xfId="0" applyNumberFormat="1" applyFont="1" applyFill="1" applyBorder="1"/>
    <xf numFmtId="168" fontId="1" fillId="8" borderId="112" xfId="0" applyNumberFormat="1" applyFont="1" applyFill="1" applyBorder="1"/>
    <xf numFmtId="167" fontId="1" fillId="8" borderId="112" xfId="0" applyNumberFormat="1" applyFont="1" applyFill="1" applyBorder="1"/>
    <xf numFmtId="0" fontId="3" fillId="0" borderId="36" xfId="0" applyFont="1" applyBorder="1"/>
    <xf numFmtId="164" fontId="3" fillId="0" borderId="82" xfId="0" applyNumberFormat="1" applyFont="1" applyBorder="1"/>
    <xf numFmtId="164" fontId="1" fillId="8" borderId="87" xfId="0" applyNumberFormat="1" applyFont="1" applyFill="1" applyBorder="1"/>
    <xf numFmtId="164" fontId="3" fillId="0" borderId="84" xfId="0" applyNumberFormat="1" applyFont="1" applyBorder="1"/>
    <xf numFmtId="168" fontId="3" fillId="0" borderId="82" xfId="0" applyNumberFormat="1" applyFont="1" applyBorder="1"/>
    <xf numFmtId="164" fontId="3" fillId="0" borderId="83" xfId="0" applyNumberFormat="1" applyFont="1" applyBorder="1"/>
    <xf numFmtId="43" fontId="3" fillId="0" borderId="82" xfId="0" applyNumberFormat="1" applyFont="1" applyBorder="1"/>
    <xf numFmtId="0" fontId="4" fillId="0" borderId="0" xfId="0" quotePrefix="1" applyFont="1"/>
    <xf numFmtId="0" fontId="3" fillId="10" borderId="110" xfId="0" applyFont="1" applyFill="1" applyBorder="1"/>
    <xf numFmtId="0" fontId="3" fillId="10" borderId="111" xfId="0" applyFont="1" applyFill="1" applyBorder="1"/>
    <xf numFmtId="0" fontId="1" fillId="10" borderId="110" xfId="0" applyFont="1" applyFill="1" applyBorder="1"/>
    <xf numFmtId="0" fontId="3" fillId="10" borderId="113" xfId="0" applyFont="1" applyFill="1" applyBorder="1"/>
    <xf numFmtId="0" fontId="1" fillId="10" borderId="85" xfId="0" applyFont="1" applyFill="1" applyBorder="1" applyAlignment="1">
      <alignment horizontal="right"/>
    </xf>
    <xf numFmtId="0" fontId="1" fillId="10" borderId="85" xfId="0" applyFont="1" applyFill="1" applyBorder="1"/>
    <xf numFmtId="0" fontId="1" fillId="10" borderId="86" xfId="0" applyFont="1" applyFill="1" applyBorder="1"/>
    <xf numFmtId="0" fontId="1" fillId="10" borderId="86" xfId="0" applyFont="1" applyFill="1" applyBorder="1" applyAlignment="1">
      <alignment horizontal="right"/>
    </xf>
    <xf numFmtId="0" fontId="1" fillId="10" borderId="87" xfId="0" applyFont="1" applyFill="1" applyBorder="1"/>
    <xf numFmtId="0" fontId="1" fillId="10" borderId="87" xfId="0" applyFont="1" applyFill="1" applyBorder="1" applyAlignment="1">
      <alignment wrapText="1"/>
    </xf>
    <xf numFmtId="0" fontId="3" fillId="0" borderId="91" xfId="0" applyFont="1" applyBorder="1"/>
    <xf numFmtId="167" fontId="3" fillId="0" borderId="80" xfId="0" applyNumberFormat="1" applyFont="1" applyBorder="1"/>
    <xf numFmtId="169" fontId="3" fillId="0" borderId="81" xfId="0" applyNumberFormat="1" applyFont="1" applyBorder="1"/>
    <xf numFmtId="167" fontId="3" fillId="0" borderId="81" xfId="0" applyNumberFormat="1" applyFont="1" applyBorder="1"/>
    <xf numFmtId="167" fontId="1" fillId="8" borderId="1" xfId="0" applyNumberFormat="1" applyFont="1" applyFill="1" applyBorder="1"/>
    <xf numFmtId="170" fontId="1" fillId="8" borderId="1" xfId="0" applyNumberFormat="1" applyFont="1" applyFill="1" applyBorder="1"/>
    <xf numFmtId="167" fontId="1" fillId="0" borderId="82" xfId="0" applyNumberFormat="1" applyFont="1" applyBorder="1"/>
    <xf numFmtId="167" fontId="3" fillId="0" borderId="84" xfId="0" applyNumberFormat="1" applyFont="1" applyBorder="1"/>
    <xf numFmtId="43" fontId="3" fillId="0" borderId="92" xfId="0" applyNumberFormat="1" applyFont="1" applyBorder="1"/>
    <xf numFmtId="43" fontId="3" fillId="0" borderId="93" xfId="0" applyNumberFormat="1" applyFont="1" applyBorder="1"/>
    <xf numFmtId="43" fontId="3" fillId="0" borderId="81" xfId="0" applyNumberFormat="1" applyFont="1" applyBorder="1"/>
    <xf numFmtId="43" fontId="3" fillId="0" borderId="83" xfId="0" applyNumberFormat="1" applyFont="1" applyBorder="1"/>
    <xf numFmtId="43" fontId="3" fillId="0" borderId="84" xfId="0" applyNumberFormat="1" applyFont="1" applyBorder="1"/>
    <xf numFmtId="0" fontId="4" fillId="0" borderId="0" xfId="0" applyFont="1"/>
    <xf numFmtId="43" fontId="1" fillId="8" borderId="1" xfId="0" applyNumberFormat="1" applyFont="1" applyFill="1" applyBorder="1"/>
    <xf numFmtId="0" fontId="3" fillId="0" borderId="114" xfId="0" applyFont="1" applyBorder="1"/>
    <xf numFmtId="0" fontId="3" fillId="0" borderId="115" xfId="0" applyFont="1" applyBorder="1"/>
    <xf numFmtId="0" fontId="3" fillId="0" borderId="116" xfId="0" applyFont="1" applyBorder="1"/>
    <xf numFmtId="0" fontId="19" fillId="0" borderId="117" xfId="0" applyFont="1" applyBorder="1"/>
    <xf numFmtId="0" fontId="3" fillId="0" borderId="118" xfId="0" applyFont="1" applyBorder="1"/>
    <xf numFmtId="0" fontId="3" fillId="0" borderId="119" xfId="0" applyFont="1" applyBorder="1"/>
    <xf numFmtId="0" fontId="3" fillId="0" borderId="120" xfId="0" applyFont="1" applyBorder="1"/>
    <xf numFmtId="0" fontId="1" fillId="10" borderId="66" xfId="0" applyFont="1" applyFill="1" applyBorder="1" applyAlignment="1">
      <alignment horizontal="center" wrapText="1"/>
    </xf>
    <xf numFmtId="0" fontId="1" fillId="10" borderId="68" xfId="0" applyFont="1" applyFill="1" applyBorder="1" applyAlignment="1">
      <alignment horizontal="center" wrapText="1"/>
    </xf>
    <xf numFmtId="0" fontId="1" fillId="10" borderId="1" xfId="0" applyFont="1" applyFill="1" applyBorder="1" applyAlignment="1">
      <alignment horizontal="center" wrapText="1"/>
    </xf>
    <xf numFmtId="0" fontId="3" fillId="0" borderId="121" xfId="0" applyFont="1" applyBorder="1"/>
    <xf numFmtId="0" fontId="3" fillId="0" borderId="122" xfId="0" applyFont="1" applyBorder="1"/>
    <xf numFmtId="0" fontId="3" fillId="0" borderId="123" xfId="0" applyFont="1" applyBorder="1"/>
    <xf numFmtId="164" fontId="3" fillId="0" borderId="123" xfId="0" applyNumberFormat="1" applyFont="1" applyBorder="1"/>
    <xf numFmtId="43" fontId="3" fillId="0" borderId="75" xfId="0" applyNumberFormat="1" applyFont="1" applyBorder="1"/>
    <xf numFmtId="164" fontId="3" fillId="10" borderId="9" xfId="0" applyNumberFormat="1" applyFont="1" applyFill="1" applyBorder="1"/>
    <xf numFmtId="164" fontId="3" fillId="10" borderId="57" xfId="0" applyNumberFormat="1" applyFont="1" applyFill="1" applyBorder="1"/>
    <xf numFmtId="43" fontId="3" fillId="0" borderId="5" xfId="0" applyNumberFormat="1" applyFont="1" applyBorder="1"/>
    <xf numFmtId="0" fontId="3" fillId="0" borderId="6" xfId="0" applyFont="1" applyBorder="1"/>
    <xf numFmtId="0" fontId="3" fillId="0" borderId="46" xfId="0" applyFont="1" applyBorder="1"/>
    <xf numFmtId="164" fontId="3" fillId="0" borderId="46" xfId="0" applyNumberFormat="1" applyFont="1" applyBorder="1"/>
    <xf numFmtId="43" fontId="3" fillId="0" borderId="124" xfId="0" applyNumberFormat="1" applyFont="1" applyBorder="1"/>
    <xf numFmtId="164" fontId="3" fillId="10" borderId="35" xfId="0" applyNumberFormat="1" applyFont="1" applyFill="1" applyBorder="1"/>
    <xf numFmtId="167" fontId="1" fillId="9" borderId="76" xfId="0" applyNumberFormat="1" applyFont="1" applyFill="1" applyBorder="1"/>
    <xf numFmtId="167" fontId="3" fillId="9" borderId="76" xfId="0" applyNumberFormat="1" applyFont="1" applyFill="1" applyBorder="1"/>
    <xf numFmtId="0" fontId="3" fillId="9" borderId="125" xfId="0" applyFont="1" applyFill="1" applyBorder="1"/>
    <xf numFmtId="0" fontId="3" fillId="0" borderId="126" xfId="0" applyFont="1" applyBorder="1"/>
    <xf numFmtId="0" fontId="1" fillId="0" borderId="127" xfId="0" applyFont="1" applyBorder="1"/>
    <xf numFmtId="0" fontId="1" fillId="0" borderId="128" xfId="0" applyFont="1" applyBorder="1"/>
    <xf numFmtId="0" fontId="1" fillId="0" borderId="129" xfId="0" applyFont="1" applyBorder="1"/>
    <xf numFmtId="0" fontId="3" fillId="0" borderId="129" xfId="0" applyFont="1" applyBorder="1"/>
    <xf numFmtId="0" fontId="1" fillId="10" borderId="65" xfId="0" applyFont="1" applyFill="1" applyBorder="1" applyAlignment="1">
      <alignment horizontal="center" wrapText="1"/>
    </xf>
    <xf numFmtId="0" fontId="1" fillId="10" borderId="69" xfId="0" applyFont="1" applyFill="1" applyBorder="1" applyAlignment="1">
      <alignment horizontal="center" wrapText="1"/>
    </xf>
    <xf numFmtId="0" fontId="20" fillId="0" borderId="0" xfId="0" applyFont="1" applyAlignment="1">
      <alignment horizontal="center" wrapText="1"/>
    </xf>
    <xf numFmtId="0" fontId="21" fillId="0" borderId="0" xfId="0" applyFont="1"/>
    <xf numFmtId="0" fontId="20" fillId="0" borderId="132" xfId="0" applyFont="1" applyBorder="1" applyAlignment="1">
      <alignment horizontal="center" wrapText="1"/>
    </xf>
    <xf numFmtId="0" fontId="20" fillId="0" borderId="129" xfId="0" applyFont="1" applyBorder="1" applyAlignment="1">
      <alignment horizontal="center" wrapText="1"/>
    </xf>
    <xf numFmtId="0" fontId="21" fillId="0" borderId="129" xfId="0" applyFont="1" applyBorder="1"/>
    <xf numFmtId="0" fontId="3" fillId="0" borderId="48" xfId="0" applyFont="1" applyBorder="1"/>
    <xf numFmtId="3" fontId="3" fillId="0" borderId="53" xfId="0" applyNumberFormat="1" applyFont="1" applyBorder="1"/>
    <xf numFmtId="167" fontId="3" fillId="0" borderId="51" xfId="0" applyNumberFormat="1" applyFont="1" applyBorder="1"/>
    <xf numFmtId="0" fontId="21" fillId="0" borderId="132" xfId="0" applyFont="1" applyBorder="1"/>
    <xf numFmtId="0" fontId="22" fillId="0" borderId="0" xfId="0" applyFont="1"/>
    <xf numFmtId="0" fontId="3" fillId="0" borderId="57" xfId="0" applyFont="1" applyBorder="1"/>
    <xf numFmtId="167" fontId="21" fillId="0" borderId="129" xfId="0" applyNumberFormat="1" applyFont="1" applyBorder="1"/>
    <xf numFmtId="167" fontId="4" fillId="0" borderId="59" xfId="0" applyNumberFormat="1" applyFont="1" applyBorder="1"/>
    <xf numFmtId="167" fontId="4" fillId="0" borderId="58" xfId="0" applyNumberFormat="1" applyFont="1" applyBorder="1"/>
    <xf numFmtId="164" fontId="4" fillId="0" borderId="51" xfId="0" applyNumberFormat="1" applyFont="1" applyBorder="1"/>
    <xf numFmtId="167" fontId="4" fillId="0" borderId="51" xfId="0" applyNumberFormat="1" applyFont="1" applyBorder="1"/>
    <xf numFmtId="167" fontId="4" fillId="0" borderId="60" xfId="0" applyNumberFormat="1" applyFont="1" applyBorder="1"/>
    <xf numFmtId="167" fontId="4" fillId="0" borderId="0" xfId="0" applyNumberFormat="1" applyFont="1"/>
    <xf numFmtId="0" fontId="3" fillId="0" borderId="133" xfId="0" applyFont="1" applyBorder="1"/>
    <xf numFmtId="0" fontId="3" fillId="0" borderId="132" xfId="0" applyFont="1" applyBorder="1"/>
    <xf numFmtId="0" fontId="3" fillId="0" borderId="134" xfId="0" applyFont="1" applyBorder="1"/>
    <xf numFmtId="167" fontId="4" fillId="0" borderId="32" xfId="0" applyNumberFormat="1" applyFont="1" applyBorder="1"/>
    <xf numFmtId="167" fontId="4" fillId="0" borderId="34" xfId="0" applyNumberFormat="1" applyFont="1" applyBorder="1"/>
    <xf numFmtId="0" fontId="3" fillId="11" borderId="42" xfId="0" applyFont="1" applyFill="1" applyBorder="1"/>
    <xf numFmtId="167" fontId="4" fillId="11" borderId="40" xfId="0" applyNumberFormat="1" applyFont="1" applyFill="1" applyBorder="1"/>
    <xf numFmtId="167" fontId="3" fillId="11" borderId="38" xfId="0" applyNumberFormat="1" applyFont="1" applyFill="1" applyBorder="1"/>
    <xf numFmtId="164" fontId="3" fillId="11" borderId="38" xfId="0" applyNumberFormat="1" applyFont="1" applyFill="1" applyBorder="1"/>
    <xf numFmtId="0" fontId="3" fillId="11" borderId="38" xfId="0" applyFont="1" applyFill="1" applyBorder="1"/>
    <xf numFmtId="167" fontId="4" fillId="11" borderId="44" xfId="0" applyNumberFormat="1" applyFont="1" applyFill="1" applyBorder="1"/>
    <xf numFmtId="167" fontId="23" fillId="11" borderId="76" xfId="0" applyNumberFormat="1" applyFont="1" applyFill="1" applyBorder="1"/>
    <xf numFmtId="0" fontId="3" fillId="0" borderId="135" xfId="0" applyFont="1" applyBorder="1"/>
    <xf numFmtId="167" fontId="4" fillId="0" borderId="135" xfId="0" applyNumberFormat="1" applyFont="1" applyBorder="1"/>
    <xf numFmtId="167" fontId="1" fillId="0" borderId="135" xfId="0" applyNumberFormat="1" applyFont="1" applyBorder="1"/>
    <xf numFmtId="167" fontId="4" fillId="0" borderId="79" xfId="0" applyNumberFormat="1" applyFont="1" applyBorder="1"/>
    <xf numFmtId="167" fontId="3" fillId="0" borderId="79" xfId="0" applyNumberFormat="1" applyFont="1" applyBorder="1"/>
    <xf numFmtId="0" fontId="24" fillId="0" borderId="0" xfId="0" applyFont="1"/>
    <xf numFmtId="175" fontId="21" fillId="0" borderId="129" xfId="0" applyNumberFormat="1" applyFont="1" applyBorder="1"/>
    <xf numFmtId="9" fontId="21" fillId="0" borderId="129" xfId="0" applyNumberFormat="1" applyFont="1" applyBorder="1"/>
    <xf numFmtId="0" fontId="3" fillId="0" borderId="92" xfId="0" applyFont="1" applyBorder="1"/>
    <xf numFmtId="0" fontId="25" fillId="0" borderId="92" xfId="0" applyFont="1" applyBorder="1"/>
    <xf numFmtId="0" fontId="3" fillId="8" borderId="1" xfId="0" applyFont="1" applyFill="1" applyBorder="1"/>
    <xf numFmtId="0" fontId="3" fillId="0" borderId="0" xfId="0" applyFont="1" applyAlignment="1">
      <alignment wrapText="1"/>
    </xf>
    <xf numFmtId="0" fontId="3" fillId="10" borderId="1" xfId="0" applyFont="1" applyFill="1" applyBorder="1" applyAlignment="1">
      <alignment wrapText="1"/>
    </xf>
    <xf numFmtId="0" fontId="3" fillId="10" borderId="70" xfId="0" applyFont="1" applyFill="1" applyBorder="1" applyAlignment="1">
      <alignment horizontal="center" wrapText="1"/>
    </xf>
    <xf numFmtId="0" fontId="3" fillId="10" borderId="71" xfId="0" applyFont="1" applyFill="1" applyBorder="1" applyAlignment="1">
      <alignment horizontal="center" wrapText="1"/>
    </xf>
    <xf numFmtId="0" fontId="3" fillId="10" borderId="90" xfId="0" applyFont="1" applyFill="1" applyBorder="1" applyAlignment="1">
      <alignment horizontal="center" wrapText="1"/>
    </xf>
    <xf numFmtId="0" fontId="1" fillId="10" borderId="113" xfId="0" applyFont="1" applyFill="1" applyBorder="1" applyAlignment="1">
      <alignment horizontal="center" wrapText="1"/>
    </xf>
    <xf numFmtId="43" fontId="3" fillId="0" borderId="17" xfId="0" applyNumberFormat="1" applyFont="1" applyBorder="1"/>
    <xf numFmtId="43" fontId="3" fillId="0" borderId="18" xfId="0" applyNumberFormat="1" applyFont="1" applyBorder="1"/>
    <xf numFmtId="2" fontId="3" fillId="0" borderId="18" xfId="0" applyNumberFormat="1" applyFont="1" applyBorder="1"/>
    <xf numFmtId="43" fontId="3" fillId="0" borderId="77" xfId="0" applyNumberFormat="1" applyFont="1" applyBorder="1"/>
    <xf numFmtId="43" fontId="3" fillId="0" borderId="59" xfId="0" applyNumberFormat="1" applyFont="1" applyBorder="1"/>
    <xf numFmtId="0" fontId="3" fillId="12" borderId="136" xfId="0" applyFont="1" applyFill="1" applyBorder="1"/>
    <xf numFmtId="164" fontId="3" fillId="12" borderId="76" xfId="0" applyNumberFormat="1" applyFont="1" applyFill="1" applyBorder="1"/>
    <xf numFmtId="164" fontId="3" fillId="12" borderId="112" xfId="0" applyNumberFormat="1" applyFont="1" applyFill="1" applyBorder="1"/>
    <xf numFmtId="43" fontId="3" fillId="12" borderId="59" xfId="0" applyNumberFormat="1" applyFont="1" applyFill="1" applyBorder="1"/>
    <xf numFmtId="43" fontId="3" fillId="12" borderId="58" xfId="0" applyNumberFormat="1" applyFont="1" applyFill="1" applyBorder="1"/>
    <xf numFmtId="2" fontId="3" fillId="12" borderId="18" xfId="0" applyNumberFormat="1" applyFont="1" applyFill="1" applyBorder="1"/>
    <xf numFmtId="43" fontId="3" fillId="12" borderId="18" xfId="0" applyNumberFormat="1" applyFont="1" applyFill="1" applyBorder="1"/>
    <xf numFmtId="43" fontId="3" fillId="12" borderId="60" xfId="0" applyNumberFormat="1" applyFont="1" applyFill="1" applyBorder="1"/>
    <xf numFmtId="43" fontId="1" fillId="12" borderId="76" xfId="0" applyNumberFormat="1" applyFont="1" applyFill="1" applyBorder="1"/>
    <xf numFmtId="43" fontId="3" fillId="0" borderId="40" xfId="0" applyNumberFormat="1" applyFont="1" applyBorder="1"/>
    <xf numFmtId="43" fontId="3" fillId="0" borderId="38" xfId="0" applyNumberFormat="1" applyFont="1" applyBorder="1"/>
    <xf numFmtId="43" fontId="3" fillId="0" borderId="44" xfId="0" applyNumberFormat="1" applyFont="1" applyBorder="1"/>
    <xf numFmtId="0" fontId="3" fillId="11" borderId="85" xfId="0" applyFont="1" applyFill="1" applyBorder="1"/>
    <xf numFmtId="164" fontId="3" fillId="11" borderId="86" xfId="0" applyNumberFormat="1" applyFont="1" applyFill="1" applyBorder="1"/>
    <xf numFmtId="164" fontId="3" fillId="11" borderId="87" xfId="0" applyNumberFormat="1" applyFont="1" applyFill="1" applyBorder="1"/>
    <xf numFmtId="43" fontId="3" fillId="11" borderId="70" xfId="0" applyNumberFormat="1" applyFont="1" applyFill="1" applyBorder="1"/>
    <xf numFmtId="43" fontId="3" fillId="11" borderId="71" xfId="0" applyNumberFormat="1" applyFont="1" applyFill="1" applyBorder="1"/>
    <xf numFmtId="2" fontId="3" fillId="11" borderId="66" xfId="0" applyNumberFormat="1" applyFont="1" applyFill="1" applyBorder="1"/>
    <xf numFmtId="43" fontId="3" fillId="11" borderId="66" xfId="0" applyNumberFormat="1" applyFont="1" applyFill="1" applyBorder="1"/>
    <xf numFmtId="43" fontId="3" fillId="11" borderId="90" xfId="0" applyNumberFormat="1" applyFont="1" applyFill="1" applyBorder="1"/>
    <xf numFmtId="0" fontId="1" fillId="0" borderId="0" xfId="0" applyFont="1" applyAlignment="1">
      <alignment horizontal="center" wrapText="1"/>
    </xf>
    <xf numFmtId="2" fontId="3" fillId="0" borderId="0" xfId="0" applyNumberFormat="1" applyFont="1"/>
    <xf numFmtId="176" fontId="1" fillId="8" borderId="76" xfId="0" applyNumberFormat="1" applyFont="1" applyFill="1" applyBorder="1"/>
    <xf numFmtId="0" fontId="1" fillId="0" borderId="1" xfId="0" applyFont="1" applyBorder="1"/>
    <xf numFmtId="177" fontId="3" fillId="0" borderId="0" xfId="0" applyNumberFormat="1" applyFont="1" applyAlignment="1">
      <alignment horizontal="center"/>
    </xf>
    <xf numFmtId="2" fontId="3" fillId="13" borderId="76" xfId="0" applyNumberFormat="1" applyFont="1" applyFill="1" applyBorder="1"/>
    <xf numFmtId="164" fontId="3" fillId="13" borderId="76" xfId="0" applyNumberFormat="1" applyFont="1" applyFill="1" applyBorder="1"/>
    <xf numFmtId="43" fontId="3" fillId="13" borderId="76" xfId="0" applyNumberFormat="1" applyFont="1" applyFill="1" applyBorder="1"/>
    <xf numFmtId="0" fontId="3" fillId="8" borderId="35" xfId="0" applyFont="1" applyFill="1" applyBorder="1"/>
    <xf numFmtId="178" fontId="1" fillId="8" borderId="76" xfId="0" applyNumberFormat="1" applyFont="1" applyFill="1" applyBorder="1"/>
    <xf numFmtId="171" fontId="1" fillId="8" borderId="70" xfId="0" applyNumberFormat="1" applyFont="1" applyFill="1" applyBorder="1"/>
    <xf numFmtId="178" fontId="1" fillId="8" borderId="90" xfId="0" applyNumberFormat="1" applyFont="1" applyFill="1" applyBorder="1"/>
    <xf numFmtId="0" fontId="1" fillId="14" borderId="76" xfId="0" applyFont="1" applyFill="1" applyBorder="1"/>
    <xf numFmtId="0" fontId="3" fillId="14" borderId="76" xfId="0" applyFont="1" applyFill="1" applyBorder="1" applyAlignment="1">
      <alignment horizontal="center"/>
    </xf>
    <xf numFmtId="0" fontId="3" fillId="14" borderId="76" xfId="0" applyFont="1" applyFill="1" applyBorder="1"/>
    <xf numFmtId="0" fontId="1" fillId="10" borderId="71" xfId="0" applyFont="1" applyFill="1" applyBorder="1" applyAlignment="1">
      <alignment horizontal="center"/>
    </xf>
    <xf numFmtId="0" fontId="1" fillId="0" borderId="91" xfId="0" applyFont="1" applyBorder="1"/>
    <xf numFmtId="0" fontId="3" fillId="0" borderId="92" xfId="0" applyFont="1" applyBorder="1" applyAlignment="1">
      <alignment horizontal="center"/>
    </xf>
    <xf numFmtId="0" fontId="3" fillId="0" borderId="93" xfId="0" applyFont="1" applyBorder="1" applyAlignment="1">
      <alignment horizontal="center"/>
    </xf>
    <xf numFmtId="0" fontId="1" fillId="0" borderId="82" xfId="0" applyFont="1" applyBorder="1"/>
    <xf numFmtId="0" fontId="3" fillId="10" borderId="65" xfId="0" applyFont="1" applyFill="1" applyBorder="1"/>
    <xf numFmtId="176" fontId="3" fillId="0" borderId="0" xfId="0" applyNumberFormat="1" applyFont="1"/>
    <xf numFmtId="164" fontId="3" fillId="0" borderId="51" xfId="0" applyNumberFormat="1" applyFont="1" applyBorder="1" applyAlignment="1">
      <alignment horizontal="center" vertical="center"/>
    </xf>
    <xf numFmtId="164" fontId="3" fillId="0" borderId="54" xfId="0" applyNumberFormat="1" applyFont="1" applyBorder="1" applyAlignment="1">
      <alignment horizontal="center"/>
    </xf>
    <xf numFmtId="164" fontId="3" fillId="0" borderId="48" xfId="0" applyNumberFormat="1" applyFont="1" applyBorder="1"/>
    <xf numFmtId="164" fontId="3" fillId="0" borderId="17" xfId="0" applyNumberFormat="1" applyFont="1" applyBorder="1"/>
    <xf numFmtId="164" fontId="3" fillId="0" borderId="77" xfId="0" applyNumberFormat="1" applyFont="1" applyBorder="1"/>
    <xf numFmtId="43" fontId="3" fillId="0" borderId="48" xfId="0" applyNumberFormat="1" applyFont="1" applyBorder="1"/>
    <xf numFmtId="179" fontId="3" fillId="0" borderId="1" xfId="0" applyNumberFormat="1" applyFont="1" applyBorder="1"/>
    <xf numFmtId="179" fontId="3" fillId="0" borderId="0" xfId="0" applyNumberFormat="1" applyFont="1"/>
    <xf numFmtId="43" fontId="21" fillId="0" borderId="81" xfId="0" applyNumberFormat="1" applyFont="1" applyBorder="1"/>
    <xf numFmtId="164" fontId="3" fillId="0" borderId="58" xfId="0" applyNumberFormat="1" applyFont="1" applyBorder="1" applyAlignment="1">
      <alignment horizontal="center" vertical="center"/>
    </xf>
    <xf numFmtId="164" fontId="3" fillId="0" borderId="60" xfId="0" applyNumberFormat="1" applyFont="1" applyBorder="1" applyAlignment="1">
      <alignment horizontal="center"/>
    </xf>
    <xf numFmtId="164" fontId="3" fillId="0" borderId="57" xfId="0" applyNumberFormat="1" applyFont="1" applyBorder="1"/>
    <xf numFmtId="164" fontId="3" fillId="0" borderId="25" xfId="0" applyNumberFormat="1" applyFont="1" applyBorder="1"/>
    <xf numFmtId="179" fontId="21" fillId="0" borderId="81" xfId="0" applyNumberFormat="1" applyFont="1" applyBorder="1"/>
    <xf numFmtId="0" fontId="3" fillId="0" borderId="5" xfId="0" applyFont="1" applyBorder="1"/>
    <xf numFmtId="0" fontId="3" fillId="0" borderId="3" xfId="0" applyFont="1" applyBorder="1"/>
    <xf numFmtId="0" fontId="21" fillId="0" borderId="81" xfId="0" applyFont="1" applyBorder="1"/>
    <xf numFmtId="0" fontId="3" fillId="12" borderId="59" xfId="0" applyFont="1" applyFill="1" applyBorder="1"/>
    <xf numFmtId="43" fontId="1" fillId="8" borderId="76" xfId="0" applyNumberFormat="1" applyFont="1" applyFill="1" applyBorder="1"/>
    <xf numFmtId="0" fontId="3" fillId="11" borderId="40" xfId="0" applyFont="1" applyFill="1" applyBorder="1"/>
    <xf numFmtId="164" fontId="3" fillId="0" borderId="38" xfId="0" applyNumberFormat="1" applyFont="1" applyBorder="1" applyAlignment="1">
      <alignment horizontal="center" vertical="center"/>
    </xf>
    <xf numFmtId="164" fontId="3" fillId="0" borderId="44" xfId="0" applyNumberFormat="1" applyFont="1" applyBorder="1"/>
    <xf numFmtId="164" fontId="3" fillId="0" borderId="64" xfId="0" applyNumberFormat="1" applyFont="1" applyBorder="1"/>
    <xf numFmtId="43" fontId="3" fillId="0" borderId="1" xfId="0" applyNumberFormat="1" applyFont="1" applyBorder="1"/>
    <xf numFmtId="0" fontId="1" fillId="14" borderId="110" xfId="0" applyFont="1" applyFill="1" applyBorder="1"/>
    <xf numFmtId="0" fontId="3" fillId="14" borderId="113" xfId="0" applyFont="1" applyFill="1" applyBorder="1"/>
    <xf numFmtId="0" fontId="3" fillId="14" borderId="111" xfId="0" applyFont="1" applyFill="1" applyBorder="1"/>
    <xf numFmtId="0" fontId="3" fillId="10" borderId="71" xfId="0" applyFont="1" applyFill="1" applyBorder="1"/>
    <xf numFmtId="164" fontId="3" fillId="0" borderId="93" xfId="0" applyNumberFormat="1" applyFont="1" applyBorder="1"/>
    <xf numFmtId="0" fontId="3" fillId="8" borderId="136" xfId="0" applyFont="1" applyFill="1" applyBorder="1"/>
    <xf numFmtId="164" fontId="3" fillId="8" borderId="76" xfId="0" applyNumberFormat="1" applyFont="1" applyFill="1" applyBorder="1"/>
    <xf numFmtId="0" fontId="3" fillId="8" borderId="76" xfId="0" applyFont="1" applyFill="1" applyBorder="1"/>
    <xf numFmtId="43" fontId="3" fillId="8" borderId="76" xfId="0" applyNumberFormat="1" applyFont="1" applyFill="1" applyBorder="1"/>
    <xf numFmtId="164" fontId="3" fillId="8" borderId="112" xfId="0" applyNumberFormat="1" applyFont="1" applyFill="1" applyBorder="1"/>
    <xf numFmtId="0" fontId="3" fillId="8" borderId="85" xfId="0" applyFont="1" applyFill="1" applyBorder="1"/>
    <xf numFmtId="164" fontId="3" fillId="8" borderId="86" xfId="0" applyNumberFormat="1" applyFont="1" applyFill="1" applyBorder="1"/>
    <xf numFmtId="0" fontId="3" fillId="8" borderId="86" xfId="0" applyFont="1" applyFill="1" applyBorder="1"/>
    <xf numFmtId="43" fontId="3" fillId="8" borderId="86" xfId="0" applyNumberFormat="1" applyFont="1" applyFill="1" applyBorder="1"/>
    <xf numFmtId="164" fontId="3" fillId="8" borderId="87" xfId="0" applyNumberFormat="1" applyFont="1" applyFill="1" applyBorder="1"/>
    <xf numFmtId="43" fontId="3" fillId="0" borderId="3" xfId="0" applyNumberFormat="1" applyFont="1" applyBorder="1"/>
    <xf numFmtId="43" fontId="1" fillId="8" borderId="86" xfId="0" applyNumberFormat="1" applyFont="1" applyFill="1" applyBorder="1"/>
    <xf numFmtId="0" fontId="1" fillId="10" borderId="1" xfId="0" applyFont="1" applyFill="1" applyBorder="1" applyAlignment="1">
      <alignment horizontal="center"/>
    </xf>
    <xf numFmtId="0" fontId="3" fillId="0" borderId="14" xfId="0" applyFont="1" applyBorder="1"/>
    <xf numFmtId="164" fontId="3" fillId="0" borderId="48" xfId="0" applyNumberFormat="1" applyFont="1" applyBorder="1" applyAlignment="1">
      <alignment horizontal="center"/>
    </xf>
    <xf numFmtId="164" fontId="3" fillId="0" borderId="15" xfId="0" applyNumberFormat="1" applyFont="1" applyBorder="1"/>
    <xf numFmtId="43" fontId="3" fillId="0" borderId="14" xfId="0" applyNumberFormat="1" applyFont="1" applyBorder="1"/>
    <xf numFmtId="43" fontId="3" fillId="0" borderId="15" xfId="0" applyNumberFormat="1" applyFont="1" applyBorder="1"/>
    <xf numFmtId="164" fontId="3" fillId="0" borderId="57" xfId="0" applyNumberFormat="1" applyFont="1" applyBorder="1" applyAlignment="1">
      <alignment horizontal="center"/>
    </xf>
    <xf numFmtId="43" fontId="3" fillId="0" borderId="57" xfId="0" applyNumberFormat="1" applyFont="1" applyBorder="1"/>
    <xf numFmtId="43" fontId="3" fillId="0" borderId="26" xfId="0" applyNumberFormat="1" applyFont="1" applyBorder="1"/>
    <xf numFmtId="0" fontId="3" fillId="3" borderId="137" xfId="0" applyFont="1" applyFill="1" applyBorder="1"/>
    <xf numFmtId="164" fontId="3" fillId="3" borderId="57" xfId="0" applyNumberFormat="1" applyFont="1" applyFill="1" applyBorder="1" applyAlignment="1">
      <alignment horizontal="center"/>
    </xf>
    <xf numFmtId="164" fontId="3" fillId="3" borderId="138" xfId="0" applyNumberFormat="1" applyFont="1" applyFill="1" applyBorder="1"/>
    <xf numFmtId="43" fontId="3" fillId="3" borderId="139" xfId="0" applyNumberFormat="1" applyFont="1" applyFill="1" applyBorder="1"/>
    <xf numFmtId="43" fontId="3" fillId="3" borderId="57" xfId="0" applyNumberFormat="1" applyFont="1" applyFill="1" applyBorder="1"/>
    <xf numFmtId="43" fontId="3" fillId="3" borderId="138" xfId="0" applyNumberFormat="1" applyFont="1" applyFill="1" applyBorder="1"/>
    <xf numFmtId="43" fontId="21" fillId="0" borderId="0" xfId="0" applyNumberFormat="1" applyFont="1"/>
    <xf numFmtId="164" fontId="3" fillId="3" borderId="57" xfId="0" applyNumberFormat="1" applyFont="1" applyFill="1" applyBorder="1"/>
    <xf numFmtId="0" fontId="3" fillId="3" borderId="42" xfId="0" applyFont="1" applyFill="1" applyBorder="1"/>
    <xf numFmtId="43" fontId="3" fillId="3" borderId="64" xfId="0" applyNumberFormat="1" applyFont="1" applyFill="1" applyBorder="1"/>
    <xf numFmtId="43" fontId="3" fillId="3" borderId="37" xfId="0" applyNumberFormat="1" applyFont="1" applyFill="1" applyBorder="1"/>
    <xf numFmtId="43" fontId="3" fillId="3" borderId="41" xfId="0" applyNumberFormat="1" applyFont="1" applyFill="1" applyBorder="1"/>
    <xf numFmtId="0" fontId="26" fillId="10" borderId="113" xfId="0" applyFont="1" applyFill="1" applyBorder="1"/>
    <xf numFmtId="0" fontId="1" fillId="10" borderId="113" xfId="0" applyFont="1" applyFill="1" applyBorder="1"/>
    <xf numFmtId="0" fontId="1" fillId="10" borderId="111" xfId="0" applyFont="1" applyFill="1" applyBorder="1"/>
    <xf numFmtId="180" fontId="3" fillId="0" borderId="80" xfId="0" applyNumberFormat="1" applyFont="1" applyBorder="1"/>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1" fillId="10" borderId="136" xfId="0" applyFont="1" applyFill="1" applyBorder="1"/>
    <xf numFmtId="0" fontId="1" fillId="10" borderId="76" xfId="0" applyFont="1" applyFill="1" applyBorder="1"/>
    <xf numFmtId="0" fontId="1" fillId="10" borderId="112" xfId="0" applyFont="1" applyFill="1" applyBorder="1"/>
    <xf numFmtId="0" fontId="1" fillId="8" borderId="110" xfId="0" applyFont="1" applyFill="1" applyBorder="1"/>
    <xf numFmtId="0" fontId="3" fillId="8" borderId="113" xfId="0" applyFont="1" applyFill="1" applyBorder="1"/>
    <xf numFmtId="0" fontId="3" fillId="8" borderId="111" xfId="0" applyFont="1" applyFill="1" applyBorder="1"/>
    <xf numFmtId="0" fontId="3" fillId="15" borderId="136" xfId="0" applyFont="1" applyFill="1" applyBorder="1" applyAlignment="1">
      <alignment horizontal="center" vertical="center"/>
    </xf>
    <xf numFmtId="0" fontId="3" fillId="15" borderId="76" xfId="0" applyFont="1" applyFill="1" applyBorder="1" applyAlignment="1">
      <alignment horizontal="center" vertical="center"/>
    </xf>
    <xf numFmtId="0" fontId="3" fillId="15" borderId="112" xfId="0" applyFont="1" applyFill="1" applyBorder="1" applyAlignment="1">
      <alignment horizontal="center" vertical="center"/>
    </xf>
    <xf numFmtId="181" fontId="1" fillId="8" borderId="1" xfId="0" applyNumberFormat="1" applyFont="1" applyFill="1" applyBorder="1"/>
    <xf numFmtId="0" fontId="3" fillId="8" borderId="87" xfId="0" applyFont="1" applyFill="1" applyBorder="1"/>
    <xf numFmtId="177" fontId="3" fillId="15" borderId="136" xfId="0" applyNumberFormat="1" applyFont="1" applyFill="1" applyBorder="1" applyAlignment="1">
      <alignment horizontal="center" vertical="center"/>
    </xf>
    <xf numFmtId="0" fontId="3" fillId="10" borderId="76" xfId="0" applyFont="1" applyFill="1" applyBorder="1"/>
    <xf numFmtId="0" fontId="3" fillId="10" borderId="112" xfId="0" applyFont="1" applyFill="1" applyBorder="1"/>
    <xf numFmtId="0" fontId="3" fillId="0" borderId="80" xfId="0" applyFont="1" applyBorder="1" applyAlignment="1">
      <alignment horizontal="center"/>
    </xf>
    <xf numFmtId="0" fontId="3" fillId="0" borderId="81" xfId="0" applyFont="1" applyBorder="1" applyAlignment="1">
      <alignment horizontal="center"/>
    </xf>
    <xf numFmtId="174" fontId="3" fillId="0" borderId="83" xfId="0" applyNumberFormat="1" applyFont="1" applyBorder="1"/>
    <xf numFmtId="0" fontId="1" fillId="0" borderId="80" xfId="0" applyFont="1" applyBorder="1"/>
    <xf numFmtId="182" fontId="1" fillId="8" borderId="1" xfId="0" applyNumberFormat="1" applyFont="1" applyFill="1" applyBorder="1"/>
    <xf numFmtId="0" fontId="1" fillId="8" borderId="136" xfId="0" applyFont="1" applyFill="1" applyBorder="1" applyAlignment="1">
      <alignment horizontal="center"/>
    </xf>
    <xf numFmtId="0" fontId="1" fillId="8" borderId="76" xfId="0" applyFont="1" applyFill="1" applyBorder="1" applyAlignment="1">
      <alignment horizontal="center"/>
    </xf>
    <xf numFmtId="0" fontId="1" fillId="8" borderId="112" xfId="0" applyFont="1" applyFill="1" applyBorder="1" applyAlignment="1">
      <alignment horizontal="center"/>
    </xf>
    <xf numFmtId="0" fontId="3" fillId="0" borderId="91" xfId="0" applyFont="1" applyBorder="1" applyAlignment="1">
      <alignment horizontal="right"/>
    </xf>
    <xf numFmtId="0" fontId="3" fillId="0" borderId="92" xfId="0" applyFont="1" applyBorder="1" applyAlignment="1">
      <alignment horizontal="left"/>
    </xf>
    <xf numFmtId="0" fontId="3" fillId="8" borderId="137" xfId="0" applyFont="1" applyFill="1" applyBorder="1" applyAlignment="1">
      <alignment horizontal="center"/>
    </xf>
    <xf numFmtId="0" fontId="3" fillId="8" borderId="28" xfId="0" applyFont="1" applyFill="1" applyBorder="1" applyAlignment="1">
      <alignment horizontal="center"/>
    </xf>
    <xf numFmtId="0" fontId="3" fillId="8" borderId="138" xfId="0" applyFont="1" applyFill="1" applyBorder="1" applyAlignment="1">
      <alignment horizontal="center"/>
    </xf>
    <xf numFmtId="0" fontId="3" fillId="0" borderId="80" xfId="0" applyFont="1" applyBorder="1" applyAlignment="1">
      <alignment horizontal="right"/>
    </xf>
    <xf numFmtId="0" fontId="3" fillId="0" borderId="0" xfId="0" applyFont="1" applyAlignment="1">
      <alignment horizontal="left"/>
    </xf>
    <xf numFmtId="174" fontId="3" fillId="8" borderId="76" xfId="0" applyNumberFormat="1" applyFont="1" applyFill="1" applyBorder="1"/>
    <xf numFmtId="0" fontId="3" fillId="8" borderId="112" xfId="0" applyFont="1" applyFill="1" applyBorder="1"/>
    <xf numFmtId="0" fontId="3" fillId="0" borderId="82" xfId="0" applyFont="1" applyBorder="1" applyAlignment="1">
      <alignment horizontal="right"/>
    </xf>
    <xf numFmtId="0" fontId="3" fillId="0" borderId="83" xfId="0" applyFont="1" applyBorder="1" applyAlignment="1">
      <alignment horizontal="left"/>
    </xf>
    <xf numFmtId="0" fontId="27" fillId="0" borderId="0" xfId="0" applyFont="1" applyAlignment="1">
      <alignment wrapText="1"/>
    </xf>
    <xf numFmtId="0" fontId="27" fillId="0" borderId="0" xfId="0" applyFont="1"/>
    <xf numFmtId="0" fontId="1" fillId="0" borderId="83" xfId="0" applyFont="1" applyBorder="1"/>
    <xf numFmtId="0" fontId="28" fillId="0" borderId="83" xfId="0" applyFont="1" applyBorder="1"/>
    <xf numFmtId="0" fontId="16" fillId="0" borderId="0" xfId="0" applyFont="1"/>
    <xf numFmtId="0" fontId="29" fillId="0" borderId="0" xfId="0" applyFont="1"/>
    <xf numFmtId="0" fontId="1" fillId="0" borderId="91" xfId="0" applyFont="1" applyBorder="1" applyAlignment="1">
      <alignment horizontal="center"/>
    </xf>
    <xf numFmtId="0" fontId="1" fillId="0" borderId="92" xfId="0" applyFont="1" applyBorder="1" applyAlignment="1">
      <alignment horizontal="center"/>
    </xf>
    <xf numFmtId="0" fontId="1" fillId="0" borderId="93" xfId="0" applyFont="1" applyBorder="1" applyAlignment="1">
      <alignment horizontal="center"/>
    </xf>
    <xf numFmtId="0" fontId="3" fillId="0" borderId="134" xfId="0" applyFont="1" applyBorder="1" applyAlignment="1">
      <alignment horizontal="center"/>
    </xf>
    <xf numFmtId="0" fontId="3" fillId="0" borderId="140" xfId="0" applyFont="1" applyBorder="1" applyAlignment="1">
      <alignment horizontal="center"/>
    </xf>
    <xf numFmtId="0" fontId="3" fillId="0" borderId="141" xfId="0" applyFont="1" applyBorder="1" applyAlignment="1">
      <alignment horizontal="center"/>
    </xf>
    <xf numFmtId="0" fontId="1" fillId="16" borderId="110" xfId="0" applyFont="1" applyFill="1" applyBorder="1"/>
    <xf numFmtId="0" fontId="3" fillId="16" borderId="113" xfId="0" applyFont="1" applyFill="1" applyBorder="1"/>
    <xf numFmtId="0" fontId="3" fillId="16" borderId="111" xfId="0" applyFont="1" applyFill="1" applyBorder="1"/>
    <xf numFmtId="0" fontId="1" fillId="0" borderId="5" xfId="0" applyFont="1" applyBorder="1" applyAlignment="1">
      <alignment horizontal="center" wrapText="1"/>
    </xf>
    <xf numFmtId="0" fontId="1" fillId="0" borderId="3"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wrapText="1"/>
    </xf>
    <xf numFmtId="167" fontId="3" fillId="0" borderId="91" xfId="0" applyNumberFormat="1" applyFont="1" applyBorder="1"/>
    <xf numFmtId="167" fontId="3" fillId="0" borderId="92" xfId="0" applyNumberFormat="1" applyFont="1" applyBorder="1"/>
    <xf numFmtId="43" fontId="3" fillId="0" borderId="10" xfId="0" applyNumberFormat="1" applyFont="1" applyBorder="1"/>
    <xf numFmtId="43" fontId="3" fillId="0" borderId="20" xfId="0" applyNumberFormat="1" applyFont="1" applyBorder="1"/>
    <xf numFmtId="0" fontId="1" fillId="8" borderId="136" xfId="0" applyFont="1" applyFill="1" applyBorder="1"/>
    <xf numFmtId="167" fontId="1" fillId="8" borderId="136" xfId="0" applyNumberFormat="1" applyFont="1" applyFill="1" applyBorder="1"/>
    <xf numFmtId="167" fontId="1" fillId="8" borderId="76" xfId="0" applyNumberFormat="1" applyFont="1" applyFill="1" applyBorder="1"/>
    <xf numFmtId="43" fontId="1" fillId="8" borderId="9" xfId="0" applyNumberFormat="1" applyFont="1" applyFill="1" applyBorder="1"/>
    <xf numFmtId="0" fontId="1" fillId="8" borderId="85" xfId="0" applyFont="1" applyFill="1" applyBorder="1"/>
    <xf numFmtId="167" fontId="1" fillId="8" borderId="85" xfId="0" applyNumberFormat="1" applyFont="1" applyFill="1" applyBorder="1"/>
    <xf numFmtId="167" fontId="1" fillId="8" borderId="86" xfId="0" applyNumberFormat="1" applyFont="1" applyFill="1" applyBorder="1"/>
    <xf numFmtId="167" fontId="1" fillId="8" borderId="87" xfId="0" applyNumberFormat="1" applyFont="1" applyFill="1" applyBorder="1"/>
    <xf numFmtId="43" fontId="1" fillId="8" borderId="35" xfId="0" applyNumberFormat="1" applyFont="1" applyFill="1" applyBorder="1"/>
    <xf numFmtId="0" fontId="3" fillId="0" borderId="83" xfId="0" quotePrefix="1" applyFont="1" applyBorder="1"/>
    <xf numFmtId="0" fontId="1" fillId="0" borderId="80" xfId="0" applyFont="1" applyBorder="1" applyAlignment="1">
      <alignment wrapText="1"/>
    </xf>
    <xf numFmtId="164" fontId="5" fillId="0" borderId="81" xfId="0" applyNumberFormat="1" applyFont="1" applyBorder="1"/>
    <xf numFmtId="167" fontId="6" fillId="8" borderId="87" xfId="0" applyNumberFormat="1" applyFont="1" applyFill="1" applyBorder="1"/>
    <xf numFmtId="43" fontId="6" fillId="8" borderId="35" xfId="0" applyNumberFormat="1" applyFont="1" applyFill="1" applyBorder="1"/>
    <xf numFmtId="167" fontId="1" fillId="8" borderId="71" xfId="0" applyNumberFormat="1" applyFont="1" applyFill="1" applyBorder="1"/>
    <xf numFmtId="167" fontId="6" fillId="8" borderId="71" xfId="0" applyNumberFormat="1" applyFont="1" applyFill="1" applyBorder="1"/>
    <xf numFmtId="43" fontId="6" fillId="8" borderId="90" xfId="0" applyNumberFormat="1" applyFont="1" applyFill="1" applyBorder="1"/>
    <xf numFmtId="167" fontId="6" fillId="8" borderId="85" xfId="0" applyNumberFormat="1" applyFont="1" applyFill="1" applyBorder="1"/>
    <xf numFmtId="43" fontId="1" fillId="8" borderId="90" xfId="0" applyNumberFormat="1" applyFont="1" applyFill="1" applyBorder="1"/>
    <xf numFmtId="0" fontId="3" fillId="0" borderId="142" xfId="0" applyFont="1" applyBorder="1"/>
    <xf numFmtId="0" fontId="1" fillId="16" borderId="111" xfId="0" applyFont="1" applyFill="1" applyBorder="1"/>
    <xf numFmtId="0" fontId="1" fillId="0" borderId="143" xfId="0" applyFont="1" applyBorder="1"/>
    <xf numFmtId="0" fontId="1" fillId="0" borderId="142" xfId="0" applyFont="1" applyBorder="1"/>
    <xf numFmtId="0" fontId="3" fillId="0" borderId="143" xfId="0" applyFont="1" applyBorder="1"/>
    <xf numFmtId="0" fontId="1" fillId="0" borderId="80" xfId="0" applyFont="1" applyBorder="1" applyAlignment="1">
      <alignment horizontal="right"/>
    </xf>
    <xf numFmtId="0" fontId="1" fillId="8" borderId="136" xfId="0" applyFont="1" applyFill="1" applyBorder="1" applyAlignment="1">
      <alignment horizontal="right"/>
    </xf>
    <xf numFmtId="0" fontId="1" fillId="8" borderId="85" xfId="0" applyFont="1" applyFill="1" applyBorder="1" applyAlignment="1">
      <alignment horizontal="right"/>
    </xf>
    <xf numFmtId="0" fontId="3" fillId="0" borderId="144" xfId="0" applyFont="1" applyBorder="1"/>
    <xf numFmtId="0" fontId="3" fillId="14" borderId="110" xfId="0" applyFont="1" applyFill="1" applyBorder="1"/>
    <xf numFmtId="0" fontId="1" fillId="14" borderId="136" xfId="0" applyFont="1" applyFill="1" applyBorder="1"/>
    <xf numFmtId="0" fontId="3" fillId="14" borderId="112" xfId="0" applyFont="1" applyFill="1" applyBorder="1"/>
    <xf numFmtId="167" fontId="1" fillId="0" borderId="0" xfId="0" applyNumberFormat="1" applyFont="1"/>
    <xf numFmtId="164" fontId="3" fillId="8" borderId="136" xfId="0" applyNumberFormat="1" applyFont="1" applyFill="1" applyBorder="1"/>
    <xf numFmtId="43" fontId="3" fillId="8" borderId="136" xfId="0" applyNumberFormat="1" applyFont="1" applyFill="1" applyBorder="1"/>
    <xf numFmtId="43" fontId="3" fillId="8" borderId="85" xfId="0" applyNumberFormat="1" applyFont="1" applyFill="1" applyBorder="1"/>
    <xf numFmtId="0" fontId="3" fillId="9" borderId="110" xfId="0" applyFont="1" applyFill="1" applyBorder="1"/>
    <xf numFmtId="0" fontId="1" fillId="0" borderId="10" xfId="0" applyFont="1" applyBorder="1"/>
    <xf numFmtId="167" fontId="3" fillId="0" borderId="83" xfId="0" applyNumberFormat="1" applyFont="1" applyBorder="1"/>
    <xf numFmtId="168" fontId="3" fillId="0" borderId="83" xfId="0" applyNumberFormat="1" applyFont="1" applyBorder="1"/>
    <xf numFmtId="0" fontId="30" fillId="0" borderId="80" xfId="0" applyFont="1" applyBorder="1"/>
    <xf numFmtId="0" fontId="31" fillId="0" borderId="0" xfId="0" applyFont="1" applyAlignment="1">
      <alignment vertical="center" wrapText="1"/>
    </xf>
    <xf numFmtId="0" fontId="32" fillId="0" borderId="0" xfId="0" applyFont="1"/>
    <xf numFmtId="0" fontId="32" fillId="0" borderId="81" xfId="0" applyFont="1" applyBorder="1"/>
    <xf numFmtId="0" fontId="33" fillId="0" borderId="81" xfId="0" applyFont="1" applyBorder="1" applyAlignment="1">
      <alignment vertical="center" wrapText="1"/>
    </xf>
    <xf numFmtId="0" fontId="33" fillId="0" borderId="0" xfId="0" applyFont="1" applyAlignment="1">
      <alignment vertical="center" wrapText="1"/>
    </xf>
    <xf numFmtId="0" fontId="31" fillId="0" borderId="81" xfId="0" applyFont="1" applyBorder="1" applyAlignment="1">
      <alignment vertical="center" wrapText="1"/>
    </xf>
    <xf numFmtId="0" fontId="34" fillId="9" borderId="110" xfId="0" applyFont="1" applyFill="1" applyBorder="1" applyAlignment="1">
      <alignment vertical="center" wrapText="1"/>
    </xf>
    <xf numFmtId="0" fontId="3" fillId="0" borderId="80" xfId="0" applyFont="1" applyBorder="1" applyAlignment="1">
      <alignment horizontal="left" vertical="center" wrapText="1"/>
    </xf>
    <xf numFmtId="0" fontId="35" fillId="0" borderId="80" xfId="0" applyFont="1" applyBorder="1" applyAlignment="1">
      <alignment horizontal="left" vertical="center" wrapText="1"/>
    </xf>
    <xf numFmtId="0" fontId="35" fillId="8" borderId="136" xfId="0" applyFont="1" applyFill="1" applyBorder="1" applyAlignment="1">
      <alignment horizontal="left" vertical="center" wrapText="1"/>
    </xf>
    <xf numFmtId="0" fontId="1" fillId="8" borderId="76" xfId="0" applyFont="1" applyFill="1" applyBorder="1"/>
    <xf numFmtId="0" fontId="3" fillId="0" borderId="148" xfId="0" applyFont="1" applyBorder="1" applyAlignment="1">
      <alignment horizontal="center"/>
    </xf>
    <xf numFmtId="0" fontId="3" fillId="0" borderId="149" xfId="0" applyFont="1" applyBorder="1" applyAlignment="1">
      <alignment horizontal="center"/>
    </xf>
    <xf numFmtId="0" fontId="1" fillId="10" borderId="113" xfId="0" applyFont="1" applyFill="1" applyBorder="1" applyAlignment="1">
      <alignment wrapText="1"/>
    </xf>
    <xf numFmtId="0" fontId="1" fillId="10" borderId="111" xfId="0" applyFont="1" applyFill="1" applyBorder="1" applyAlignment="1">
      <alignment wrapText="1"/>
    </xf>
    <xf numFmtId="0" fontId="1" fillId="10" borderId="109" xfId="0" applyFont="1" applyFill="1" applyBorder="1" applyAlignment="1">
      <alignment horizontal="center" wrapText="1"/>
    </xf>
    <xf numFmtId="0" fontId="35" fillId="0" borderId="82" xfId="0" applyFont="1" applyBorder="1" applyAlignment="1">
      <alignment horizontal="left" vertical="center" wrapText="1"/>
    </xf>
    <xf numFmtId="0" fontId="1" fillId="0" borderId="5" xfId="0" applyFont="1" applyBorder="1"/>
    <xf numFmtId="167" fontId="3" fillId="0" borderId="5" xfId="0" applyNumberFormat="1" applyFont="1" applyBorder="1"/>
    <xf numFmtId="43" fontId="3" fillId="0" borderId="6" xfId="0" applyNumberFormat="1" applyFont="1" applyBorder="1"/>
    <xf numFmtId="0" fontId="1" fillId="0" borderId="5" xfId="0" applyFont="1" applyBorder="1" applyAlignment="1">
      <alignment wrapText="1"/>
    </xf>
    <xf numFmtId="182" fontId="3" fillId="0" borderId="1" xfId="0" applyNumberFormat="1" applyFont="1" applyBorder="1"/>
    <xf numFmtId="0" fontId="3" fillId="0" borderId="150" xfId="0" applyFont="1" applyBorder="1"/>
    <xf numFmtId="0" fontId="1" fillId="0" borderId="150" xfId="0" applyFont="1" applyBorder="1" applyAlignment="1">
      <alignment horizontal="center"/>
    </xf>
    <xf numFmtId="2" fontId="1" fillId="0" borderId="150" xfId="0" applyNumberFormat="1" applyFont="1" applyBorder="1"/>
    <xf numFmtId="11" fontId="3" fillId="0" borderId="0" xfId="0" applyNumberFormat="1" applyFont="1"/>
    <xf numFmtId="11" fontId="3" fillId="0" borderId="81" xfId="0" applyNumberFormat="1" applyFont="1" applyBorder="1"/>
    <xf numFmtId="164" fontId="5" fillId="0" borderId="0" xfId="0" applyNumberFormat="1" applyFont="1"/>
    <xf numFmtId="0" fontId="1" fillId="10" borderId="71" xfId="0" applyFont="1" applyFill="1" applyBorder="1" applyAlignment="1">
      <alignment wrapText="1"/>
    </xf>
    <xf numFmtId="183" fontId="3" fillId="0" borderId="92" xfId="0" applyNumberFormat="1" applyFont="1" applyBorder="1"/>
    <xf numFmtId="43" fontId="1" fillId="0" borderId="0" xfId="0" applyNumberFormat="1" applyFont="1"/>
    <xf numFmtId="0" fontId="1" fillId="8" borderId="151" xfId="0" applyFont="1" applyFill="1" applyBorder="1"/>
    <xf numFmtId="0" fontId="3" fillId="8" borderId="152" xfId="0" applyFont="1" applyFill="1" applyBorder="1"/>
    <xf numFmtId="0" fontId="3" fillId="8" borderId="153" xfId="0" applyFont="1" applyFill="1" applyBorder="1"/>
    <xf numFmtId="0" fontId="1" fillId="8" borderId="154" xfId="0" applyFont="1" applyFill="1" applyBorder="1"/>
    <xf numFmtId="0" fontId="3" fillId="8" borderId="8" xfId="0" applyFont="1" applyFill="1" applyBorder="1"/>
    <xf numFmtId="43" fontId="1" fillId="8" borderId="155" xfId="0" applyNumberFormat="1" applyFont="1" applyFill="1" applyBorder="1"/>
    <xf numFmtId="0" fontId="3" fillId="8" borderId="156" xfId="0" applyFont="1" applyFill="1" applyBorder="1"/>
    <xf numFmtId="0" fontId="3" fillId="8" borderId="157" xfId="0" applyFont="1" applyFill="1" applyBorder="1"/>
    <xf numFmtId="0" fontId="3" fillId="8" borderId="158" xfId="0" applyFont="1" applyFill="1" applyBorder="1"/>
    <xf numFmtId="3" fontId="1" fillId="0" borderId="0" xfId="0" applyNumberFormat="1" applyFont="1"/>
    <xf numFmtId="164" fontId="3" fillId="0" borderId="10" xfId="0" applyNumberFormat="1" applyFont="1" applyBorder="1"/>
    <xf numFmtId="164" fontId="3" fillId="0" borderId="20" xfId="0" applyNumberFormat="1" applyFont="1" applyBorder="1"/>
    <xf numFmtId="0" fontId="1" fillId="10" borderId="90" xfId="0" applyFont="1" applyFill="1" applyBorder="1" applyAlignment="1">
      <alignment wrapText="1"/>
    </xf>
    <xf numFmtId="0" fontId="1" fillId="0" borderId="82" xfId="0" applyFont="1" applyBorder="1" applyAlignment="1">
      <alignment horizontal="right"/>
    </xf>
    <xf numFmtId="164" fontId="3" fillId="0" borderId="36" xfId="0" applyNumberFormat="1" applyFont="1" applyBorder="1"/>
    <xf numFmtId="0" fontId="1" fillId="0" borderId="159" xfId="0" applyFont="1" applyBorder="1" applyAlignment="1">
      <alignment horizontal="right"/>
    </xf>
    <xf numFmtId="43" fontId="3" fillId="0" borderId="159" xfId="0" applyNumberFormat="1" applyFont="1" applyBorder="1"/>
    <xf numFmtId="0" fontId="3" fillId="0" borderId="160" xfId="0" applyFont="1" applyBorder="1"/>
    <xf numFmtId="0" fontId="3" fillId="0" borderId="159" xfId="0" applyFont="1" applyBorder="1"/>
    <xf numFmtId="0" fontId="1" fillId="0" borderId="159" xfId="0" applyFont="1" applyBorder="1"/>
    <xf numFmtId="0" fontId="3" fillId="0" borderId="161" xfId="0" applyFont="1" applyBorder="1"/>
    <xf numFmtId="0" fontId="1" fillId="0" borderId="0" xfId="0" applyFont="1" applyAlignment="1">
      <alignment wrapText="1"/>
    </xf>
    <xf numFmtId="0" fontId="1" fillId="0" borderId="92" xfId="0" applyFont="1" applyBorder="1" applyAlignment="1">
      <alignment wrapText="1"/>
    </xf>
    <xf numFmtId="164" fontId="1" fillId="0" borderId="92" xfId="0" applyNumberFormat="1" applyFont="1" applyBorder="1" applyAlignment="1">
      <alignment wrapText="1"/>
    </xf>
    <xf numFmtId="0" fontId="1" fillId="0" borderId="93" xfId="0" applyFont="1" applyBorder="1" applyAlignment="1">
      <alignment wrapText="1"/>
    </xf>
    <xf numFmtId="164" fontId="1" fillId="0" borderId="0" xfId="0" applyNumberFormat="1" applyFont="1" applyAlignment="1">
      <alignment wrapText="1"/>
    </xf>
    <xf numFmtId="0" fontId="1" fillId="8" borderId="112" xfId="0" applyFont="1" applyFill="1" applyBorder="1" applyAlignment="1">
      <alignment wrapText="1"/>
    </xf>
    <xf numFmtId="0" fontId="1" fillId="8" borderId="112" xfId="0" applyFont="1" applyFill="1" applyBorder="1"/>
    <xf numFmtId="164" fontId="1" fillId="8" borderId="1" xfId="0" applyNumberFormat="1" applyFont="1" applyFill="1" applyBorder="1"/>
    <xf numFmtId="0" fontId="1" fillId="10" borderId="109" xfId="0" applyFont="1" applyFill="1" applyBorder="1"/>
    <xf numFmtId="0" fontId="3" fillId="10" borderId="9" xfId="0" applyFont="1" applyFill="1" applyBorder="1"/>
    <xf numFmtId="0" fontId="3" fillId="0" borderId="166" xfId="0" applyFont="1" applyBorder="1" applyAlignment="1">
      <alignment horizontal="right" wrapText="1"/>
    </xf>
    <xf numFmtId="0" fontId="3" fillId="0" borderId="167" xfId="0" applyFont="1" applyBorder="1" applyAlignment="1">
      <alignment horizontal="right" wrapText="1"/>
    </xf>
    <xf numFmtId="164" fontId="3" fillId="0" borderId="168" xfId="0" applyNumberFormat="1" applyFont="1" applyBorder="1" applyAlignment="1">
      <alignment horizontal="right" wrapText="1"/>
    </xf>
    <xf numFmtId="0" fontId="3" fillId="0" borderId="168" xfId="0" applyFont="1" applyBorder="1" applyAlignment="1">
      <alignment horizontal="right" wrapText="1"/>
    </xf>
    <xf numFmtId="164" fontId="1" fillId="0" borderId="83" xfId="0" applyNumberFormat="1" applyFont="1" applyBorder="1"/>
    <xf numFmtId="164" fontId="1" fillId="0" borderId="82" xfId="0" applyNumberFormat="1" applyFont="1" applyBorder="1"/>
    <xf numFmtId="164" fontId="1" fillId="0" borderId="84" xfId="0" applyNumberFormat="1" applyFont="1" applyBorder="1"/>
    <xf numFmtId="0" fontId="3" fillId="0" borderId="169" xfId="0" applyFont="1" applyBorder="1" applyAlignment="1">
      <alignment horizontal="right" wrapText="1"/>
    </xf>
    <xf numFmtId="164" fontId="3" fillId="0" borderId="170" xfId="0" applyNumberFormat="1" applyFont="1" applyBorder="1" applyAlignment="1">
      <alignment horizontal="right" wrapText="1"/>
    </xf>
    <xf numFmtId="0" fontId="3" fillId="0" borderId="170" xfId="0" applyFont="1" applyBorder="1" applyAlignment="1">
      <alignment horizontal="right" wrapText="1"/>
    </xf>
    <xf numFmtId="0" fontId="3" fillId="0" borderId="171" xfId="0" applyFont="1" applyBorder="1" applyAlignment="1">
      <alignment horizontal="right" wrapText="1"/>
    </xf>
    <xf numFmtId="3" fontId="36" fillId="0" borderId="91" xfId="0" applyNumberFormat="1" applyFont="1" applyBorder="1"/>
    <xf numFmtId="0" fontId="2" fillId="0" borderId="3" xfId="0" applyFont="1" applyBorder="1"/>
    <xf numFmtId="0" fontId="2" fillId="0" borderId="4" xfId="0" applyFont="1" applyBorder="1"/>
    <xf numFmtId="0" fontId="2" fillId="0" borderId="6" xfId="0" applyFont="1" applyBorder="1"/>
    <xf numFmtId="0" fontId="14" fillId="0" borderId="80" xfId="0" applyFont="1" applyBorder="1" applyAlignment="1">
      <alignment horizontal="left" vertical="center" wrapText="1"/>
    </xf>
    <xf numFmtId="0" fontId="0" fillId="0" borderId="0" xfId="0"/>
    <xf numFmtId="0" fontId="2" fillId="0" borderId="81" xfId="0" applyFont="1" applyBorder="1"/>
    <xf numFmtId="0" fontId="15" fillId="0" borderId="103" xfId="0" applyFont="1" applyBorder="1" applyAlignment="1">
      <alignment horizontal="left" vertical="top" wrapText="1"/>
    </xf>
    <xf numFmtId="0" fontId="2" fillId="0" borderId="104" xfId="0" applyFont="1" applyBorder="1"/>
    <xf numFmtId="0" fontId="2" fillId="0" borderId="105" xfId="0" applyFont="1" applyBorder="1"/>
    <xf numFmtId="0" fontId="16" fillId="0" borderId="106" xfId="0" applyFont="1" applyBorder="1" applyAlignment="1">
      <alignment horizontal="left" vertical="top" wrapText="1"/>
    </xf>
    <xf numFmtId="0" fontId="2" fillId="0" borderId="107" xfId="0" applyFont="1" applyBorder="1"/>
    <xf numFmtId="0" fontId="2" fillId="0" borderId="108" xfId="0" applyFont="1" applyBorder="1"/>
    <xf numFmtId="0" fontId="1" fillId="10" borderId="5" xfId="0" applyFont="1" applyFill="1" applyBorder="1" applyAlignment="1">
      <alignment horizontal="center"/>
    </xf>
    <xf numFmtId="0" fontId="1" fillId="8" borderId="5" xfId="0" applyFont="1" applyFill="1" applyBorder="1" applyAlignment="1">
      <alignment horizontal="center"/>
    </xf>
    <xf numFmtId="0" fontId="12" fillId="0" borderId="91" xfId="0" applyFont="1" applyBorder="1" applyAlignment="1">
      <alignment horizontal="center" vertical="center" wrapText="1"/>
    </xf>
    <xf numFmtId="0" fontId="2" fillId="0" borderId="92" xfId="0" applyFont="1" applyBorder="1"/>
    <xf numFmtId="0" fontId="2" fillId="0" borderId="93" xfId="0" applyFont="1" applyBorder="1"/>
    <xf numFmtId="0" fontId="13" fillId="0" borderId="80" xfId="0" applyFont="1" applyBorder="1" applyAlignment="1">
      <alignment horizontal="center" vertical="center" wrapText="1"/>
    </xf>
    <xf numFmtId="0" fontId="14" fillId="0" borderId="80" xfId="0" applyFont="1" applyBorder="1" applyAlignment="1">
      <alignment horizontal="center" vertical="center" wrapText="1"/>
    </xf>
    <xf numFmtId="0" fontId="12" fillId="0" borderId="80" xfId="0" applyFont="1" applyBorder="1" applyAlignment="1">
      <alignment horizontal="center" vertical="center" wrapText="1"/>
    </xf>
    <xf numFmtId="0" fontId="3" fillId="0" borderId="0" xfId="0" applyFont="1" applyAlignment="1">
      <alignment horizontal="left" wrapText="1"/>
    </xf>
    <xf numFmtId="0" fontId="1" fillId="10" borderId="5" xfId="0" applyFont="1" applyFill="1" applyBorder="1" applyAlignment="1">
      <alignment horizontal="center" wrapText="1"/>
    </xf>
    <xf numFmtId="0" fontId="1" fillId="8" borderId="5" xfId="0" applyFont="1" applyFill="1" applyBorder="1" applyAlignment="1">
      <alignment horizontal="center" wrapText="1"/>
    </xf>
    <xf numFmtId="0" fontId="1" fillId="0" borderId="130" xfId="0" applyFont="1" applyBorder="1" applyAlignment="1">
      <alignment horizontal="center"/>
    </xf>
    <xf numFmtId="0" fontId="2" fillId="0" borderId="131" xfId="0" applyFont="1" applyBorder="1"/>
    <xf numFmtId="0" fontId="2" fillId="0" borderId="132" xfId="0" applyFont="1" applyBorder="1"/>
    <xf numFmtId="0" fontId="31" fillId="0" borderId="80" xfId="0" applyFont="1" applyBorder="1" applyAlignment="1">
      <alignment horizontal="left" vertical="top" wrapText="1"/>
    </xf>
    <xf numFmtId="0" fontId="31" fillId="8" borderId="145" xfId="0" applyFont="1" applyFill="1" applyBorder="1" applyAlignment="1">
      <alignment horizontal="left" vertical="top" wrapText="1"/>
    </xf>
    <xf numFmtId="0" fontId="2" fillId="0" borderId="146" xfId="0" applyFont="1" applyBorder="1"/>
    <xf numFmtId="0" fontId="2" fillId="0" borderId="147" xfId="0" applyFont="1" applyBorder="1"/>
    <xf numFmtId="0" fontId="1" fillId="0" borderId="5" xfId="0" applyFont="1" applyBorder="1" applyAlignment="1">
      <alignment horizontal="center"/>
    </xf>
    <xf numFmtId="0" fontId="1" fillId="10" borderId="2" xfId="0" applyFont="1" applyFill="1" applyBorder="1" applyAlignment="1">
      <alignment horizontal="center"/>
    </xf>
    <xf numFmtId="0" fontId="1" fillId="10" borderId="162" xfId="0" applyFont="1" applyFill="1" applyBorder="1" applyAlignment="1">
      <alignment horizontal="center"/>
    </xf>
    <xf numFmtId="0" fontId="2" fillId="0" borderId="163" xfId="0" applyFont="1" applyBorder="1"/>
    <xf numFmtId="0" fontId="1" fillId="10" borderId="164" xfId="0" applyFont="1" applyFill="1" applyBorder="1" applyAlignment="1">
      <alignment horizontal="center"/>
    </xf>
    <xf numFmtId="0" fontId="2" fillId="0" borderId="165" xfId="0" applyFont="1" applyBorder="1"/>
    <xf numFmtId="0" fontId="1" fillId="0" borderId="91" xfId="0" applyFont="1" applyBorder="1" applyAlignment="1">
      <alignment horizontal="center"/>
    </xf>
    <xf numFmtId="0" fontId="40" fillId="2" borderId="1" xfId="0" applyFont="1" applyFill="1" applyBorder="1"/>
    <xf numFmtId="0" fontId="40" fillId="2" borderId="1" xfId="0" applyFont="1" applyFill="1" applyBorder="1" applyAlignment="1">
      <alignment horizontal="center" vertical="center" wrapText="1"/>
    </xf>
    <xf numFmtId="0" fontId="40" fillId="2" borderId="2" xfId="0" applyFont="1" applyFill="1" applyBorder="1" applyAlignment="1">
      <alignment horizontal="center"/>
    </xf>
    <xf numFmtId="0" fontId="41" fillId="0" borderId="3" xfId="0" applyFont="1" applyBorder="1"/>
    <xf numFmtId="0" fontId="41" fillId="0" borderId="4" xfId="0" applyFont="1" applyBorder="1"/>
    <xf numFmtId="0" fontId="40" fillId="2" borderId="5" xfId="0" applyFont="1" applyFill="1" applyBorder="1" applyAlignment="1">
      <alignment horizontal="center"/>
    </xf>
    <xf numFmtId="0" fontId="41" fillId="0" borderId="6" xfId="0" applyFont="1" applyBorder="1"/>
    <xf numFmtId="0" fontId="32" fillId="0" borderId="7" xfId="0" applyFont="1" applyBorder="1"/>
    <xf numFmtId="0" fontId="32" fillId="0" borderId="8" xfId="0" applyFont="1" applyBorder="1"/>
    <xf numFmtId="0" fontId="40" fillId="2" borderId="9" xfId="0" applyFont="1" applyFill="1" applyBorder="1"/>
    <xf numFmtId="0" fontId="40" fillId="2" borderId="10" xfId="0" applyFont="1" applyFill="1" applyBorder="1" applyAlignment="1">
      <alignment horizontal="center"/>
    </xf>
    <xf numFmtId="0" fontId="40" fillId="2" borderId="1" xfId="0" applyFont="1" applyFill="1" applyBorder="1" applyAlignment="1">
      <alignment horizontal="center"/>
    </xf>
    <xf numFmtId="0" fontId="40" fillId="2" borderId="11" xfId="0" applyFont="1" applyFill="1" applyBorder="1" applyAlignment="1">
      <alignment horizontal="center"/>
    </xf>
    <xf numFmtId="0" fontId="41" fillId="0" borderId="12" xfId="0" applyFont="1" applyBorder="1"/>
    <xf numFmtId="0" fontId="41" fillId="0" borderId="13" xfId="0" applyFont="1" applyBorder="1"/>
    <xf numFmtId="0" fontId="40" fillId="2" borderId="14" xfId="0" applyFont="1" applyFill="1" applyBorder="1" applyAlignment="1">
      <alignment horizontal="center"/>
    </xf>
    <xf numFmtId="0" fontId="41" fillId="0" borderId="15" xfId="0" applyFont="1" applyBorder="1"/>
    <xf numFmtId="0" fontId="41" fillId="0" borderId="16" xfId="0" applyFont="1" applyBorder="1"/>
    <xf numFmtId="0" fontId="32" fillId="2" borderId="17" xfId="0" applyFont="1" applyFill="1" applyBorder="1"/>
    <xf numFmtId="0" fontId="32" fillId="2" borderId="18" xfId="0" applyFont="1" applyFill="1" applyBorder="1"/>
    <xf numFmtId="0" fontId="32" fillId="2" borderId="18" xfId="0" applyFont="1" applyFill="1" applyBorder="1" applyAlignment="1">
      <alignment horizontal="center"/>
    </xf>
    <xf numFmtId="0" fontId="40" fillId="2" borderId="19" xfId="0" applyFont="1" applyFill="1" applyBorder="1" applyAlignment="1">
      <alignment horizontal="center" wrapText="1"/>
    </xf>
    <xf numFmtId="0" fontId="32" fillId="2" borderId="9" xfId="0" applyFont="1" applyFill="1" applyBorder="1"/>
    <xf numFmtId="0" fontId="41" fillId="0" borderId="20" xfId="0" applyFont="1" applyBorder="1"/>
    <xf numFmtId="0" fontId="40" fillId="2" borderId="21" xfId="0" applyFont="1" applyFill="1" applyBorder="1" applyAlignment="1">
      <alignment horizontal="center"/>
    </xf>
    <xf numFmtId="0" fontId="42" fillId="2" borderId="22" xfId="0" applyFont="1" applyFill="1" applyBorder="1" applyAlignment="1">
      <alignment horizontal="center"/>
    </xf>
    <xf numFmtId="0" fontId="41" fillId="0" borderId="23" xfId="0" applyFont="1" applyBorder="1"/>
    <xf numFmtId="0" fontId="41" fillId="0" borderId="24" xfId="0" applyFont="1" applyBorder="1"/>
    <xf numFmtId="0" fontId="42" fillId="2" borderId="25" xfId="0" applyFont="1" applyFill="1" applyBorder="1" applyAlignment="1">
      <alignment horizontal="center" wrapText="1"/>
    </xf>
    <xf numFmtId="0" fontId="41" fillId="0" borderId="26" xfId="0" applyFont="1" applyBorder="1"/>
    <xf numFmtId="0" fontId="41" fillId="0" borderId="27" xfId="0" applyFont="1" applyBorder="1"/>
    <xf numFmtId="0" fontId="42" fillId="2" borderId="28" xfId="0" applyFont="1" applyFill="1" applyBorder="1" applyAlignment="1">
      <alignment horizontal="center"/>
    </xf>
    <xf numFmtId="0" fontId="42" fillId="2" borderId="22" xfId="0" applyFont="1" applyFill="1" applyBorder="1" applyAlignment="1">
      <alignment horizontal="center" wrapText="1"/>
    </xf>
    <xf numFmtId="0" fontId="32" fillId="2" borderId="29" xfId="0" applyFont="1" applyFill="1" applyBorder="1"/>
    <xf numFmtId="0" fontId="32" fillId="2" borderId="30" xfId="0" applyFont="1" applyFill="1" applyBorder="1"/>
    <xf numFmtId="0" fontId="32" fillId="2" borderId="31" xfId="0" applyFont="1" applyFill="1" applyBorder="1"/>
    <xf numFmtId="0" fontId="32" fillId="2" borderId="32" xfId="0" applyFont="1" applyFill="1" applyBorder="1" applyAlignment="1">
      <alignment horizontal="center" wrapText="1"/>
    </xf>
    <xf numFmtId="0" fontId="42" fillId="2" borderId="32" xfId="0" applyFont="1" applyFill="1" applyBorder="1" applyAlignment="1">
      <alignment horizontal="center" wrapText="1"/>
    </xf>
    <xf numFmtId="0" fontId="42" fillId="2" borderId="33" xfId="0" applyFont="1" applyFill="1" applyBorder="1" applyAlignment="1">
      <alignment horizontal="center" wrapText="1"/>
    </xf>
    <xf numFmtId="0" fontId="42" fillId="2" borderId="34" xfId="0" applyFont="1" applyFill="1" applyBorder="1" applyAlignment="1">
      <alignment horizontal="center" wrapText="1"/>
    </xf>
    <xf numFmtId="0" fontId="32" fillId="2" borderId="35" xfId="0" applyFont="1" applyFill="1" applyBorder="1"/>
    <xf numFmtId="0" fontId="41" fillId="0" borderId="36" xfId="0" applyFont="1" applyBorder="1"/>
    <xf numFmtId="0" fontId="32" fillId="2" borderId="37" xfId="0" applyFont="1" applyFill="1" applyBorder="1" applyAlignment="1">
      <alignment horizontal="center"/>
    </xf>
    <xf numFmtId="0" fontId="32" fillId="2" borderId="38" xfId="0" applyFont="1" applyFill="1" applyBorder="1" applyAlignment="1">
      <alignment horizontal="center" wrapText="1"/>
    </xf>
    <xf numFmtId="0" fontId="32" fillId="2" borderId="39" xfId="0" applyFont="1" applyFill="1" applyBorder="1" applyAlignment="1">
      <alignment horizontal="center" wrapText="1"/>
    </xf>
    <xf numFmtId="0" fontId="32" fillId="2" borderId="37" xfId="0" applyFont="1" applyFill="1" applyBorder="1" applyAlignment="1">
      <alignment horizontal="center" wrapText="1"/>
    </xf>
    <xf numFmtId="0" fontId="32" fillId="2" borderId="40" xfId="0" applyFont="1" applyFill="1" applyBorder="1" applyAlignment="1">
      <alignment horizontal="center" wrapText="1"/>
    </xf>
    <xf numFmtId="0" fontId="32" fillId="2" borderId="41" xfId="0" applyFont="1" applyFill="1" applyBorder="1" applyAlignment="1">
      <alignment horizontal="center" wrapText="1"/>
    </xf>
    <xf numFmtId="0" fontId="32" fillId="2" borderId="42" xfId="0" applyFont="1" applyFill="1" applyBorder="1" applyAlignment="1">
      <alignment horizontal="center" wrapText="1"/>
    </xf>
    <xf numFmtId="0" fontId="32" fillId="2" borderId="38" xfId="0" applyFont="1" applyFill="1" applyBorder="1" applyAlignment="1">
      <alignment horizontal="center"/>
    </xf>
    <xf numFmtId="0" fontId="32" fillId="2" borderId="43" xfId="0" applyFont="1" applyFill="1" applyBorder="1" applyAlignment="1">
      <alignment horizontal="center" wrapText="1"/>
    </xf>
    <xf numFmtId="0" fontId="32" fillId="2" borderId="44" xfId="0" applyFont="1" applyFill="1" applyBorder="1" applyAlignment="1">
      <alignment horizontal="center"/>
    </xf>
    <xf numFmtId="0" fontId="32" fillId="2" borderId="44" xfId="0" applyFont="1" applyFill="1" applyBorder="1" applyAlignment="1">
      <alignment horizontal="center" wrapText="1"/>
    </xf>
    <xf numFmtId="0" fontId="41" fillId="0" borderId="45" xfId="0" applyFont="1" applyBorder="1"/>
    <xf numFmtId="0" fontId="41" fillId="0" borderId="46" xfId="0" applyFont="1" applyBorder="1"/>
    <xf numFmtId="0" fontId="41" fillId="0" borderId="47" xfId="0" applyFont="1" applyBorder="1"/>
    <xf numFmtId="0" fontId="32" fillId="3" borderId="48" xfId="0" applyFont="1" applyFill="1" applyBorder="1" applyAlignment="1">
      <alignment wrapText="1"/>
    </xf>
    <xf numFmtId="0" fontId="40" fillId="4" borderId="49" xfId="0" applyFont="1" applyFill="1" applyBorder="1" applyAlignment="1">
      <alignment horizontal="center" vertical="center" wrapText="1"/>
    </xf>
    <xf numFmtId="0" fontId="32" fillId="0" borderId="48" xfId="0" applyFont="1" applyBorder="1" applyAlignment="1">
      <alignment horizontal="right"/>
    </xf>
    <xf numFmtId="0" fontId="43" fillId="0" borderId="48" xfId="0" applyFont="1" applyBorder="1" applyAlignment="1">
      <alignment wrapText="1"/>
    </xf>
    <xf numFmtId="0" fontId="32" fillId="0" borderId="50" xfId="0" applyFont="1" applyBorder="1" applyAlignment="1">
      <alignment horizontal="center"/>
    </xf>
    <xf numFmtId="0" fontId="32" fillId="0" borderId="51" xfId="0" applyFont="1" applyBorder="1" applyAlignment="1">
      <alignment horizontal="center" wrapText="1"/>
    </xf>
    <xf numFmtId="0" fontId="32" fillId="0" borderId="52" xfId="0" applyFont="1" applyBorder="1" applyAlignment="1">
      <alignment horizontal="center" wrapText="1"/>
    </xf>
    <xf numFmtId="164" fontId="32" fillId="0" borderId="53" xfId="0" applyNumberFormat="1" applyFont="1" applyBorder="1"/>
    <xf numFmtId="164" fontId="32" fillId="0" borderId="54" xfId="0" applyNumberFormat="1" applyFont="1" applyBorder="1"/>
    <xf numFmtId="0" fontId="32" fillId="0" borderId="53" xfId="0" applyFont="1" applyBorder="1" applyAlignment="1">
      <alignment horizontal="center" wrapText="1"/>
    </xf>
    <xf numFmtId="0" fontId="32" fillId="0" borderId="51" xfId="0" applyFont="1" applyBorder="1" applyAlignment="1">
      <alignment horizontal="center"/>
    </xf>
    <xf numFmtId="0" fontId="32" fillId="0" borderId="54" xfId="0" applyFont="1" applyBorder="1" applyAlignment="1">
      <alignment horizontal="center" wrapText="1"/>
    </xf>
    <xf numFmtId="0" fontId="32" fillId="0" borderId="53" xfId="0" applyFont="1" applyBorder="1"/>
    <xf numFmtId="0" fontId="32" fillId="0" borderId="51" xfId="0" applyFont="1" applyBorder="1"/>
    <xf numFmtId="0" fontId="32" fillId="0" borderId="54" xfId="0" applyFont="1" applyBorder="1"/>
    <xf numFmtId="0" fontId="32" fillId="0" borderId="53" xfId="0" applyFont="1" applyBorder="1" applyAlignment="1">
      <alignment horizontal="center" vertical="center" wrapText="1"/>
    </xf>
    <xf numFmtId="164" fontId="32" fillId="0" borderId="51" xfId="0" applyNumberFormat="1" applyFont="1" applyBorder="1"/>
    <xf numFmtId="165" fontId="32" fillId="0" borderId="53" xfId="0" applyNumberFormat="1" applyFont="1" applyBorder="1"/>
    <xf numFmtId="165" fontId="32" fillId="3" borderId="55" xfId="0" applyNumberFormat="1" applyFont="1" applyFill="1" applyBorder="1"/>
    <xf numFmtId="9" fontId="32" fillId="0" borderId="51" xfId="0" applyNumberFormat="1" applyFont="1" applyBorder="1" applyAlignment="1">
      <alignment horizontal="center"/>
    </xf>
    <xf numFmtId="165" fontId="32" fillId="0" borderId="51" xfId="0" applyNumberFormat="1" applyFont="1" applyBorder="1"/>
    <xf numFmtId="165" fontId="32" fillId="0" borderId="54" xfId="0" applyNumberFormat="1" applyFont="1" applyBorder="1"/>
    <xf numFmtId="0" fontId="32" fillId="3" borderId="56" xfId="0" applyFont="1" applyFill="1" applyBorder="1" applyAlignment="1">
      <alignment wrapText="1"/>
    </xf>
    <xf numFmtId="0" fontId="40" fillId="4" borderId="57" xfId="0" applyFont="1" applyFill="1" applyBorder="1" applyAlignment="1">
      <alignment horizontal="center" vertical="center" wrapText="1"/>
    </xf>
    <xf numFmtId="0" fontId="32" fillId="0" borderId="56" xfId="0" applyFont="1" applyBorder="1" applyAlignment="1">
      <alignment horizontal="right"/>
    </xf>
    <xf numFmtId="3" fontId="44" fillId="0" borderId="20" xfId="0" applyNumberFormat="1" applyFont="1" applyBorder="1" applyAlignment="1">
      <alignment vertical="top" wrapText="1"/>
    </xf>
    <xf numFmtId="0" fontId="32" fillId="0" borderId="27" xfId="0" applyFont="1" applyBorder="1"/>
    <xf numFmtId="164" fontId="32" fillId="0" borderId="58" xfId="0" applyNumberFormat="1" applyFont="1" applyBorder="1"/>
    <xf numFmtId="164" fontId="32" fillId="0" borderId="22" xfId="0" applyNumberFormat="1" applyFont="1" applyBorder="1"/>
    <xf numFmtId="164" fontId="32" fillId="0" borderId="59" xfId="0" applyNumberFormat="1" applyFont="1" applyBorder="1"/>
    <xf numFmtId="164" fontId="32" fillId="0" borderId="60" xfId="0" applyNumberFormat="1" applyFont="1" applyBorder="1"/>
    <xf numFmtId="0" fontId="32" fillId="0" borderId="59" xfId="0" applyFont="1" applyBorder="1"/>
    <xf numFmtId="0" fontId="32" fillId="0" borderId="58" xfId="0" applyFont="1" applyBorder="1"/>
    <xf numFmtId="0" fontId="32" fillId="0" borderId="60" xfId="0" applyFont="1" applyBorder="1"/>
    <xf numFmtId="0" fontId="32" fillId="0" borderId="59" xfId="0" applyFont="1" applyBorder="1" applyAlignment="1">
      <alignment horizontal="center" vertical="center"/>
    </xf>
    <xf numFmtId="165" fontId="32" fillId="0" borderId="59" xfId="0" applyNumberFormat="1" applyFont="1" applyBorder="1"/>
    <xf numFmtId="165" fontId="32" fillId="3" borderId="58" xfId="0" applyNumberFormat="1" applyFont="1" applyFill="1" applyBorder="1"/>
    <xf numFmtId="9" fontId="32" fillId="0" borderId="58" xfId="0" applyNumberFormat="1" applyFont="1" applyBorder="1" applyAlignment="1">
      <alignment horizontal="center"/>
    </xf>
    <xf numFmtId="165" fontId="32" fillId="0" borderId="58" xfId="0" applyNumberFormat="1" applyFont="1" applyBorder="1"/>
    <xf numFmtId="165" fontId="32" fillId="0" borderId="60" xfId="0" applyNumberFormat="1" applyFont="1" applyBorder="1"/>
    <xf numFmtId="3" fontId="44" fillId="0" borderId="56" xfId="0" applyNumberFormat="1" applyFont="1" applyBorder="1" applyAlignment="1">
      <alignment vertical="top" wrapText="1"/>
    </xf>
    <xf numFmtId="166" fontId="32" fillId="0" borderId="27" xfId="0" applyNumberFormat="1" applyFont="1" applyBorder="1"/>
    <xf numFmtId="0" fontId="32" fillId="3" borderId="56" xfId="0" applyFont="1" applyFill="1" applyBorder="1"/>
    <xf numFmtId="0" fontId="43" fillId="0" borderId="20" xfId="0" applyFont="1" applyBorder="1" applyAlignment="1">
      <alignment wrapText="1"/>
    </xf>
    <xf numFmtId="167" fontId="32" fillId="0" borderId="58" xfId="0" applyNumberFormat="1" applyFont="1" applyBorder="1"/>
    <xf numFmtId="0" fontId="32" fillId="0" borderId="25" xfId="0" applyFont="1" applyBorder="1"/>
    <xf numFmtId="0" fontId="32" fillId="0" borderId="22" xfId="0" applyFont="1" applyBorder="1"/>
    <xf numFmtId="168" fontId="32" fillId="0" borderId="27" xfId="0" applyNumberFormat="1" applyFont="1" applyBorder="1"/>
    <xf numFmtId="0" fontId="43" fillId="0" borderId="56" xfId="0" applyFont="1" applyBorder="1" applyAlignment="1">
      <alignment wrapText="1"/>
    </xf>
    <xf numFmtId="0" fontId="32" fillId="0" borderId="56" xfId="0" applyFont="1" applyBorder="1" applyAlignment="1">
      <alignment horizontal="right" wrapText="1"/>
    </xf>
    <xf numFmtId="0" fontId="32" fillId="0" borderId="61" xfId="0" applyFont="1" applyBorder="1"/>
    <xf numFmtId="17" fontId="32" fillId="0" borderId="59" xfId="0" quotePrefix="1" applyNumberFormat="1" applyFont="1" applyBorder="1" applyAlignment="1">
      <alignment horizontal="center" vertical="center"/>
    </xf>
    <xf numFmtId="167" fontId="45" fillId="0" borderId="58" xfId="0" applyNumberFormat="1" applyFont="1" applyBorder="1"/>
    <xf numFmtId="169" fontId="32" fillId="0" borderId="58" xfId="0" applyNumberFormat="1" applyFont="1" applyBorder="1"/>
    <xf numFmtId="43" fontId="32" fillId="0" borderId="60" xfId="0" applyNumberFormat="1" applyFont="1" applyBorder="1"/>
    <xf numFmtId="0" fontId="32" fillId="0" borderId="23" xfId="0" applyFont="1" applyBorder="1"/>
    <xf numFmtId="168" fontId="32" fillId="0" borderId="23" xfId="0" applyNumberFormat="1" applyFont="1" applyBorder="1"/>
    <xf numFmtId="164" fontId="32" fillId="0" borderId="23" xfId="0" applyNumberFormat="1" applyFont="1" applyBorder="1"/>
    <xf numFmtId="43" fontId="32" fillId="0" borderId="58" xfId="0" applyNumberFormat="1" applyFont="1" applyBorder="1"/>
    <xf numFmtId="0" fontId="32" fillId="0" borderId="59" xfId="0" quotePrefix="1" applyFont="1" applyBorder="1" applyAlignment="1">
      <alignment horizontal="center" vertical="center"/>
    </xf>
    <xf numFmtId="164" fontId="45" fillId="0" borderId="58" xfId="0" applyNumberFormat="1" applyFont="1" applyBorder="1"/>
    <xf numFmtId="164" fontId="45" fillId="0" borderId="60" xfId="0" applyNumberFormat="1" applyFont="1" applyBorder="1"/>
    <xf numFmtId="167" fontId="32" fillId="0" borderId="23" xfId="0" applyNumberFormat="1" applyFont="1" applyBorder="1"/>
    <xf numFmtId="170" fontId="32" fillId="0" borderId="23" xfId="0" applyNumberFormat="1" applyFont="1" applyBorder="1"/>
    <xf numFmtId="169" fontId="32" fillId="0" borderId="22" xfId="0" applyNumberFormat="1" applyFont="1" applyBorder="1"/>
    <xf numFmtId="169" fontId="32" fillId="0" borderId="23" xfId="0" applyNumberFormat="1" applyFont="1" applyBorder="1"/>
    <xf numFmtId="169" fontId="40" fillId="0" borderId="59" xfId="0" applyNumberFormat="1" applyFont="1" applyBorder="1"/>
    <xf numFmtId="169" fontId="40" fillId="0" borderId="60" xfId="0" applyNumberFormat="1" applyFont="1" applyBorder="1"/>
    <xf numFmtId="169" fontId="40" fillId="0" borderId="58" xfId="0" applyNumberFormat="1" applyFont="1" applyBorder="1"/>
    <xf numFmtId="169" fontId="32" fillId="0" borderId="60" xfId="0" applyNumberFormat="1" applyFont="1" applyBorder="1"/>
    <xf numFmtId="169" fontId="40" fillId="0" borderId="22" xfId="0" applyNumberFormat="1" applyFont="1" applyBorder="1"/>
    <xf numFmtId="169" fontId="32" fillId="0" borderId="59" xfId="0" quotePrefix="1" applyNumberFormat="1" applyFont="1" applyBorder="1" applyAlignment="1">
      <alignment horizontal="center" vertical="center"/>
    </xf>
    <xf numFmtId="0" fontId="40" fillId="4" borderId="57" xfId="0" applyFont="1" applyFill="1" applyBorder="1" applyAlignment="1">
      <alignment horizontal="center" vertical="center"/>
    </xf>
    <xf numFmtId="167" fontId="45" fillId="0" borderId="59" xfId="0" applyNumberFormat="1" applyFont="1" applyBorder="1"/>
    <xf numFmtId="164" fontId="45" fillId="0" borderId="22" xfId="0" applyNumberFormat="1" applyFont="1" applyBorder="1"/>
    <xf numFmtId="164" fontId="32" fillId="0" borderId="27" xfId="0" applyNumberFormat="1" applyFont="1" applyBorder="1"/>
    <xf numFmtId="164" fontId="32" fillId="0" borderId="0" xfId="0" applyNumberFormat="1" applyFont="1"/>
    <xf numFmtId="167" fontId="32" fillId="0" borderId="27" xfId="0" applyNumberFormat="1" applyFont="1" applyBorder="1"/>
    <xf numFmtId="164" fontId="32" fillId="0" borderId="26" xfId="0" applyNumberFormat="1" applyFont="1" applyBorder="1"/>
    <xf numFmtId="0" fontId="32" fillId="0" borderId="26" xfId="0" applyFont="1" applyBorder="1"/>
    <xf numFmtId="167" fontId="45" fillId="0" borderId="27" xfId="0" applyNumberFormat="1" applyFont="1" applyBorder="1"/>
    <xf numFmtId="167" fontId="45" fillId="0" borderId="26" xfId="0" applyNumberFormat="1" applyFont="1" applyBorder="1"/>
    <xf numFmtId="164" fontId="45" fillId="0" borderId="27" xfId="0" applyNumberFormat="1" applyFont="1" applyBorder="1"/>
    <xf numFmtId="164" fontId="45" fillId="0" borderId="26" xfId="0" applyNumberFormat="1" applyFont="1" applyBorder="1"/>
    <xf numFmtId="165" fontId="45" fillId="0" borderId="58" xfId="0" applyNumberFormat="1" applyFont="1" applyBorder="1"/>
    <xf numFmtId="165" fontId="45" fillId="0" borderId="60" xfId="0" applyNumberFormat="1" applyFont="1" applyBorder="1"/>
    <xf numFmtId="0" fontId="40" fillId="0" borderId="7" xfId="0" applyFont="1" applyBorder="1"/>
    <xf numFmtId="0" fontId="40" fillId="0" borderId="8" xfId="0" applyFont="1" applyBorder="1"/>
    <xf numFmtId="0" fontId="43" fillId="3" borderId="56" xfId="0" applyFont="1" applyFill="1" applyBorder="1" applyAlignment="1">
      <alignment wrapText="1"/>
    </xf>
    <xf numFmtId="167" fontId="32" fillId="0" borderId="59" xfId="0" applyNumberFormat="1" applyFont="1" applyBorder="1"/>
    <xf numFmtId="0" fontId="46" fillId="0" borderId="56" xfId="0" applyFont="1" applyBorder="1" applyAlignment="1">
      <alignment horizontal="right"/>
    </xf>
    <xf numFmtId="0" fontId="32" fillId="0" borderId="27" xfId="0" applyFont="1" applyBorder="1" applyAlignment="1">
      <alignment horizontal="center"/>
    </xf>
    <xf numFmtId="0" fontId="32" fillId="0" borderId="58" xfId="0" applyFont="1" applyBorder="1" applyAlignment="1">
      <alignment horizontal="center" wrapText="1"/>
    </xf>
    <xf numFmtId="0" fontId="32" fillId="0" borderId="22" xfId="0" applyFont="1" applyBorder="1" applyAlignment="1">
      <alignment horizontal="center" wrapText="1"/>
    </xf>
    <xf numFmtId="0" fontId="32" fillId="0" borderId="59" xfId="0" applyFont="1" applyBorder="1" applyAlignment="1">
      <alignment horizontal="center" wrapText="1"/>
    </xf>
    <xf numFmtId="0" fontId="32" fillId="0" borderId="60" xfId="0" applyFont="1" applyBorder="1" applyAlignment="1">
      <alignment horizontal="center" wrapText="1"/>
    </xf>
    <xf numFmtId="167" fontId="32" fillId="0" borderId="59" xfId="0" applyNumberFormat="1" applyFont="1" applyBorder="1" applyAlignment="1">
      <alignment horizontal="center" wrapText="1"/>
    </xf>
    <xf numFmtId="167" fontId="32" fillId="0" borderId="58" xfId="0" applyNumberFormat="1" applyFont="1" applyBorder="1" applyAlignment="1">
      <alignment horizontal="center" wrapText="1"/>
    </xf>
    <xf numFmtId="167" fontId="45" fillId="0" borderId="58" xfId="0" applyNumberFormat="1" applyFont="1" applyBorder="1" applyAlignment="1">
      <alignment horizontal="center" wrapText="1"/>
    </xf>
    <xf numFmtId="164" fontId="32" fillId="0" borderId="58" xfId="0" applyNumberFormat="1" applyFont="1" applyBorder="1" applyAlignment="1">
      <alignment horizontal="center" wrapText="1"/>
    </xf>
    <xf numFmtId="164" fontId="32" fillId="0" borderId="58" xfId="0" applyNumberFormat="1" applyFont="1" applyBorder="1" applyAlignment="1">
      <alignment horizontal="center"/>
    </xf>
    <xf numFmtId="164" fontId="32" fillId="0" borderId="60" xfId="0" applyNumberFormat="1" applyFont="1" applyBorder="1" applyAlignment="1">
      <alignment horizontal="center" wrapText="1"/>
    </xf>
    <xf numFmtId="0" fontId="32" fillId="0" borderId="58" xfId="0" applyFont="1" applyBorder="1" applyAlignment="1">
      <alignment horizontal="center"/>
    </xf>
    <xf numFmtId="0" fontId="32" fillId="0" borderId="59" xfId="0" applyFont="1" applyBorder="1" applyAlignment="1">
      <alignment horizontal="center" vertical="center" wrapText="1"/>
    </xf>
    <xf numFmtId="0" fontId="32" fillId="0" borderId="27" xfId="0" applyFont="1" applyBorder="1" applyAlignment="1">
      <alignment horizontal="right"/>
    </xf>
    <xf numFmtId="43" fontId="32" fillId="0" borderId="58" xfId="0" applyNumberFormat="1" applyFont="1" applyBorder="1" applyAlignment="1">
      <alignment horizontal="center" wrapText="1"/>
    </xf>
    <xf numFmtId="164" fontId="32" fillId="0" borderId="22" xfId="0" applyNumberFormat="1" applyFont="1" applyBorder="1" applyAlignment="1">
      <alignment horizontal="center" wrapText="1"/>
    </xf>
    <xf numFmtId="43" fontId="32" fillId="0" borderId="60" xfId="0" applyNumberFormat="1" applyFont="1" applyBorder="1" applyAlignment="1">
      <alignment horizontal="center" wrapText="1"/>
    </xf>
    <xf numFmtId="43" fontId="32" fillId="0" borderId="58" xfId="0" applyNumberFormat="1" applyFont="1" applyBorder="1" applyAlignment="1">
      <alignment horizontal="center"/>
    </xf>
    <xf numFmtId="0" fontId="32" fillId="0" borderId="56" xfId="0" applyFont="1" applyBorder="1"/>
    <xf numFmtId="3" fontId="43" fillId="0" borderId="56" xfId="0" applyNumberFormat="1" applyFont="1" applyBorder="1" applyAlignment="1">
      <alignment wrapText="1"/>
    </xf>
    <xf numFmtId="167" fontId="32" fillId="0" borderId="60" xfId="0" applyNumberFormat="1" applyFont="1" applyBorder="1"/>
    <xf numFmtId="3" fontId="32" fillId="0" borderId="27" xfId="0" applyNumberFormat="1" applyFont="1" applyBorder="1"/>
    <xf numFmtId="168" fontId="32" fillId="0" borderId="58" xfId="0" applyNumberFormat="1" applyFont="1" applyBorder="1"/>
    <xf numFmtId="164" fontId="45" fillId="0" borderId="59" xfId="0" applyNumberFormat="1" applyFont="1" applyBorder="1"/>
    <xf numFmtId="0" fontId="44" fillId="0" borderId="56" xfId="0" applyFont="1" applyBorder="1" applyAlignment="1">
      <alignment wrapText="1"/>
    </xf>
    <xf numFmtId="0" fontId="40" fillId="5" borderId="57" xfId="0" applyFont="1" applyFill="1" applyBorder="1" applyAlignment="1">
      <alignment horizontal="center" vertical="center" wrapText="1"/>
    </xf>
    <xf numFmtId="0" fontId="32" fillId="0" borderId="62" xfId="0" applyFont="1" applyBorder="1"/>
    <xf numFmtId="0" fontId="32" fillId="0" borderId="33" xfId="0" applyFont="1" applyBorder="1"/>
    <xf numFmtId="0" fontId="32" fillId="0" borderId="63" xfId="0" applyFont="1" applyBorder="1"/>
    <xf numFmtId="0" fontId="32" fillId="0" borderId="32" xfId="0" applyFont="1" applyBorder="1"/>
    <xf numFmtId="0" fontId="32" fillId="0" borderId="34" xfId="0" applyFont="1" applyBorder="1"/>
    <xf numFmtId="167" fontId="45" fillId="0" borderId="33" xfId="0" applyNumberFormat="1" applyFont="1" applyBorder="1"/>
    <xf numFmtId="164" fontId="32" fillId="0" borderId="33" xfId="0" applyNumberFormat="1" applyFont="1" applyBorder="1"/>
    <xf numFmtId="164" fontId="32" fillId="0" borderId="34" xfId="0" applyNumberFormat="1" applyFont="1" applyBorder="1"/>
    <xf numFmtId="0" fontId="32" fillId="0" borderId="32" xfId="0" applyFont="1" applyBorder="1" applyAlignment="1">
      <alignment horizontal="center" vertical="center"/>
    </xf>
    <xf numFmtId="43" fontId="32" fillId="0" borderId="22" xfId="0" applyNumberFormat="1" applyFont="1" applyBorder="1"/>
    <xf numFmtId="43" fontId="45" fillId="0" borderId="60" xfId="0" applyNumberFormat="1" applyFont="1" applyBorder="1"/>
    <xf numFmtId="167" fontId="32" fillId="0" borderId="27" xfId="0" applyNumberFormat="1" applyFont="1" applyBorder="1" applyAlignment="1">
      <alignment horizontal="center" wrapText="1"/>
    </xf>
    <xf numFmtId="0" fontId="32" fillId="3" borderId="36" xfId="0" applyFont="1" applyFill="1" applyBorder="1" applyAlignment="1">
      <alignment wrapText="1"/>
    </xf>
    <xf numFmtId="0" fontId="40" fillId="4" borderId="64" xfId="0" applyFont="1" applyFill="1" applyBorder="1" applyAlignment="1">
      <alignment horizontal="center" vertical="center" wrapText="1"/>
    </xf>
    <xf numFmtId="0" fontId="32" fillId="0" borderId="36" xfId="0" applyFont="1" applyBorder="1" applyAlignment="1">
      <alignment horizontal="right"/>
    </xf>
    <xf numFmtId="0" fontId="43" fillId="0" borderId="36" xfId="0" applyFont="1" applyBorder="1" applyAlignment="1">
      <alignment wrapText="1"/>
    </xf>
    <xf numFmtId="167" fontId="32" fillId="0" borderId="62" xfId="0" applyNumberFormat="1" applyFont="1" applyBorder="1"/>
    <xf numFmtId="167" fontId="32" fillId="0" borderId="33" xfId="0" applyNumberFormat="1" applyFont="1" applyBorder="1"/>
    <xf numFmtId="167" fontId="32" fillId="0" borderId="63" xfId="0" applyNumberFormat="1" applyFont="1" applyBorder="1"/>
    <xf numFmtId="167" fontId="32" fillId="0" borderId="40" xfId="0" applyNumberFormat="1" applyFont="1" applyBorder="1"/>
    <xf numFmtId="167" fontId="32" fillId="0" borderId="44" xfId="0" applyNumberFormat="1" applyFont="1" applyBorder="1"/>
    <xf numFmtId="0" fontId="32" fillId="0" borderId="40" xfId="0" applyFont="1" applyBorder="1"/>
    <xf numFmtId="0" fontId="32" fillId="0" borderId="38" xfId="0" applyFont="1" applyBorder="1"/>
    <xf numFmtId="0" fontId="32" fillId="0" borderId="44" xfId="0" applyFont="1" applyBorder="1"/>
    <xf numFmtId="0" fontId="32" fillId="0" borderId="40" xfId="0" applyFont="1" applyBorder="1" applyAlignment="1">
      <alignment horizontal="center"/>
    </xf>
    <xf numFmtId="164" fontId="32" fillId="0" borderId="38" xfId="0" applyNumberFormat="1" applyFont="1" applyBorder="1" applyAlignment="1">
      <alignment horizontal="center"/>
    </xf>
    <xf numFmtId="164" fontId="32" fillId="0" borderId="44" xfId="0" applyNumberFormat="1" applyFont="1" applyBorder="1" applyAlignment="1">
      <alignment horizontal="center"/>
    </xf>
    <xf numFmtId="165" fontId="32" fillId="0" borderId="40" xfId="0" applyNumberFormat="1" applyFont="1" applyBorder="1" applyAlignment="1">
      <alignment horizontal="center"/>
    </xf>
    <xf numFmtId="165" fontId="32" fillId="3" borderId="38" xfId="0" applyNumberFormat="1" applyFont="1" applyFill="1" applyBorder="1" applyAlignment="1">
      <alignment horizontal="center"/>
    </xf>
    <xf numFmtId="9" fontId="32" fillId="0" borderId="38" xfId="0" applyNumberFormat="1" applyFont="1" applyBorder="1" applyAlignment="1">
      <alignment horizontal="center"/>
    </xf>
    <xf numFmtId="165" fontId="32" fillId="0" borderId="38" xfId="0" applyNumberFormat="1" applyFont="1" applyBorder="1"/>
    <xf numFmtId="165" fontId="32" fillId="0" borderId="44" xfId="0" applyNumberFormat="1" applyFont="1" applyBorder="1"/>
    <xf numFmtId="0" fontId="40" fillId="6" borderId="65" xfId="0" applyFont="1" applyFill="1" applyBorder="1"/>
    <xf numFmtId="0" fontId="40" fillId="6" borderId="66" xfId="0" applyFont="1" applyFill="1" applyBorder="1" applyAlignment="1">
      <alignment horizontal="center" vertical="center"/>
    </xf>
    <xf numFmtId="0" fontId="40" fillId="6" borderId="3" xfId="0" applyFont="1" applyFill="1" applyBorder="1"/>
    <xf numFmtId="0" fontId="40" fillId="6" borderId="1" xfId="0" applyFont="1" applyFill="1" applyBorder="1"/>
    <xf numFmtId="167" fontId="40" fillId="6" borderId="67" xfId="0" applyNumberFormat="1" applyFont="1" applyFill="1" applyBorder="1"/>
    <xf numFmtId="167" fontId="40" fillId="6" borderId="66" xfId="0" applyNumberFormat="1" applyFont="1" applyFill="1" applyBorder="1"/>
    <xf numFmtId="167" fontId="40" fillId="6" borderId="68" xfId="0" applyNumberFormat="1" applyFont="1" applyFill="1" applyBorder="1"/>
    <xf numFmtId="167" fontId="40" fillId="6" borderId="65" xfId="0" applyNumberFormat="1" applyFont="1" applyFill="1" applyBorder="1"/>
    <xf numFmtId="167" fontId="40" fillId="6" borderId="69" xfId="0" applyNumberFormat="1" applyFont="1" applyFill="1" applyBorder="1"/>
    <xf numFmtId="0" fontId="40" fillId="6" borderId="66" xfId="0" applyFont="1" applyFill="1" applyBorder="1"/>
    <xf numFmtId="0" fontId="40" fillId="6" borderId="67" xfId="0" applyFont="1" applyFill="1" applyBorder="1"/>
    <xf numFmtId="167" fontId="47" fillId="6" borderId="66" xfId="0" applyNumberFormat="1" applyFont="1" applyFill="1" applyBorder="1"/>
    <xf numFmtId="164" fontId="40" fillId="6" borderId="66" xfId="0" applyNumberFormat="1" applyFont="1" applyFill="1" applyBorder="1"/>
    <xf numFmtId="165" fontId="40" fillId="6" borderId="66" xfId="0" applyNumberFormat="1" applyFont="1" applyFill="1" applyBorder="1"/>
    <xf numFmtId="9" fontId="40" fillId="6" borderId="66" xfId="0" applyNumberFormat="1" applyFont="1" applyFill="1" applyBorder="1" applyAlignment="1">
      <alignment horizontal="center"/>
    </xf>
    <xf numFmtId="44" fontId="40" fillId="6" borderId="66" xfId="0" applyNumberFormat="1" applyFont="1" applyFill="1" applyBorder="1"/>
    <xf numFmtId="44" fontId="40" fillId="6" borderId="69" xfId="0" applyNumberFormat="1" applyFont="1" applyFill="1" applyBorder="1"/>
    <xf numFmtId="0" fontId="32" fillId="7" borderId="65" xfId="0" applyFont="1" applyFill="1" applyBorder="1"/>
    <xf numFmtId="0" fontId="40" fillId="7" borderId="66" xfId="0" applyFont="1" applyFill="1" applyBorder="1" applyAlignment="1">
      <alignment horizontal="center" vertical="center" wrapText="1"/>
    </xf>
    <xf numFmtId="0" fontId="32" fillId="7" borderId="66" xfId="0" applyFont="1" applyFill="1" applyBorder="1"/>
    <xf numFmtId="0" fontId="32" fillId="7" borderId="66" xfId="0" applyFont="1" applyFill="1" applyBorder="1" applyAlignment="1">
      <alignment horizontal="center" vertical="center"/>
    </xf>
    <xf numFmtId="9" fontId="32" fillId="7" borderId="66" xfId="0" applyNumberFormat="1" applyFont="1" applyFill="1" applyBorder="1" applyAlignment="1">
      <alignment horizontal="center"/>
    </xf>
    <xf numFmtId="44" fontId="40" fillId="7" borderId="66" xfId="0" applyNumberFormat="1" applyFont="1" applyFill="1" applyBorder="1"/>
    <xf numFmtId="44" fontId="40" fillId="7" borderId="69" xfId="0" applyNumberFormat="1" applyFont="1" applyFill="1" applyBorder="1"/>
    <xf numFmtId="0" fontId="32" fillId="6" borderId="66" xfId="0" applyFont="1" applyFill="1" applyBorder="1"/>
    <xf numFmtId="164" fontId="32" fillId="6" borderId="66" xfId="0" applyNumberFormat="1" applyFont="1" applyFill="1" applyBorder="1"/>
    <xf numFmtId="164" fontId="45" fillId="6" borderId="66" xfId="0" applyNumberFormat="1" applyFont="1" applyFill="1" applyBorder="1"/>
    <xf numFmtId="165" fontId="32" fillId="6" borderId="66" xfId="0" applyNumberFormat="1" applyFont="1" applyFill="1" applyBorder="1"/>
    <xf numFmtId="9" fontId="32" fillId="6" borderId="66" xfId="0" applyNumberFormat="1" applyFont="1" applyFill="1" applyBorder="1" applyAlignment="1">
      <alignment horizontal="center"/>
    </xf>
    <xf numFmtId="44" fontId="32" fillId="6" borderId="66" xfId="0" applyNumberFormat="1" applyFont="1" applyFill="1" applyBorder="1"/>
    <xf numFmtId="44" fontId="32" fillId="6" borderId="69" xfId="0" applyNumberFormat="1" applyFont="1" applyFill="1" applyBorder="1"/>
    <xf numFmtId="0" fontId="40" fillId="6" borderId="70" xfId="0" applyFont="1" applyFill="1" applyBorder="1"/>
    <xf numFmtId="0" fontId="40" fillId="6" borderId="71" xfId="0" applyFont="1" applyFill="1" applyBorder="1" applyAlignment="1">
      <alignment horizontal="center" vertical="center"/>
    </xf>
    <xf numFmtId="0" fontId="32" fillId="6" borderId="3" xfId="0" applyFont="1" applyFill="1" applyBorder="1"/>
    <xf numFmtId="0" fontId="32" fillId="0" borderId="72" xfId="0" applyFont="1" applyBorder="1"/>
    <xf numFmtId="0" fontId="40" fillId="0" borderId="72" xfId="0" applyFont="1" applyBorder="1" applyAlignment="1">
      <alignment horizontal="center" vertical="center"/>
    </xf>
    <xf numFmtId="0" fontId="32" fillId="0" borderId="72" xfId="0" applyFont="1" applyBorder="1" applyAlignment="1">
      <alignment horizontal="center" vertical="center"/>
    </xf>
    <xf numFmtId="164" fontId="32" fillId="0" borderId="72" xfId="0" applyNumberFormat="1" applyFont="1" applyBorder="1"/>
    <xf numFmtId="165" fontId="32" fillId="0" borderId="72" xfId="0" applyNumberFormat="1" applyFont="1" applyBorder="1"/>
    <xf numFmtId="9" fontId="32" fillId="0" borderId="72" xfId="0" applyNumberFormat="1" applyFont="1" applyBorder="1" applyAlignment="1">
      <alignment horizontal="center"/>
    </xf>
    <xf numFmtId="0" fontId="40" fillId="0" borderId="8" xfId="0" applyFont="1" applyBorder="1" applyAlignment="1">
      <alignment horizontal="center" vertical="center"/>
    </xf>
    <xf numFmtId="0" fontId="32" fillId="0" borderId="8" xfId="0" applyFont="1" applyBorder="1" applyAlignment="1">
      <alignment horizontal="center" vertical="center"/>
    </xf>
    <xf numFmtId="0" fontId="32" fillId="0" borderId="73" xfId="0" applyFont="1" applyBorder="1"/>
    <xf numFmtId="0" fontId="32" fillId="0" borderId="8" xfId="0" applyFont="1" applyBorder="1" applyAlignment="1">
      <alignment horizontal="center"/>
    </xf>
    <xf numFmtId="0" fontId="32" fillId="0" borderId="74" xfId="0" applyFont="1" applyBorder="1" applyAlignment="1">
      <alignment horizontal="right"/>
    </xf>
    <xf numFmtId="0" fontId="40" fillId="8" borderId="1" xfId="0" applyFont="1" applyFill="1" applyBorder="1"/>
    <xf numFmtId="165" fontId="32" fillId="0" borderId="8" xfId="0" applyNumberFormat="1" applyFont="1" applyBorder="1"/>
    <xf numFmtId="43" fontId="32" fillId="0" borderId="8" xfId="0" applyNumberFormat="1" applyFont="1" applyBorder="1"/>
    <xf numFmtId="0" fontId="40" fillId="0" borderId="0" xfId="0" applyFont="1" applyAlignment="1">
      <alignment horizontal="center" vertical="center"/>
    </xf>
    <xf numFmtId="0" fontId="32" fillId="0" borderId="20" xfId="0" applyFont="1" applyBorder="1"/>
    <xf numFmtId="0" fontId="32" fillId="0" borderId="75" xfId="0" applyFont="1" applyBorder="1"/>
    <xf numFmtId="0" fontId="32" fillId="0" borderId="0" xfId="0" applyFont="1" applyAlignment="1">
      <alignment horizontal="center" vertical="center"/>
    </xf>
    <xf numFmtId="0" fontId="3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56</xdr:row>
      <xdr:rowOff>0</xdr:rowOff>
    </xdr:from>
    <xdr:ext cx="304800" cy="304800"/>
    <xdr:sp macro="" textlink="">
      <xdr:nvSpPr>
        <xdr:cNvPr id="3" name="Shape 3" descr="number of registered light-duty electric vehicles, united states">
          <a:extLst>
            <a:ext uri="{FF2B5EF4-FFF2-40B4-BE49-F238E27FC236}">
              <a16:creationId xmlns:a16="http://schemas.microsoft.com/office/drawing/2014/main" id="{00000000-0008-0000-0300-000003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56</xdr:row>
      <xdr:rowOff>0</xdr:rowOff>
    </xdr:from>
    <xdr:ext cx="304800" cy="304800"/>
    <xdr:sp macro="" textlink="">
      <xdr:nvSpPr>
        <xdr:cNvPr id="2" name="Shape 3" descr="number of registered light-duty electric vehicles, united states">
          <a:extLst>
            <a:ext uri="{FF2B5EF4-FFF2-40B4-BE49-F238E27FC236}">
              <a16:creationId xmlns:a16="http://schemas.microsoft.com/office/drawing/2014/main" id="{00000000-0008-0000-0300-000002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1400175</xdr:colOff>
      <xdr:row>121</xdr:row>
      <xdr:rowOff>152400</xdr:rowOff>
    </xdr:from>
    <xdr:ext cx="7734300" cy="4886325"/>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www.eia.gov/electricity/state/pennsylvani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onlinelibrary.wiley.com/doi/10.1002/pip.3615" TargetMode="External"/><Relationship Id="rId2" Type="http://schemas.openxmlformats.org/officeDocument/2006/relationships/hyperlink" Target="https://www.nrel.gov/docs/fy12osti/51664.pdf" TargetMode="External"/><Relationship Id="rId1" Type="http://schemas.openxmlformats.org/officeDocument/2006/relationships/hyperlink" Target="https://www.nrel.gov/docs/fy22osti/81172.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epa.gov/greenvehicles/greenhouse-gas-emissions-typical-passenger-vehicle" TargetMode="External"/><Relationship Id="rId3" Type="http://schemas.openxmlformats.org/officeDocument/2006/relationships/hyperlink" Target="https://www.nrel.gov/docs/fy23osti/85970.pdf" TargetMode="External"/><Relationship Id="rId7" Type="http://schemas.openxmlformats.org/officeDocument/2006/relationships/hyperlink" Target="https://www.fueleconomy.gov/feg/phevtech.shtml" TargetMode="External"/><Relationship Id="rId2" Type="http://schemas.openxmlformats.org/officeDocument/2006/relationships/hyperlink" Target="https://www.eia.gov/todayinenergy/detail.php?id=60422" TargetMode="External"/><Relationship Id="rId1" Type="http://schemas.openxmlformats.org/officeDocument/2006/relationships/hyperlink" Target="https://www.nrel.gov/docs/fy24osti/85902.pdf" TargetMode="External"/><Relationship Id="rId6" Type="http://schemas.openxmlformats.org/officeDocument/2006/relationships/hyperlink" Target="https://www.statista.com/chart/28211/electric-vehicles-revenue-projections/" TargetMode="External"/><Relationship Id="rId5" Type="http://schemas.openxmlformats.org/officeDocument/2006/relationships/hyperlink" Target="https://www.epa.gov/greenvehicles/comparison-your-car-vs-electric-vehicle" TargetMode="External"/><Relationship Id="rId10" Type="http://schemas.openxmlformats.org/officeDocument/2006/relationships/drawing" Target="../drawings/drawing1.xml"/><Relationship Id="rId4" Type="http://schemas.openxmlformats.org/officeDocument/2006/relationships/hyperlink" Target="https://www.edmunds.com/electric-car/articles/percentage-of-electric-cars-in-us.html" TargetMode="External"/><Relationship Id="rId9" Type="http://schemas.openxmlformats.org/officeDocument/2006/relationships/hyperlink" Target="https://19january2017snapshot.epa.gov/sites/production/files/2016-02/documents/420f14040a.pdf"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eia.gov/environment/emissions/co2_vol_mass.php" TargetMode="External"/><Relationship Id="rId2" Type="http://schemas.openxmlformats.org/officeDocument/2006/relationships/hyperlink" Target="https://www.epa.gov/sites/default/files/2020-04/documents/ghg-emission-factors-hub.pdf" TargetMode="External"/><Relationship Id="rId1" Type="http://schemas.openxmlformats.org/officeDocument/2006/relationships/hyperlink" Target="https://www.energy.gov/sites/prod/files/2014/07/f18/20140729%20DOE%20Fact%20sheet_Natural%20Gas%20GHG%20Emissions.pdf"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epa.gov/sites/default/files/2021-04/documents/emission-factors_apr2021.pdf" TargetMode="External"/><Relationship Id="rId1" Type="http://schemas.openxmlformats.org/officeDocument/2006/relationships/hyperlink" Target="https://www.eia.gov/environment/emissions/co2_vol_mass.php"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epa.gov/energy/greenhouse-gases-equivalencies-calculator-calculations-and-references" TargetMode="External"/><Relationship Id="rId2" Type="http://schemas.openxmlformats.org/officeDocument/2006/relationships/hyperlink" Target="https://www.pfleet.com/blog/comparing-types-of-buses-and-their-mpg" TargetMode="External"/><Relationship Id="rId1" Type="http://schemas.openxmlformats.org/officeDocument/2006/relationships/hyperlink" Target="https://www.epa.gov/greenvehicles/greenhouse-gas-emissions-typical-passenger-vehicle" TargetMode="External"/><Relationship Id="rId6" Type="http://schemas.openxmlformats.org/officeDocument/2006/relationships/drawing" Target="../drawings/drawing2.xml"/><Relationship Id="rId5" Type="http://schemas.openxmlformats.org/officeDocument/2006/relationships/hyperlink" Target="https://ghgprotocol.org/sites/default/files/hfc-cfc_0.pdf" TargetMode="External"/><Relationship Id="rId4" Type="http://schemas.openxmlformats.org/officeDocument/2006/relationships/hyperlink" Target="https://www.epa.gov/sites/default/files/2015-07/documents/emission-factors_20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W1000"/>
  <sheetViews>
    <sheetView tabSelected="1" workbookViewId="0">
      <pane xSplit="1" ySplit="4" topLeftCell="B5" activePane="bottomRight" state="frozen"/>
      <selection pane="topRight" activeCell="B1" sqref="B1"/>
      <selection pane="bottomLeft" activeCell="A5" sqref="A5"/>
      <selection pane="bottomRight" activeCell="D17" sqref="D17"/>
    </sheetView>
  </sheetViews>
  <sheetFormatPr defaultColWidth="14.453125" defaultRowHeight="15" customHeight="1" x14ac:dyDescent="0.3"/>
  <cols>
    <col min="1" max="1" width="31.26953125" style="460" customWidth="1"/>
    <col min="2" max="2" width="10.26953125" style="460" customWidth="1"/>
    <col min="3" max="4" width="36.26953125" style="460" customWidth="1"/>
    <col min="5" max="5" width="11.08984375" style="460" customWidth="1"/>
    <col min="6" max="6" width="15.08984375" style="460" customWidth="1"/>
    <col min="7" max="7" width="13.7265625" style="460" customWidth="1"/>
    <col min="8" max="8" width="13.81640625" style="460" customWidth="1"/>
    <col min="9" max="9" width="15.81640625" style="460" customWidth="1"/>
    <col min="10" max="10" width="14.81640625" style="460" customWidth="1"/>
    <col min="11" max="12" width="15.08984375" style="460" customWidth="1"/>
    <col min="13" max="13" width="14" style="460" customWidth="1"/>
    <col min="14" max="14" width="13.81640625" style="460" customWidth="1"/>
    <col min="15" max="15" width="13.453125" style="460" customWidth="1"/>
    <col min="16" max="16" width="12" style="460" customWidth="1"/>
    <col min="17" max="17" width="10.26953125" style="460" customWidth="1"/>
    <col min="18" max="18" width="13.453125" style="460" customWidth="1"/>
    <col min="19" max="19" width="9.7265625" style="460" customWidth="1"/>
    <col min="20" max="20" width="11.08984375" style="460" customWidth="1"/>
    <col min="21" max="21" width="15.08984375" style="460" customWidth="1"/>
    <col min="22" max="22" width="10.7265625" style="460" customWidth="1"/>
    <col min="23" max="23" width="15.26953125" style="460" customWidth="1"/>
    <col min="24" max="24" width="15.7265625" style="460" customWidth="1"/>
    <col min="25" max="25" width="16.81640625" style="460" customWidth="1"/>
    <col min="26" max="26" width="13.26953125" style="460" customWidth="1"/>
    <col min="27" max="27" width="13.453125" style="460" customWidth="1"/>
    <col min="28" max="28" width="10.453125" style="460" customWidth="1"/>
    <col min="29" max="30" width="12.453125" style="460" customWidth="1"/>
    <col min="31" max="31" width="14" style="460" customWidth="1"/>
    <col min="32" max="32" width="14.453125" style="460" customWidth="1"/>
    <col min="33" max="33" width="13.81640625" style="460" customWidth="1"/>
    <col min="34" max="34" width="15.08984375" style="460" customWidth="1"/>
    <col min="35" max="35" width="13" style="460" customWidth="1"/>
    <col min="36" max="36" width="13.81640625" style="460" customWidth="1"/>
    <col min="37" max="37" width="13" style="460" customWidth="1"/>
    <col min="38" max="38" width="14.81640625" style="460" customWidth="1"/>
    <col min="39" max="39" width="18.54296875" style="460" customWidth="1"/>
    <col min="40" max="40" width="20" style="460" customWidth="1"/>
    <col min="41" max="41" width="15" style="460" customWidth="1"/>
    <col min="42" max="42" width="18.26953125" style="460" customWidth="1"/>
    <col min="43" max="43" width="18.7265625" style="460" customWidth="1"/>
    <col min="44" max="44" width="15.54296875" style="460" customWidth="1"/>
    <col min="45" max="45" width="17.81640625" style="460" customWidth="1"/>
    <col min="46" max="46" width="18.26953125" style="460" customWidth="1"/>
    <col min="47" max="47" width="19.81640625" style="460" customWidth="1"/>
    <col min="48" max="48" width="18.81640625" style="460" customWidth="1"/>
    <col min="49" max="49" width="15.81640625" style="460" customWidth="1"/>
    <col min="50" max="50" width="15.08984375" style="460" customWidth="1"/>
    <col min="51" max="51" width="13.54296875" style="460" customWidth="1"/>
    <col min="52" max="52" width="17.54296875" style="460" customWidth="1"/>
    <col min="53" max="53" width="17.81640625" style="460" customWidth="1"/>
    <col min="54" max="54" width="18" style="460" customWidth="1"/>
    <col min="55" max="55" width="18.453125" style="460" customWidth="1"/>
    <col min="56" max="75" width="9.08984375" style="460" customWidth="1"/>
    <col min="76" max="16384" width="14.453125" style="460"/>
  </cols>
  <sheetData>
    <row r="1" spans="1:75" ht="14.25" customHeight="1" x14ac:dyDescent="0.3">
      <c r="A1" s="570" t="s">
        <v>0</v>
      </c>
      <c r="B1" s="571" t="s">
        <v>1</v>
      </c>
      <c r="C1" s="570" t="s">
        <v>2</v>
      </c>
      <c r="D1" s="570" t="s">
        <v>3</v>
      </c>
      <c r="E1" s="572" t="s">
        <v>4</v>
      </c>
      <c r="F1" s="573"/>
      <c r="G1" s="573"/>
      <c r="H1" s="573"/>
      <c r="I1" s="573"/>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4"/>
      <c r="AR1" s="575" t="s">
        <v>590</v>
      </c>
      <c r="AS1" s="573"/>
      <c r="AT1" s="573"/>
      <c r="AU1" s="573"/>
      <c r="AV1" s="576"/>
      <c r="AW1" s="575" t="s">
        <v>5</v>
      </c>
      <c r="AX1" s="573"/>
      <c r="AY1" s="573"/>
      <c r="AZ1" s="573"/>
      <c r="BA1" s="573"/>
      <c r="BB1" s="573"/>
      <c r="BC1" s="576"/>
      <c r="BD1" s="577"/>
      <c r="BE1" s="578"/>
      <c r="BF1" s="578"/>
      <c r="BG1" s="578"/>
      <c r="BH1" s="578"/>
      <c r="BI1" s="578"/>
      <c r="BJ1" s="578"/>
      <c r="BK1" s="578"/>
      <c r="BL1" s="578"/>
      <c r="BM1" s="578"/>
      <c r="BN1" s="578"/>
      <c r="BO1" s="578"/>
      <c r="BP1" s="578"/>
      <c r="BQ1" s="578"/>
      <c r="BR1" s="578"/>
      <c r="BS1" s="578"/>
      <c r="BT1" s="578"/>
      <c r="BU1" s="578"/>
      <c r="BV1" s="578"/>
      <c r="BW1" s="578"/>
    </row>
    <row r="2" spans="1:75" ht="27.75" customHeight="1" x14ac:dyDescent="0.3">
      <c r="A2" s="579"/>
      <c r="B2" s="580"/>
      <c r="C2" s="581"/>
      <c r="D2" s="580"/>
      <c r="E2" s="582" t="s">
        <v>6</v>
      </c>
      <c r="F2" s="583"/>
      <c r="G2" s="583"/>
      <c r="H2" s="583"/>
      <c r="I2" s="583"/>
      <c r="J2" s="584"/>
      <c r="K2" s="585" t="s">
        <v>7</v>
      </c>
      <c r="L2" s="586"/>
      <c r="M2" s="585" t="s">
        <v>8</v>
      </c>
      <c r="N2" s="587"/>
      <c r="O2" s="587"/>
      <c r="P2" s="587"/>
      <c r="Q2" s="587"/>
      <c r="R2" s="587"/>
      <c r="S2" s="587"/>
      <c r="T2" s="587"/>
      <c r="U2" s="587"/>
      <c r="V2" s="587"/>
      <c r="W2" s="587"/>
      <c r="X2" s="587"/>
      <c r="Y2" s="586"/>
      <c r="Z2" s="585" t="s">
        <v>9</v>
      </c>
      <c r="AA2" s="587"/>
      <c r="AB2" s="587"/>
      <c r="AC2" s="587"/>
      <c r="AD2" s="587"/>
      <c r="AE2" s="587"/>
      <c r="AF2" s="586"/>
      <c r="AG2" s="585" t="s">
        <v>10</v>
      </c>
      <c r="AH2" s="587"/>
      <c r="AI2" s="587"/>
      <c r="AJ2" s="587"/>
      <c r="AK2" s="587"/>
      <c r="AL2" s="587"/>
      <c r="AM2" s="587"/>
      <c r="AN2" s="587"/>
      <c r="AO2" s="587"/>
      <c r="AP2" s="587"/>
      <c r="AQ2" s="586"/>
      <c r="AR2" s="585"/>
      <c r="AS2" s="587"/>
      <c r="AT2" s="587"/>
      <c r="AU2" s="587"/>
      <c r="AV2" s="586"/>
      <c r="AW2" s="588"/>
      <c r="AX2" s="589"/>
      <c r="AY2" s="590"/>
      <c r="AZ2" s="591" t="s">
        <v>591</v>
      </c>
      <c r="BA2" s="587"/>
      <c r="BB2" s="587"/>
      <c r="BC2" s="586"/>
      <c r="BD2" s="577"/>
      <c r="BE2" s="578"/>
      <c r="BF2" s="578"/>
      <c r="BG2" s="578"/>
      <c r="BH2" s="578"/>
      <c r="BI2" s="578"/>
      <c r="BJ2" s="578"/>
      <c r="BK2" s="578"/>
      <c r="BL2" s="578"/>
      <c r="BM2" s="578"/>
      <c r="BN2" s="578"/>
      <c r="BO2" s="578"/>
      <c r="BP2" s="578"/>
      <c r="BQ2" s="578"/>
      <c r="BR2" s="578"/>
      <c r="BS2" s="578"/>
      <c r="BT2" s="578"/>
      <c r="BU2" s="578"/>
      <c r="BV2" s="578"/>
      <c r="BW2" s="578"/>
    </row>
    <row r="3" spans="1:75" ht="42.75" customHeight="1" x14ac:dyDescent="0.3">
      <c r="A3" s="592"/>
      <c r="B3" s="593"/>
      <c r="C3" s="581"/>
      <c r="D3" s="593"/>
      <c r="E3" s="594"/>
      <c r="F3" s="594"/>
      <c r="G3" s="594"/>
      <c r="H3" s="595" t="s">
        <v>592</v>
      </c>
      <c r="I3" s="596"/>
      <c r="J3" s="597"/>
      <c r="K3" s="598" t="s">
        <v>593</v>
      </c>
      <c r="L3" s="599"/>
      <c r="M3" s="598" t="s">
        <v>11</v>
      </c>
      <c r="N3" s="596"/>
      <c r="O3" s="600"/>
      <c r="P3" s="595" t="s">
        <v>12</v>
      </c>
      <c r="Q3" s="596"/>
      <c r="R3" s="600"/>
      <c r="S3" s="595" t="s">
        <v>13</v>
      </c>
      <c r="T3" s="596"/>
      <c r="U3" s="600"/>
      <c r="V3" s="601" t="s">
        <v>14</v>
      </c>
      <c r="W3" s="602" t="s">
        <v>594</v>
      </c>
      <c r="X3" s="596"/>
      <c r="Y3" s="599"/>
      <c r="Z3" s="603"/>
      <c r="AA3" s="604"/>
      <c r="AB3" s="604"/>
      <c r="AC3" s="605"/>
      <c r="AD3" s="602" t="s">
        <v>594</v>
      </c>
      <c r="AE3" s="596"/>
      <c r="AF3" s="599"/>
      <c r="AG3" s="598" t="s">
        <v>15</v>
      </c>
      <c r="AH3" s="600"/>
      <c r="AI3" s="602" t="s">
        <v>16</v>
      </c>
      <c r="AJ3" s="600"/>
      <c r="AK3" s="602" t="s">
        <v>17</v>
      </c>
      <c r="AL3" s="600"/>
      <c r="AM3" s="602" t="s">
        <v>595</v>
      </c>
      <c r="AN3" s="600"/>
      <c r="AO3" s="602" t="s">
        <v>596</v>
      </c>
      <c r="AP3" s="596"/>
      <c r="AQ3" s="599"/>
      <c r="AR3" s="606" t="s">
        <v>18</v>
      </c>
      <c r="AS3" s="595" t="s">
        <v>19</v>
      </c>
      <c r="AT3" s="600"/>
      <c r="AU3" s="602" t="s">
        <v>20</v>
      </c>
      <c r="AV3" s="599"/>
      <c r="AW3" s="607" t="s">
        <v>21</v>
      </c>
      <c r="AX3" s="608" t="s">
        <v>22</v>
      </c>
      <c r="AY3" s="608" t="s">
        <v>23</v>
      </c>
      <c r="AZ3" s="608" t="s">
        <v>533</v>
      </c>
      <c r="BA3" s="608" t="s">
        <v>24</v>
      </c>
      <c r="BB3" s="608" t="s">
        <v>25</v>
      </c>
      <c r="BC3" s="609" t="s">
        <v>26</v>
      </c>
      <c r="BD3" s="577"/>
      <c r="BE3" s="578"/>
      <c r="BF3" s="578"/>
      <c r="BG3" s="578"/>
      <c r="BH3" s="578"/>
      <c r="BI3" s="578"/>
      <c r="BJ3" s="578"/>
      <c r="BK3" s="578"/>
      <c r="BL3" s="578"/>
      <c r="BM3" s="578"/>
      <c r="BN3" s="578"/>
      <c r="BO3" s="578"/>
      <c r="BP3" s="578"/>
      <c r="BQ3" s="578"/>
      <c r="BR3" s="578"/>
      <c r="BS3" s="578"/>
      <c r="BT3" s="578"/>
      <c r="BU3" s="578"/>
      <c r="BV3" s="578"/>
      <c r="BW3" s="578"/>
    </row>
    <row r="4" spans="1:75" ht="90" customHeight="1" x14ac:dyDescent="0.3">
      <c r="A4" s="610"/>
      <c r="B4" s="611"/>
      <c r="C4" s="581"/>
      <c r="D4" s="611"/>
      <c r="E4" s="612" t="s">
        <v>27</v>
      </c>
      <c r="F4" s="613" t="s">
        <v>28</v>
      </c>
      <c r="G4" s="613" t="s">
        <v>29</v>
      </c>
      <c r="H4" s="614" t="s">
        <v>30</v>
      </c>
      <c r="I4" s="613" t="s">
        <v>31</v>
      </c>
      <c r="J4" s="615" t="s">
        <v>32</v>
      </c>
      <c r="K4" s="616" t="s">
        <v>33</v>
      </c>
      <c r="L4" s="617" t="s">
        <v>34</v>
      </c>
      <c r="M4" s="618" t="s">
        <v>35</v>
      </c>
      <c r="N4" s="613" t="s">
        <v>36</v>
      </c>
      <c r="O4" s="613" t="s">
        <v>37</v>
      </c>
      <c r="P4" s="613" t="s">
        <v>38</v>
      </c>
      <c r="Q4" s="613" t="s">
        <v>39</v>
      </c>
      <c r="R4" s="613" t="s">
        <v>40</v>
      </c>
      <c r="S4" s="613" t="s">
        <v>41</v>
      </c>
      <c r="T4" s="613" t="s">
        <v>42</v>
      </c>
      <c r="U4" s="613" t="s">
        <v>43</v>
      </c>
      <c r="V4" s="613" t="s">
        <v>43</v>
      </c>
      <c r="W4" s="619" t="s">
        <v>30</v>
      </c>
      <c r="X4" s="620" t="s">
        <v>33</v>
      </c>
      <c r="Y4" s="617" t="s">
        <v>34</v>
      </c>
      <c r="Z4" s="616" t="s">
        <v>44</v>
      </c>
      <c r="AA4" s="613" t="s">
        <v>45</v>
      </c>
      <c r="AB4" s="613" t="s">
        <v>46</v>
      </c>
      <c r="AC4" s="614" t="s">
        <v>47</v>
      </c>
      <c r="AD4" s="614" t="s">
        <v>30</v>
      </c>
      <c r="AE4" s="614" t="s">
        <v>33</v>
      </c>
      <c r="AF4" s="621" t="s">
        <v>34</v>
      </c>
      <c r="AG4" s="616" t="s">
        <v>48</v>
      </c>
      <c r="AH4" s="613" t="s">
        <v>597</v>
      </c>
      <c r="AI4" s="613" t="s">
        <v>49</v>
      </c>
      <c r="AJ4" s="613" t="s">
        <v>597</v>
      </c>
      <c r="AK4" s="613" t="s">
        <v>50</v>
      </c>
      <c r="AL4" s="613" t="s">
        <v>597</v>
      </c>
      <c r="AM4" s="613" t="s">
        <v>33</v>
      </c>
      <c r="AN4" s="613" t="s">
        <v>34</v>
      </c>
      <c r="AO4" s="619" t="s">
        <v>30</v>
      </c>
      <c r="AP4" s="613" t="s">
        <v>33</v>
      </c>
      <c r="AQ4" s="622" t="s">
        <v>34</v>
      </c>
      <c r="AR4" s="623"/>
      <c r="AS4" s="619" t="s">
        <v>33</v>
      </c>
      <c r="AT4" s="619" t="s">
        <v>34</v>
      </c>
      <c r="AU4" s="619" t="s">
        <v>33</v>
      </c>
      <c r="AV4" s="621" t="s">
        <v>34</v>
      </c>
      <c r="AW4" s="623"/>
      <c r="AX4" s="624"/>
      <c r="AY4" s="624"/>
      <c r="AZ4" s="624"/>
      <c r="BA4" s="624"/>
      <c r="BB4" s="624"/>
      <c r="BC4" s="625"/>
      <c r="BD4" s="577"/>
      <c r="BE4" s="578"/>
      <c r="BF4" s="578"/>
      <c r="BG4" s="578"/>
      <c r="BH4" s="578"/>
      <c r="BI4" s="578"/>
      <c r="BJ4" s="578"/>
      <c r="BK4" s="578"/>
      <c r="BL4" s="578"/>
      <c r="BM4" s="578"/>
      <c r="BN4" s="578"/>
      <c r="BO4" s="578"/>
      <c r="BP4" s="578"/>
      <c r="BQ4" s="578"/>
      <c r="BR4" s="578"/>
      <c r="BS4" s="578"/>
      <c r="BT4" s="578"/>
      <c r="BU4" s="578"/>
      <c r="BV4" s="578"/>
      <c r="BW4" s="578"/>
    </row>
    <row r="5" spans="1:75" ht="14.25" customHeight="1" x14ac:dyDescent="0.3">
      <c r="A5" s="626" t="s">
        <v>51</v>
      </c>
      <c r="B5" s="627">
        <v>1</v>
      </c>
      <c r="C5" s="628">
        <v>23</v>
      </c>
      <c r="D5" s="629" t="s">
        <v>534</v>
      </c>
      <c r="E5" s="630"/>
      <c r="F5" s="631"/>
      <c r="G5" s="631"/>
      <c r="H5" s="631"/>
      <c r="I5" s="631"/>
      <c r="J5" s="632"/>
      <c r="K5" s="633">
        <f>'Project-Specific Calcs_Lifecycl'!G168</f>
        <v>3781462.7925260733</v>
      </c>
      <c r="L5" s="634">
        <f>'Project-Specific Calcs_Lifecycl'!G169</f>
        <v>7168338.1632233392</v>
      </c>
      <c r="M5" s="635"/>
      <c r="N5" s="631"/>
      <c r="O5" s="631"/>
      <c r="P5" s="631"/>
      <c r="Q5" s="631"/>
      <c r="R5" s="631"/>
      <c r="S5" s="631"/>
      <c r="T5" s="631"/>
      <c r="U5" s="631"/>
      <c r="V5" s="631"/>
      <c r="W5" s="636"/>
      <c r="X5" s="631"/>
      <c r="Y5" s="637"/>
      <c r="Z5" s="638"/>
      <c r="AA5" s="639"/>
      <c r="AB5" s="639"/>
      <c r="AC5" s="639"/>
      <c r="AD5" s="639"/>
      <c r="AE5" s="639"/>
      <c r="AF5" s="640"/>
      <c r="AG5" s="638"/>
      <c r="AH5" s="639"/>
      <c r="AI5" s="639"/>
      <c r="AJ5" s="639"/>
      <c r="AK5" s="639"/>
      <c r="AL5" s="639"/>
      <c r="AM5" s="639"/>
      <c r="AN5" s="639"/>
      <c r="AO5" s="636"/>
      <c r="AP5" s="631"/>
      <c r="AQ5" s="637"/>
      <c r="AR5" s="641">
        <v>2025</v>
      </c>
      <c r="AS5" s="642">
        <f t="shared" ref="AS5:AT5" si="0">K5*$AU$69</f>
        <v>1715.2337080619018</v>
      </c>
      <c r="AT5" s="642">
        <f t="shared" si="0"/>
        <v>3251.4865074564746</v>
      </c>
      <c r="AU5" s="642">
        <f t="shared" ref="AU5:AU10" si="1">AS5*AY5</f>
        <v>1200.6635185099065</v>
      </c>
      <c r="AV5" s="634">
        <f t="shared" ref="AV5:AV10" si="2">AT5*AY5</f>
        <v>2276.0404090013881</v>
      </c>
      <c r="AW5" s="643">
        <v>6671169</v>
      </c>
      <c r="AX5" s="644">
        <v>4669818</v>
      </c>
      <c r="AY5" s="645">
        <f t="shared" ref="AY5:AY61" si="3">AX5/AW5</f>
        <v>0.69999995503037027</v>
      </c>
      <c r="AZ5" s="646">
        <f t="shared" ref="AZ5:AZ61" si="4">AX5/AU5</f>
        <v>3889.3644455821536</v>
      </c>
      <c r="BA5" s="646">
        <f t="shared" ref="BA5:BA61" si="5">AX5/AV5</f>
        <v>2051.7289506511361</v>
      </c>
      <c r="BB5" s="646">
        <f t="shared" ref="BB5:BB61" si="6">AX5/AS5</f>
        <v>2722.5549370042281</v>
      </c>
      <c r="BC5" s="647">
        <f t="shared" ref="BC5:BC61" si="7">AX5/AT5</f>
        <v>1436.210173190304</v>
      </c>
      <c r="BD5" s="577"/>
      <c r="BE5" s="578"/>
      <c r="BF5" s="578"/>
      <c r="BG5" s="578"/>
      <c r="BH5" s="578"/>
      <c r="BI5" s="578"/>
      <c r="BJ5" s="578"/>
      <c r="BK5" s="578"/>
      <c r="BL5" s="578"/>
      <c r="BM5" s="578"/>
      <c r="BN5" s="578"/>
      <c r="BO5" s="578"/>
      <c r="BP5" s="578"/>
      <c r="BQ5" s="578"/>
      <c r="BR5" s="578"/>
      <c r="BS5" s="578"/>
      <c r="BT5" s="578"/>
      <c r="BU5" s="578"/>
      <c r="BV5" s="578"/>
      <c r="BW5" s="578"/>
    </row>
    <row r="6" spans="1:75" ht="14.25" customHeight="1" x14ac:dyDescent="0.3">
      <c r="A6" s="648" t="s">
        <v>52</v>
      </c>
      <c r="B6" s="649">
        <v>1</v>
      </c>
      <c r="C6" s="650">
        <v>14</v>
      </c>
      <c r="D6" s="651" t="s">
        <v>535</v>
      </c>
      <c r="E6" s="652">
        <v>777.2</v>
      </c>
      <c r="F6" s="653">
        <v>969000</v>
      </c>
      <c r="G6" s="653">
        <f>F6*'Electricity Conversions'!Q30</f>
        <v>1001646.3952652549</v>
      </c>
      <c r="H6" s="653">
        <f>G6*'Electricity Conversions'!B20</f>
        <v>661323.00942435081</v>
      </c>
      <c r="I6" s="653">
        <f>'Solar PV Data'!BG19</f>
        <v>3918668.2548412429</v>
      </c>
      <c r="J6" s="654">
        <f>'Solar PV Data'!BG39</f>
        <v>16161525.222515505</v>
      </c>
      <c r="K6" s="655"/>
      <c r="L6" s="656"/>
      <c r="M6" s="657"/>
      <c r="N6" s="658"/>
      <c r="O6" s="658"/>
      <c r="P6" s="658"/>
      <c r="Q6" s="658"/>
      <c r="R6" s="658"/>
      <c r="S6" s="658"/>
      <c r="T6" s="658"/>
      <c r="U6" s="658"/>
      <c r="V6" s="658"/>
      <c r="W6" s="658"/>
      <c r="X6" s="658"/>
      <c r="Y6" s="659"/>
      <c r="Z6" s="657"/>
      <c r="AA6" s="658"/>
      <c r="AB6" s="658"/>
      <c r="AC6" s="658"/>
      <c r="AD6" s="658"/>
      <c r="AE6" s="658"/>
      <c r="AF6" s="659"/>
      <c r="AG6" s="657"/>
      <c r="AH6" s="658"/>
      <c r="AI6" s="658"/>
      <c r="AJ6" s="658"/>
      <c r="AK6" s="658"/>
      <c r="AL6" s="658"/>
      <c r="AM6" s="658"/>
      <c r="AN6" s="658"/>
      <c r="AO6" s="658"/>
      <c r="AP6" s="658"/>
      <c r="AQ6" s="659"/>
      <c r="AR6" s="660">
        <v>2025</v>
      </c>
      <c r="AS6" s="653">
        <f t="shared" ref="AS6:AT6" si="8">I6*$AU$69</f>
        <v>1777.4687337134394</v>
      </c>
      <c r="AT6" s="653">
        <f t="shared" si="8"/>
        <v>7330.7062256808085</v>
      </c>
      <c r="AU6" s="653">
        <f t="shared" si="1"/>
        <v>1244.228347287155</v>
      </c>
      <c r="AV6" s="656">
        <f t="shared" si="2"/>
        <v>5131.4953217607344</v>
      </c>
      <c r="AW6" s="661">
        <v>1521234</v>
      </c>
      <c r="AX6" s="662">
        <v>1064864</v>
      </c>
      <c r="AY6" s="663">
        <f t="shared" si="3"/>
        <v>0.70000013147221274</v>
      </c>
      <c r="AZ6" s="664">
        <f t="shared" si="4"/>
        <v>855.84290240755979</v>
      </c>
      <c r="BA6" s="664">
        <f t="shared" si="5"/>
        <v>207.51534070085063</v>
      </c>
      <c r="BB6" s="664">
        <f t="shared" si="6"/>
        <v>599.09014420485198</v>
      </c>
      <c r="BC6" s="665">
        <f t="shared" si="7"/>
        <v>145.26076577309647</v>
      </c>
      <c r="BD6" s="577"/>
      <c r="BE6" s="578"/>
      <c r="BF6" s="578"/>
      <c r="BG6" s="578"/>
      <c r="BH6" s="578"/>
      <c r="BI6" s="578"/>
      <c r="BJ6" s="578"/>
      <c r="BK6" s="578"/>
      <c r="BL6" s="578"/>
      <c r="BM6" s="578"/>
      <c r="BN6" s="578"/>
      <c r="BO6" s="578"/>
      <c r="BP6" s="578"/>
      <c r="BQ6" s="578"/>
      <c r="BR6" s="578"/>
      <c r="BS6" s="578"/>
      <c r="BT6" s="578"/>
      <c r="BU6" s="578"/>
      <c r="BV6" s="578"/>
      <c r="BW6" s="578"/>
    </row>
    <row r="7" spans="1:75" ht="14.25" customHeight="1" x14ac:dyDescent="0.3">
      <c r="A7" s="648" t="s">
        <v>53</v>
      </c>
      <c r="B7" s="649">
        <v>1</v>
      </c>
      <c r="C7" s="650">
        <v>28</v>
      </c>
      <c r="D7" s="666" t="s">
        <v>536</v>
      </c>
      <c r="E7" s="667">
        <v>2012</v>
      </c>
      <c r="F7" s="653">
        <v>3453000</v>
      </c>
      <c r="G7" s="653">
        <f>F7*'Electricity Conversions'!Q30</f>
        <v>3569334.3682672088</v>
      </c>
      <c r="H7" s="653">
        <f>G7*'Electricity Conversions'!B20</f>
        <v>2356603.0459672688</v>
      </c>
      <c r="I7" s="653">
        <f>'Solar PV Data'!AQ16</f>
        <v>7034519.0072884466</v>
      </c>
      <c r="J7" s="654">
        <f>'Solar PV Data'!AQ36</f>
        <v>51322546.165322326</v>
      </c>
      <c r="K7" s="655"/>
      <c r="L7" s="656"/>
      <c r="M7" s="657"/>
      <c r="N7" s="658"/>
      <c r="O7" s="658"/>
      <c r="P7" s="658"/>
      <c r="Q7" s="658"/>
      <c r="R7" s="658"/>
      <c r="S7" s="658"/>
      <c r="T7" s="658"/>
      <c r="U7" s="658"/>
      <c r="V7" s="658"/>
      <c r="W7" s="658"/>
      <c r="X7" s="658"/>
      <c r="Y7" s="659"/>
      <c r="Z7" s="657"/>
      <c r="AA7" s="658"/>
      <c r="AB7" s="658"/>
      <c r="AC7" s="658"/>
      <c r="AD7" s="658"/>
      <c r="AE7" s="658"/>
      <c r="AF7" s="659"/>
      <c r="AG7" s="657"/>
      <c r="AH7" s="658"/>
      <c r="AI7" s="658"/>
      <c r="AJ7" s="658"/>
      <c r="AK7" s="658"/>
      <c r="AL7" s="658"/>
      <c r="AM7" s="658"/>
      <c r="AN7" s="658"/>
      <c r="AO7" s="658"/>
      <c r="AP7" s="658"/>
      <c r="AQ7" s="659"/>
      <c r="AR7" s="660">
        <v>2028</v>
      </c>
      <c r="AS7" s="653">
        <f t="shared" ref="AS7:AT7" si="9">I7*$AU$69</f>
        <v>3190.7874765159668</v>
      </c>
      <c r="AT7" s="653">
        <f t="shared" si="9"/>
        <v>23279.393715128554</v>
      </c>
      <c r="AU7" s="653">
        <f t="shared" si="1"/>
        <v>1117.8267731712169</v>
      </c>
      <c r="AV7" s="656">
        <f t="shared" si="2"/>
        <v>8155.4568423899991</v>
      </c>
      <c r="AW7" s="661">
        <v>8392101</v>
      </c>
      <c r="AX7" s="662">
        <v>2940000</v>
      </c>
      <c r="AY7" s="663">
        <f t="shared" si="3"/>
        <v>0.35032943478635448</v>
      </c>
      <c r="AZ7" s="664">
        <f t="shared" si="4"/>
        <v>2630.1034029265302</v>
      </c>
      <c r="BA7" s="664">
        <f t="shared" si="5"/>
        <v>360.49482657042887</v>
      </c>
      <c r="BB7" s="664">
        <f t="shared" si="6"/>
        <v>921.40263857691878</v>
      </c>
      <c r="BC7" s="665">
        <f t="shared" si="7"/>
        <v>126.29194883582322</v>
      </c>
      <c r="BD7" s="577"/>
      <c r="BE7" s="578"/>
      <c r="BF7" s="578"/>
      <c r="BG7" s="578"/>
      <c r="BH7" s="578"/>
      <c r="BI7" s="578"/>
      <c r="BJ7" s="578"/>
      <c r="BK7" s="578"/>
      <c r="BL7" s="578"/>
      <c r="BM7" s="578"/>
      <c r="BN7" s="578"/>
      <c r="BO7" s="578"/>
      <c r="BP7" s="578"/>
      <c r="BQ7" s="578"/>
      <c r="BR7" s="578"/>
      <c r="BS7" s="578"/>
      <c r="BT7" s="578"/>
      <c r="BU7" s="578"/>
      <c r="BV7" s="578"/>
      <c r="BW7" s="578"/>
    </row>
    <row r="8" spans="1:75" ht="14.25" customHeight="1" x14ac:dyDescent="0.3">
      <c r="A8" s="668" t="s">
        <v>54</v>
      </c>
      <c r="B8" s="649">
        <v>1</v>
      </c>
      <c r="C8" s="650">
        <v>1</v>
      </c>
      <c r="D8" s="669" t="s">
        <v>537</v>
      </c>
      <c r="E8" s="652">
        <v>485.1</v>
      </c>
      <c r="F8" s="670">
        <v>646509</v>
      </c>
      <c r="G8" s="653">
        <f>F8*'Electricity Conversions'!Q30</f>
        <v>668290.41213265702</v>
      </c>
      <c r="H8" s="653">
        <f>G8*'Electricity Conversions'!B20</f>
        <v>441229.38854481687</v>
      </c>
      <c r="I8" s="653">
        <f>'Solar PV Data'!E19</f>
        <v>2614503.9161704401</v>
      </c>
      <c r="J8" s="654">
        <f>'Solar PV Data'!E39</f>
        <v>10782839.535689652</v>
      </c>
      <c r="K8" s="655"/>
      <c r="L8" s="656"/>
      <c r="M8" s="671"/>
      <c r="N8" s="658"/>
      <c r="O8" s="658"/>
      <c r="P8" s="658"/>
      <c r="Q8" s="658"/>
      <c r="R8" s="658"/>
      <c r="S8" s="658"/>
      <c r="T8" s="658"/>
      <c r="U8" s="658"/>
      <c r="V8" s="658"/>
      <c r="W8" s="658"/>
      <c r="X8" s="658"/>
      <c r="Y8" s="659"/>
      <c r="Z8" s="657"/>
      <c r="AA8" s="658"/>
      <c r="AB8" s="658"/>
      <c r="AC8" s="672"/>
      <c r="AD8" s="672"/>
      <c r="AE8" s="672"/>
      <c r="AF8" s="659"/>
      <c r="AG8" s="657"/>
      <c r="AH8" s="658"/>
      <c r="AI8" s="658"/>
      <c r="AJ8" s="658"/>
      <c r="AK8" s="658"/>
      <c r="AL8" s="658"/>
      <c r="AM8" s="658"/>
      <c r="AN8" s="658"/>
      <c r="AO8" s="658"/>
      <c r="AP8" s="658"/>
      <c r="AQ8" s="659"/>
      <c r="AR8" s="660">
        <v>2025</v>
      </c>
      <c r="AS8" s="653">
        <f t="shared" ref="AS8:AT8" si="10">I8*$AU$69</f>
        <v>1185.9128313357501</v>
      </c>
      <c r="AT8" s="653">
        <f t="shared" si="10"/>
        <v>4890.9881849934691</v>
      </c>
      <c r="AU8" s="653">
        <f t="shared" si="1"/>
        <v>423.8095236438341</v>
      </c>
      <c r="AV8" s="656">
        <f t="shared" si="2"/>
        <v>1747.8918501075295</v>
      </c>
      <c r="AW8" s="661">
        <v>998965</v>
      </c>
      <c r="AX8" s="662">
        <v>357000</v>
      </c>
      <c r="AY8" s="663">
        <f t="shared" si="3"/>
        <v>0.35736987782354734</v>
      </c>
      <c r="AZ8" s="664">
        <f t="shared" si="4"/>
        <v>842.35955089112099</v>
      </c>
      <c r="BA8" s="664">
        <f t="shared" si="5"/>
        <v>204.24604644620175</v>
      </c>
      <c r="BB8" s="664">
        <f t="shared" si="6"/>
        <v>301.0339297854581</v>
      </c>
      <c r="BC8" s="665">
        <f t="shared" si="7"/>
        <v>72.991384664421702</v>
      </c>
      <c r="BD8" s="577"/>
      <c r="BE8" s="578"/>
      <c r="BF8" s="578"/>
      <c r="BG8" s="578"/>
      <c r="BH8" s="578"/>
      <c r="BI8" s="578"/>
      <c r="BJ8" s="578"/>
      <c r="BK8" s="578"/>
      <c r="BL8" s="578"/>
      <c r="BM8" s="578"/>
      <c r="BN8" s="578"/>
      <c r="BO8" s="578"/>
      <c r="BP8" s="578"/>
      <c r="BQ8" s="578"/>
      <c r="BR8" s="578"/>
      <c r="BS8" s="578"/>
      <c r="BT8" s="578"/>
      <c r="BU8" s="578"/>
      <c r="BV8" s="578"/>
      <c r="BW8" s="578"/>
    </row>
    <row r="9" spans="1:75" ht="14.25" customHeight="1" x14ac:dyDescent="0.3">
      <c r="A9" s="668" t="s">
        <v>55</v>
      </c>
      <c r="B9" s="649">
        <v>1</v>
      </c>
      <c r="C9" s="650">
        <v>12</v>
      </c>
      <c r="D9" s="669" t="s">
        <v>538</v>
      </c>
      <c r="E9" s="673">
        <v>48.195</v>
      </c>
      <c r="F9" s="653">
        <v>54269</v>
      </c>
      <c r="G9" s="653">
        <f>F9*'Electricity Conversions'!Q30</f>
        <v>56097.36658890621</v>
      </c>
      <c r="H9" s="653">
        <f>G9*'Electricity Conversions'!B20</f>
        <v>37037.500927193076</v>
      </c>
      <c r="I9" s="653">
        <f>'Solar PV Data'!G19</f>
        <v>219465.64243754323</v>
      </c>
      <c r="J9" s="654">
        <f>'Solar PV Data'!G39</f>
        <v>905128.80526387377</v>
      </c>
      <c r="K9" s="655"/>
      <c r="L9" s="656"/>
      <c r="M9" s="671"/>
      <c r="N9" s="658"/>
      <c r="O9" s="658"/>
      <c r="P9" s="658"/>
      <c r="Q9" s="658"/>
      <c r="R9" s="658"/>
      <c r="S9" s="658"/>
      <c r="T9" s="658"/>
      <c r="U9" s="658"/>
      <c r="V9" s="658"/>
      <c r="W9" s="658"/>
      <c r="X9" s="658"/>
      <c r="Y9" s="659"/>
      <c r="Z9" s="657"/>
      <c r="AA9" s="658"/>
      <c r="AB9" s="658"/>
      <c r="AC9" s="672"/>
      <c r="AD9" s="672"/>
      <c r="AE9" s="672"/>
      <c r="AF9" s="659"/>
      <c r="AG9" s="657"/>
      <c r="AH9" s="658"/>
      <c r="AI9" s="658"/>
      <c r="AJ9" s="658"/>
      <c r="AK9" s="658"/>
      <c r="AL9" s="658"/>
      <c r="AM9" s="658"/>
      <c r="AN9" s="658"/>
      <c r="AO9" s="658"/>
      <c r="AP9" s="658"/>
      <c r="AQ9" s="659"/>
      <c r="AR9" s="660">
        <v>2025</v>
      </c>
      <c r="AS9" s="653">
        <f t="shared" ref="AS9:AT9" si="11">I9*$AU$69</f>
        <v>99.547420753245234</v>
      </c>
      <c r="AT9" s="653">
        <f t="shared" si="11"/>
        <v>410.55737477964055</v>
      </c>
      <c r="AU9" s="653">
        <f t="shared" si="1"/>
        <v>34.84176938975672</v>
      </c>
      <c r="AV9" s="656">
        <f t="shared" si="2"/>
        <v>143.69579106216904</v>
      </c>
      <c r="AW9" s="661">
        <v>173502</v>
      </c>
      <c r="AX9" s="662">
        <v>60726</v>
      </c>
      <c r="AY9" s="663">
        <f t="shared" si="3"/>
        <v>0.35000172908669641</v>
      </c>
      <c r="AZ9" s="664">
        <f t="shared" si="4"/>
        <v>1742.9080400794196</v>
      </c>
      <c r="BA9" s="664">
        <f t="shared" si="5"/>
        <v>422.6011043964906</v>
      </c>
      <c r="BB9" s="664">
        <f t="shared" si="6"/>
        <v>610.02082766690205</v>
      </c>
      <c r="BC9" s="665">
        <f t="shared" si="7"/>
        <v>147.91111725271921</v>
      </c>
      <c r="BD9" s="577"/>
      <c r="BE9" s="578"/>
      <c r="BF9" s="578"/>
      <c r="BG9" s="578"/>
      <c r="BH9" s="578"/>
      <c r="BI9" s="578"/>
      <c r="BJ9" s="578"/>
      <c r="BK9" s="578"/>
      <c r="BL9" s="578"/>
      <c r="BM9" s="578"/>
      <c r="BN9" s="578"/>
      <c r="BO9" s="578"/>
      <c r="BP9" s="578"/>
      <c r="BQ9" s="578"/>
      <c r="BR9" s="578"/>
      <c r="BS9" s="578"/>
      <c r="BT9" s="578"/>
      <c r="BU9" s="578"/>
      <c r="BV9" s="578"/>
      <c r="BW9" s="578"/>
    </row>
    <row r="10" spans="1:75" ht="14.25" customHeight="1" x14ac:dyDescent="0.3">
      <c r="A10" s="668" t="s">
        <v>56</v>
      </c>
      <c r="B10" s="649">
        <v>1</v>
      </c>
      <c r="C10" s="650">
        <v>13</v>
      </c>
      <c r="D10" s="674" t="s">
        <v>539</v>
      </c>
      <c r="E10" s="652">
        <v>85</v>
      </c>
      <c r="F10" s="653">
        <v>110000</v>
      </c>
      <c r="G10" s="653">
        <f>F10*'Electricity Conversions'!Q30</f>
        <v>113705.9891425986</v>
      </c>
      <c r="H10" s="653">
        <f>G10*'Electricity Conversions'!B20</f>
        <v>75072.787447552721</v>
      </c>
      <c r="I10" s="653">
        <f>'Solar PV Data'!I18</f>
        <v>371629.01918867626</v>
      </c>
      <c r="J10" s="654">
        <f>'Solar PV Data'!I38</f>
        <v>1768410.9333458073</v>
      </c>
      <c r="K10" s="655"/>
      <c r="L10" s="656"/>
      <c r="M10" s="671"/>
      <c r="N10" s="658"/>
      <c r="O10" s="658"/>
      <c r="P10" s="658"/>
      <c r="Q10" s="658"/>
      <c r="R10" s="658"/>
      <c r="S10" s="658"/>
      <c r="T10" s="658"/>
      <c r="U10" s="658"/>
      <c r="V10" s="658"/>
      <c r="W10" s="658"/>
      <c r="X10" s="658"/>
      <c r="Y10" s="659"/>
      <c r="Z10" s="657"/>
      <c r="AA10" s="658"/>
      <c r="AB10" s="658"/>
      <c r="AC10" s="672"/>
      <c r="AD10" s="672"/>
      <c r="AE10" s="672"/>
      <c r="AF10" s="659"/>
      <c r="AG10" s="657"/>
      <c r="AH10" s="658"/>
      <c r="AI10" s="658"/>
      <c r="AJ10" s="658"/>
      <c r="AK10" s="658"/>
      <c r="AL10" s="658"/>
      <c r="AM10" s="658"/>
      <c r="AN10" s="658"/>
      <c r="AO10" s="658"/>
      <c r="AP10" s="658"/>
      <c r="AQ10" s="659"/>
      <c r="AR10" s="660">
        <v>2026</v>
      </c>
      <c r="AS10" s="653">
        <f t="shared" ref="AS10:AT10" si="12">I10*$AU$69</f>
        <v>168.56720681379167</v>
      </c>
      <c r="AT10" s="653">
        <f t="shared" si="12"/>
        <v>802.13351525632481</v>
      </c>
      <c r="AU10" s="653">
        <f t="shared" si="1"/>
        <v>58.998522384827083</v>
      </c>
      <c r="AV10" s="656">
        <f t="shared" si="2"/>
        <v>280.74673033971368</v>
      </c>
      <c r="AW10" s="661">
        <v>1200000</v>
      </c>
      <c r="AX10" s="662">
        <v>420000</v>
      </c>
      <c r="AY10" s="663">
        <f t="shared" si="3"/>
        <v>0.35</v>
      </c>
      <c r="AZ10" s="664">
        <f t="shared" si="4"/>
        <v>7118.8223538970069</v>
      </c>
      <c r="BA10" s="664">
        <f t="shared" si="5"/>
        <v>1496.010299004319</v>
      </c>
      <c r="BB10" s="664">
        <f t="shared" si="6"/>
        <v>2491.5878238639525</v>
      </c>
      <c r="BC10" s="665">
        <f t="shared" si="7"/>
        <v>523.60360465151166</v>
      </c>
      <c r="BD10" s="577"/>
      <c r="BE10" s="578"/>
      <c r="BF10" s="578"/>
      <c r="BG10" s="578"/>
      <c r="BH10" s="578"/>
      <c r="BI10" s="578"/>
      <c r="BJ10" s="578"/>
      <c r="BK10" s="578"/>
      <c r="BL10" s="578"/>
      <c r="BM10" s="578"/>
      <c r="BN10" s="578"/>
      <c r="BO10" s="578"/>
      <c r="BP10" s="578"/>
      <c r="BQ10" s="578"/>
      <c r="BR10" s="578"/>
      <c r="BS10" s="578"/>
      <c r="BT10" s="578"/>
      <c r="BU10" s="578"/>
      <c r="BV10" s="578"/>
      <c r="BW10" s="578"/>
    </row>
    <row r="11" spans="1:75" ht="14.25" customHeight="1" x14ac:dyDescent="0.3">
      <c r="A11" s="648" t="s">
        <v>57</v>
      </c>
      <c r="B11" s="649">
        <v>1</v>
      </c>
      <c r="C11" s="675">
        <v>7</v>
      </c>
      <c r="D11" s="666" t="s">
        <v>540</v>
      </c>
      <c r="E11" s="652">
        <v>68</v>
      </c>
      <c r="F11" s="653">
        <v>73000</v>
      </c>
      <c r="G11" s="653">
        <f>F11*'Electricity Conversions'!Q30</f>
        <v>75459.429158269981</v>
      </c>
      <c r="H11" s="653">
        <f>G11*'Electricity Conversions'!B20</f>
        <v>49821.031669739532</v>
      </c>
      <c r="I11" s="653">
        <f>'Solar PV Data'!AU19</f>
        <v>295214.42993128038</v>
      </c>
      <c r="J11" s="654">
        <f>'Solar PV Data'!AU39</f>
        <v>1217534.923884037</v>
      </c>
      <c r="K11" s="655">
        <f>'EV Charging Metrics'!H149</f>
        <v>701053.95423949405</v>
      </c>
      <c r="L11" s="656">
        <f>'EV Charging Metrics'!H155</f>
        <v>1922732.9398888818</v>
      </c>
      <c r="M11" s="676"/>
      <c r="N11" s="658"/>
      <c r="O11" s="658"/>
      <c r="P11" s="658"/>
      <c r="Q11" s="658"/>
      <c r="R11" s="658"/>
      <c r="S11" s="658"/>
      <c r="T11" s="658"/>
      <c r="U11" s="658"/>
      <c r="V11" s="658"/>
      <c r="W11" s="658"/>
      <c r="X11" s="658"/>
      <c r="Y11" s="659"/>
      <c r="Z11" s="657"/>
      <c r="AA11" s="658"/>
      <c r="AB11" s="658"/>
      <c r="AC11" s="672"/>
      <c r="AD11" s="672"/>
      <c r="AE11" s="672"/>
      <c r="AF11" s="659"/>
      <c r="AG11" s="657"/>
      <c r="AH11" s="658"/>
      <c r="AI11" s="658"/>
      <c r="AJ11" s="658"/>
      <c r="AK11" s="658"/>
      <c r="AL11" s="658"/>
      <c r="AM11" s="658"/>
      <c r="AN11" s="658"/>
      <c r="AO11" s="658"/>
      <c r="AP11" s="658"/>
      <c r="AQ11" s="659"/>
      <c r="AR11" s="677" t="s">
        <v>58</v>
      </c>
      <c r="AS11" s="653">
        <f t="shared" ref="AS11:AT11" si="13">(I11+K11)*$AU$69</f>
        <v>451.89737637602155</v>
      </c>
      <c r="AT11" s="653">
        <f t="shared" si="13"/>
        <v>1424.3941003287582</v>
      </c>
      <c r="AU11" s="653">
        <f>(AS11*AY11)</f>
        <v>158.164195013512</v>
      </c>
      <c r="AV11" s="656">
        <f>(AT11*AY11)</f>
        <v>498.53829218302997</v>
      </c>
      <c r="AW11" s="661">
        <v>598371</v>
      </c>
      <c r="AX11" s="662">
        <v>209430</v>
      </c>
      <c r="AY11" s="663">
        <f t="shared" si="3"/>
        <v>0.35000025068059781</v>
      </c>
      <c r="AZ11" s="664">
        <f t="shared" si="4"/>
        <v>1324.1302810797877</v>
      </c>
      <c r="BA11" s="664">
        <f t="shared" si="5"/>
        <v>420.08809209606568</v>
      </c>
      <c r="BB11" s="664">
        <f t="shared" si="6"/>
        <v>463.44593031169615</v>
      </c>
      <c r="BC11" s="665">
        <f t="shared" si="7"/>
        <v>147.03093754155705</v>
      </c>
      <c r="BD11" s="577"/>
      <c r="BE11" s="578"/>
      <c r="BF11" s="578"/>
      <c r="BG11" s="578"/>
      <c r="BH11" s="578"/>
      <c r="BI11" s="578"/>
      <c r="BJ11" s="578"/>
      <c r="BK11" s="578"/>
      <c r="BL11" s="578"/>
      <c r="BM11" s="578"/>
      <c r="BN11" s="578"/>
      <c r="BO11" s="578"/>
      <c r="BP11" s="578"/>
      <c r="BQ11" s="578"/>
      <c r="BR11" s="578"/>
      <c r="BS11" s="578"/>
      <c r="BT11" s="578"/>
      <c r="BU11" s="578"/>
      <c r="BV11" s="578"/>
      <c r="BW11" s="578"/>
    </row>
    <row r="12" spans="1:75" ht="14.25" customHeight="1" x14ac:dyDescent="0.3">
      <c r="A12" s="648" t="s">
        <v>59</v>
      </c>
      <c r="B12" s="649">
        <v>1</v>
      </c>
      <c r="C12" s="675">
        <v>4</v>
      </c>
      <c r="D12" s="666" t="s">
        <v>541</v>
      </c>
      <c r="E12" s="652"/>
      <c r="F12" s="653"/>
      <c r="G12" s="653"/>
      <c r="H12" s="653"/>
      <c r="I12" s="653"/>
      <c r="J12" s="654"/>
      <c r="K12" s="655"/>
      <c r="L12" s="656"/>
      <c r="M12" s="671"/>
      <c r="N12" s="658"/>
      <c r="O12" s="678">
        <f>(-153541*'Electricity Conversions'!Q30)</f>
        <v>-158713.92071767029</v>
      </c>
      <c r="P12" s="658"/>
      <c r="Q12" s="658"/>
      <c r="R12" s="670">
        <f>8521*'Gas Metrics'!B33</f>
        <v>82808.551992225461</v>
      </c>
      <c r="S12" s="658"/>
      <c r="T12" s="658"/>
      <c r="U12" s="658"/>
      <c r="V12" s="658"/>
      <c r="W12" s="653">
        <f>(O12*'Electricity Conversions'!B20)+(R12*'Gas Metrics'!H13)</f>
        <v>993695.55287495465</v>
      </c>
      <c r="X12" s="679">
        <f>W12*3</f>
        <v>2981086.6586248642</v>
      </c>
      <c r="Y12" s="680">
        <f>W12*25</f>
        <v>24842388.821873866</v>
      </c>
      <c r="Z12" s="657"/>
      <c r="AA12" s="658"/>
      <c r="AB12" s="658"/>
      <c r="AC12" s="672"/>
      <c r="AD12" s="672"/>
      <c r="AE12" s="672"/>
      <c r="AF12" s="659"/>
      <c r="AG12" s="657"/>
      <c r="AH12" s="658"/>
      <c r="AI12" s="658"/>
      <c r="AJ12" s="658"/>
      <c r="AK12" s="658"/>
      <c r="AL12" s="658"/>
      <c r="AM12" s="658"/>
      <c r="AN12" s="658"/>
      <c r="AO12" s="658"/>
      <c r="AP12" s="658"/>
      <c r="AQ12" s="659"/>
      <c r="AR12" s="677" t="s">
        <v>60</v>
      </c>
      <c r="AS12" s="653">
        <f t="shared" ref="AS12:AT12" si="14">X12*$AU$69</f>
        <v>1352.1910974856523</v>
      </c>
      <c r="AT12" s="653">
        <f t="shared" si="14"/>
        <v>11268.259145713768</v>
      </c>
      <c r="AU12" s="653">
        <f t="shared" ref="AU12:AU59" si="15">AS12*AY12</f>
        <v>585.72634173264646</v>
      </c>
      <c r="AV12" s="656">
        <f t="shared" ref="AV12:AV59" si="16">AT12*AY12</f>
        <v>4881.0528477720527</v>
      </c>
      <c r="AW12" s="661">
        <v>4040000</v>
      </c>
      <c r="AX12" s="662">
        <v>1750000</v>
      </c>
      <c r="AY12" s="663">
        <f t="shared" si="3"/>
        <v>0.43316831683168316</v>
      </c>
      <c r="AZ12" s="664">
        <f t="shared" si="4"/>
        <v>2987.743379994311</v>
      </c>
      <c r="BA12" s="664">
        <f t="shared" si="5"/>
        <v>358.52920559931738</v>
      </c>
      <c r="BB12" s="664">
        <f t="shared" si="6"/>
        <v>1294.1957710371398</v>
      </c>
      <c r="BC12" s="665">
        <f t="shared" si="7"/>
        <v>155.3034925244568</v>
      </c>
      <c r="BD12" s="577"/>
      <c r="BE12" s="578"/>
      <c r="BF12" s="578"/>
      <c r="BG12" s="578"/>
      <c r="BH12" s="578"/>
      <c r="BI12" s="578"/>
      <c r="BJ12" s="578"/>
      <c r="BK12" s="578"/>
      <c r="BL12" s="578"/>
      <c r="BM12" s="578"/>
      <c r="BN12" s="578"/>
      <c r="BO12" s="578"/>
      <c r="BP12" s="578"/>
      <c r="BQ12" s="578"/>
      <c r="BR12" s="578"/>
      <c r="BS12" s="578"/>
      <c r="BT12" s="578"/>
      <c r="BU12" s="578"/>
      <c r="BV12" s="578"/>
      <c r="BW12" s="578"/>
    </row>
    <row r="13" spans="1:75" ht="14.25" customHeight="1" x14ac:dyDescent="0.3">
      <c r="A13" s="648" t="s">
        <v>61</v>
      </c>
      <c r="B13" s="649">
        <v>1</v>
      </c>
      <c r="C13" s="650">
        <v>5</v>
      </c>
      <c r="D13" s="666" t="s">
        <v>542</v>
      </c>
      <c r="E13" s="652">
        <v>267</v>
      </c>
      <c r="F13" s="653">
        <v>321058</v>
      </c>
      <c r="G13" s="653">
        <f>F13*'Electricity Conversions'!Q30</f>
        <v>331874.70420131291</v>
      </c>
      <c r="H13" s="653">
        <f>G13*'Electricity Conversions'!B20</f>
        <v>219115.62720305801</v>
      </c>
      <c r="I13" s="653">
        <f>'Solar PV Data'!M18</f>
        <v>1084676.9967516181</v>
      </c>
      <c r="J13" s="654">
        <f>'Solar PV Data'!M38</f>
        <v>5161477.0676194374</v>
      </c>
      <c r="K13" s="655"/>
      <c r="L13" s="656"/>
      <c r="M13" s="657"/>
      <c r="N13" s="658"/>
      <c r="O13" s="658"/>
      <c r="P13" s="658"/>
      <c r="Q13" s="658"/>
      <c r="R13" s="658"/>
      <c r="S13" s="658"/>
      <c r="T13" s="658"/>
      <c r="U13" s="658"/>
      <c r="V13" s="658"/>
      <c r="W13" s="658"/>
      <c r="X13" s="658"/>
      <c r="Y13" s="659"/>
      <c r="Z13" s="657"/>
      <c r="AA13" s="658"/>
      <c r="AB13" s="658"/>
      <c r="AC13" s="658"/>
      <c r="AD13" s="658"/>
      <c r="AE13" s="658"/>
      <c r="AF13" s="659"/>
      <c r="AG13" s="657"/>
      <c r="AH13" s="658"/>
      <c r="AI13" s="658"/>
      <c r="AJ13" s="658"/>
      <c r="AK13" s="658"/>
      <c r="AL13" s="658"/>
      <c r="AM13" s="658"/>
      <c r="AN13" s="658"/>
      <c r="AO13" s="658"/>
      <c r="AP13" s="658"/>
      <c r="AQ13" s="659"/>
      <c r="AR13" s="660"/>
      <c r="AS13" s="653">
        <f t="shared" ref="AS13:AT13" si="17">I13*$AU$69</f>
        <v>491.99863895656648</v>
      </c>
      <c r="AT13" s="653">
        <f t="shared" si="17"/>
        <v>2341.1943831015005</v>
      </c>
      <c r="AU13" s="653">
        <f t="shared" si="15"/>
        <v>307.43562958967436</v>
      </c>
      <c r="AV13" s="656">
        <f t="shared" si="16"/>
        <v>1462.944228234257</v>
      </c>
      <c r="AW13" s="661">
        <v>271096</v>
      </c>
      <c r="AX13" s="662">
        <v>169400</v>
      </c>
      <c r="AY13" s="663">
        <f t="shared" si="3"/>
        <v>0.6248708944432968</v>
      </c>
      <c r="AZ13" s="664">
        <f t="shared" si="4"/>
        <v>551.00965436599972</v>
      </c>
      <c r="BA13" s="664">
        <f t="shared" si="5"/>
        <v>115.7938879217988</v>
      </c>
      <c r="BB13" s="664">
        <f t="shared" si="6"/>
        <v>344.3098955705741</v>
      </c>
      <c r="BC13" s="665">
        <f t="shared" si="7"/>
        <v>72.35623031676127</v>
      </c>
      <c r="BD13" s="577"/>
      <c r="BE13" s="578"/>
      <c r="BF13" s="578"/>
      <c r="BG13" s="578"/>
      <c r="BH13" s="578"/>
      <c r="BI13" s="578"/>
      <c r="BJ13" s="578"/>
      <c r="BK13" s="578"/>
      <c r="BL13" s="578"/>
      <c r="BM13" s="578"/>
      <c r="BN13" s="578"/>
      <c r="BO13" s="578"/>
      <c r="BP13" s="578"/>
      <c r="BQ13" s="578"/>
      <c r="BR13" s="578"/>
      <c r="BS13" s="578"/>
      <c r="BT13" s="578"/>
      <c r="BU13" s="578"/>
      <c r="BV13" s="578"/>
      <c r="BW13" s="578"/>
    </row>
    <row r="14" spans="1:75" ht="14.25" customHeight="1" x14ac:dyDescent="0.3">
      <c r="A14" s="668" t="s">
        <v>62</v>
      </c>
      <c r="B14" s="649">
        <v>1</v>
      </c>
      <c r="C14" s="650">
        <v>19</v>
      </c>
      <c r="D14" s="666" t="s">
        <v>543</v>
      </c>
      <c r="E14" s="681">
        <v>47.6</v>
      </c>
      <c r="F14" s="653">
        <v>60000</v>
      </c>
      <c r="G14" s="653">
        <f>F14*'Electricity Conversions'!Q30</f>
        <v>62021.448623235599</v>
      </c>
      <c r="H14" s="654">
        <f>G14*'Electricity Conversions'!B20</f>
        <v>40948.793153210572</v>
      </c>
      <c r="I14" s="653">
        <f>'Solar PV Data'!O19</f>
        <v>242641.9972037921</v>
      </c>
      <c r="J14" s="654">
        <f>'Solar PV Data'!O39</f>
        <v>1000713.6360690714</v>
      </c>
      <c r="K14" s="655"/>
      <c r="L14" s="656"/>
      <c r="M14" s="657"/>
      <c r="N14" s="658"/>
      <c r="O14" s="658"/>
      <c r="P14" s="658"/>
      <c r="Q14" s="658"/>
      <c r="R14" s="658"/>
      <c r="S14" s="658"/>
      <c r="T14" s="658"/>
      <c r="U14" s="658"/>
      <c r="V14" s="658"/>
      <c r="W14" s="658"/>
      <c r="X14" s="658"/>
      <c r="Y14" s="659"/>
      <c r="Z14" s="657"/>
      <c r="AA14" s="658"/>
      <c r="AB14" s="658"/>
      <c r="AC14" s="672"/>
      <c r="AD14" s="672"/>
      <c r="AE14" s="672"/>
      <c r="AF14" s="659"/>
      <c r="AG14" s="657"/>
      <c r="AH14" s="658"/>
      <c r="AI14" s="658"/>
      <c r="AJ14" s="658"/>
      <c r="AK14" s="658"/>
      <c r="AL14" s="658"/>
      <c r="AM14" s="658"/>
      <c r="AN14" s="658"/>
      <c r="AO14" s="658"/>
      <c r="AP14" s="658"/>
      <c r="AQ14" s="659"/>
      <c r="AR14" s="660">
        <v>2025</v>
      </c>
      <c r="AS14" s="653">
        <f t="shared" ref="AS14:AT14" si="18">I14*$AU$69</f>
        <v>110.05998351166807</v>
      </c>
      <c r="AT14" s="653">
        <f t="shared" si="18"/>
        <v>453.91369818457008</v>
      </c>
      <c r="AU14" s="653">
        <f t="shared" si="15"/>
        <v>38.520713411285818</v>
      </c>
      <c r="AV14" s="656">
        <f t="shared" si="16"/>
        <v>158.86863620482936</v>
      </c>
      <c r="AW14" s="661">
        <v>117578</v>
      </c>
      <c r="AX14" s="662">
        <v>41152</v>
      </c>
      <c r="AY14" s="663">
        <f t="shared" si="3"/>
        <v>0.34999744850227082</v>
      </c>
      <c r="AZ14" s="664">
        <f t="shared" si="4"/>
        <v>1068.3083555753478</v>
      </c>
      <c r="BA14" s="664">
        <f t="shared" si="5"/>
        <v>259.03161872015266</v>
      </c>
      <c r="BB14" s="664">
        <f t="shared" si="6"/>
        <v>373.90519866502842</v>
      </c>
      <c r="BC14" s="665">
        <f t="shared" si="7"/>
        <v>90.660405633466482</v>
      </c>
      <c r="BD14" s="577"/>
      <c r="BE14" s="578"/>
      <c r="BF14" s="578"/>
      <c r="BG14" s="578"/>
      <c r="BH14" s="578"/>
      <c r="BI14" s="578"/>
      <c r="BJ14" s="578"/>
      <c r="BK14" s="578"/>
      <c r="BL14" s="578"/>
      <c r="BM14" s="578"/>
      <c r="BN14" s="578"/>
      <c r="BO14" s="578"/>
      <c r="BP14" s="578"/>
      <c r="BQ14" s="578"/>
      <c r="BR14" s="578"/>
      <c r="BS14" s="578"/>
      <c r="BT14" s="578"/>
      <c r="BU14" s="578"/>
      <c r="BV14" s="578"/>
      <c r="BW14" s="578"/>
    </row>
    <row r="15" spans="1:75" ht="14.25" customHeight="1" x14ac:dyDescent="0.3">
      <c r="A15" s="648" t="s">
        <v>54</v>
      </c>
      <c r="B15" s="649">
        <v>1</v>
      </c>
      <c r="C15" s="675">
        <v>2</v>
      </c>
      <c r="D15" s="674" t="s">
        <v>544</v>
      </c>
      <c r="E15" s="682">
        <v>102.08</v>
      </c>
      <c r="F15" s="653">
        <v>127600</v>
      </c>
      <c r="G15" s="653">
        <f>F15*'Electricity Conversions'!Q30</f>
        <v>131898.94740541436</v>
      </c>
      <c r="H15" s="654">
        <f>G15*'Electricity Conversions'!B20</f>
        <v>87084.433439161148</v>
      </c>
      <c r="I15" s="653">
        <f>'Solar PV Data'!S19</f>
        <v>516018.64738673123</v>
      </c>
      <c r="J15" s="683">
        <f>'Solar PV Data'!S39</f>
        <v>2128184.3327068915</v>
      </c>
      <c r="K15" s="655"/>
      <c r="L15" s="656"/>
      <c r="M15" s="657"/>
      <c r="N15" s="658"/>
      <c r="O15" s="658"/>
      <c r="P15" s="658"/>
      <c r="Q15" s="658"/>
      <c r="R15" s="658"/>
      <c r="S15" s="658"/>
      <c r="T15" s="658"/>
      <c r="U15" s="658"/>
      <c r="V15" s="658"/>
      <c r="W15" s="658"/>
      <c r="X15" s="658"/>
      <c r="Y15" s="659"/>
      <c r="Z15" s="657"/>
      <c r="AA15" s="658"/>
      <c r="AB15" s="658"/>
      <c r="AC15" s="672"/>
      <c r="AD15" s="672"/>
      <c r="AE15" s="672"/>
      <c r="AF15" s="659"/>
      <c r="AG15" s="657"/>
      <c r="AH15" s="658"/>
      <c r="AI15" s="658"/>
      <c r="AJ15" s="658"/>
      <c r="AK15" s="658"/>
      <c r="AL15" s="658"/>
      <c r="AM15" s="658"/>
      <c r="AN15" s="658"/>
      <c r="AO15" s="658"/>
      <c r="AP15" s="658"/>
      <c r="AQ15" s="659"/>
      <c r="AR15" s="660">
        <v>2025</v>
      </c>
      <c r="AS15" s="653">
        <f t="shared" ref="AS15:AT15" si="19">I15*$AU$69</f>
        <v>234.06089826814744</v>
      </c>
      <c r="AT15" s="653">
        <f t="shared" si="19"/>
        <v>965.32313147251898</v>
      </c>
      <c r="AU15" s="653">
        <f t="shared" si="15"/>
        <v>163.84262878770321</v>
      </c>
      <c r="AV15" s="656">
        <f t="shared" si="16"/>
        <v>675.72619203076329</v>
      </c>
      <c r="AW15" s="661">
        <v>300000</v>
      </c>
      <c r="AX15" s="662">
        <v>210000</v>
      </c>
      <c r="AY15" s="663">
        <f t="shared" si="3"/>
        <v>0.7</v>
      </c>
      <c r="AZ15" s="664">
        <f t="shared" si="4"/>
        <v>1281.7177162855739</v>
      </c>
      <c r="BA15" s="664">
        <f t="shared" si="5"/>
        <v>310.77676502206606</v>
      </c>
      <c r="BB15" s="664">
        <f t="shared" si="6"/>
        <v>897.20240139990176</v>
      </c>
      <c r="BC15" s="665">
        <f t="shared" si="7"/>
        <v>217.54373551544623</v>
      </c>
      <c r="BD15" s="577"/>
      <c r="BE15" s="578"/>
      <c r="BF15" s="578"/>
      <c r="BG15" s="578"/>
      <c r="BH15" s="578"/>
      <c r="BI15" s="578"/>
      <c r="BJ15" s="578"/>
      <c r="BK15" s="578"/>
      <c r="BL15" s="578"/>
      <c r="BM15" s="578"/>
      <c r="BN15" s="578"/>
      <c r="BO15" s="578"/>
      <c r="BP15" s="578"/>
      <c r="BQ15" s="578"/>
      <c r="BR15" s="578"/>
      <c r="BS15" s="578"/>
      <c r="BT15" s="578"/>
      <c r="BU15" s="578"/>
      <c r="BV15" s="578"/>
      <c r="BW15" s="578"/>
    </row>
    <row r="16" spans="1:75" ht="14.25" customHeight="1" x14ac:dyDescent="0.3">
      <c r="A16" s="648" t="s">
        <v>63</v>
      </c>
      <c r="B16" s="649">
        <v>1</v>
      </c>
      <c r="C16" s="650">
        <v>6</v>
      </c>
      <c r="D16" s="666" t="s">
        <v>545</v>
      </c>
      <c r="E16" s="681">
        <f>51.2+14</f>
        <v>65.2</v>
      </c>
      <c r="F16" s="653">
        <f>66000+16100</f>
        <v>82100</v>
      </c>
      <c r="G16" s="653">
        <f>F16*'Electricity Conversions'!Q30</f>
        <v>84866.015532794045</v>
      </c>
      <c r="H16" s="654">
        <f>G16*'Electricity Conversions'!B20</f>
        <v>56031.598631309804</v>
      </c>
      <c r="I16" s="653">
        <f>'Solar PV Data'!U19</f>
        <v>332015.13284052222</v>
      </c>
      <c r="J16" s="683">
        <f>'Solar PV Data'!U39</f>
        <v>1369309.8253545128</v>
      </c>
      <c r="K16" s="655"/>
      <c r="L16" s="656"/>
      <c r="M16" s="657"/>
      <c r="N16" s="658"/>
      <c r="O16" s="653">
        <f>26270*'Electricity Conversions'!Q30</f>
        <v>27155.057588873318</v>
      </c>
      <c r="P16" s="653"/>
      <c r="Q16" s="653"/>
      <c r="R16" s="653"/>
      <c r="S16" s="653"/>
      <c r="T16" s="653"/>
      <c r="U16" s="653">
        <v>1000</v>
      </c>
      <c r="V16" s="653">
        <v>1500</v>
      </c>
      <c r="W16" s="653">
        <f>(O16*'Electricity Conversions'!B20)+(U16*'Fuel Oil+Propane Metrics'!A3)+('Fuel Oil+Propane Metrics'!A16*V16)</f>
        <v>61877.922214547369</v>
      </c>
      <c r="X16" s="653">
        <f>W16*5</f>
        <v>309389.61107273685</v>
      </c>
      <c r="Y16" s="656">
        <f>W16*25</f>
        <v>1546948.0553636842</v>
      </c>
      <c r="Z16" s="657"/>
      <c r="AA16" s="658"/>
      <c r="AB16" s="658"/>
      <c r="AC16" s="672"/>
      <c r="AD16" s="672"/>
      <c r="AE16" s="672"/>
      <c r="AF16" s="659"/>
      <c r="AG16" s="657"/>
      <c r="AH16" s="658"/>
      <c r="AI16" s="658"/>
      <c r="AJ16" s="658"/>
      <c r="AK16" s="658"/>
      <c r="AL16" s="658"/>
      <c r="AM16" s="658"/>
      <c r="AN16" s="658"/>
      <c r="AO16" s="658"/>
      <c r="AP16" s="658"/>
      <c r="AQ16" s="659"/>
      <c r="AR16" s="660">
        <v>2025</v>
      </c>
      <c r="AS16" s="653">
        <f t="shared" ref="AS16:AT16" si="20">(I16+X16)*$AU$69</f>
        <v>290.9347777916152</v>
      </c>
      <c r="AT16" s="653">
        <f t="shared" si="20"/>
        <v>1322.7854121149669</v>
      </c>
      <c r="AU16" s="653">
        <f t="shared" si="15"/>
        <v>101.82717222706532</v>
      </c>
      <c r="AV16" s="656">
        <f t="shared" si="16"/>
        <v>462.97489424023837</v>
      </c>
      <c r="AW16" s="661">
        <v>244280</v>
      </c>
      <c r="AX16" s="662">
        <v>85498</v>
      </c>
      <c r="AY16" s="663">
        <f t="shared" si="3"/>
        <v>0.35</v>
      </c>
      <c r="AZ16" s="664">
        <f t="shared" si="4"/>
        <v>839.6383610589445</v>
      </c>
      <c r="BA16" s="664">
        <f t="shared" si="5"/>
        <v>184.67092074248623</v>
      </c>
      <c r="BB16" s="664">
        <f t="shared" si="6"/>
        <v>293.87342637063057</v>
      </c>
      <c r="BC16" s="665">
        <f t="shared" si="7"/>
        <v>64.634822259870177</v>
      </c>
      <c r="BD16" s="577"/>
      <c r="BE16" s="578"/>
      <c r="BF16" s="578"/>
      <c r="BG16" s="578"/>
      <c r="BH16" s="578"/>
      <c r="BI16" s="578"/>
      <c r="BJ16" s="578"/>
      <c r="BK16" s="578"/>
      <c r="BL16" s="578"/>
      <c r="BM16" s="578"/>
      <c r="BN16" s="578"/>
      <c r="BO16" s="578"/>
      <c r="BP16" s="578"/>
      <c r="BQ16" s="578"/>
      <c r="BR16" s="578"/>
      <c r="BS16" s="578"/>
      <c r="BT16" s="578"/>
      <c r="BU16" s="578"/>
      <c r="BV16" s="578"/>
      <c r="BW16" s="578"/>
    </row>
    <row r="17" spans="1:75" ht="14.25" customHeight="1" x14ac:dyDescent="0.3">
      <c r="A17" s="648" t="s">
        <v>64</v>
      </c>
      <c r="B17" s="649">
        <v>1</v>
      </c>
      <c r="C17" s="650">
        <v>15</v>
      </c>
      <c r="D17" s="669" t="s">
        <v>546</v>
      </c>
      <c r="E17" s="681">
        <v>140</v>
      </c>
      <c r="F17" s="653">
        <v>157710</v>
      </c>
      <c r="G17" s="653">
        <f>F17*'Electricity Conversions'!Q30</f>
        <v>163023.37770617477</v>
      </c>
      <c r="H17" s="654">
        <f>G17*'Electricity Conversions'!B20</f>
        <v>107633.90280321399</v>
      </c>
      <c r="I17" s="653">
        <f>'Solar PV Data'!Y16</f>
        <v>321289.89071516384</v>
      </c>
      <c r="J17" s="683">
        <f>'Solar PV Data'!Y36</f>
        <v>2344071.4612606373</v>
      </c>
      <c r="K17" s="655"/>
      <c r="L17" s="656"/>
      <c r="M17" s="657"/>
      <c r="N17" s="658"/>
      <c r="O17" s="653">
        <f>(131196+25028+14178+170578)*'Electricity Conversions'!Q30</f>
        <v>352467.89252584788</v>
      </c>
      <c r="P17" s="658"/>
      <c r="Q17" s="658"/>
      <c r="R17" s="653">
        <f>209+4048</f>
        <v>4257</v>
      </c>
      <c r="S17" s="658"/>
      <c r="T17" s="658"/>
      <c r="U17" s="658"/>
      <c r="V17" s="658"/>
      <c r="W17" s="653">
        <f>'Project-Specific Calcs_Lifecycl'!B19</f>
        <v>287591.08111266652</v>
      </c>
      <c r="X17" s="684">
        <f>'Project-Specific Calcs_Lifecycl'!B18+('Project-Specific Calcs_Lifecycl'!B19*4)</f>
        <v>1256984.0621434522</v>
      </c>
      <c r="Y17" s="680">
        <f>X17+('Project-Specific Calcs_Lifecycl'!B19*20)</f>
        <v>7008805.6843967829</v>
      </c>
      <c r="Z17" s="657"/>
      <c r="AA17" s="658"/>
      <c r="AB17" s="658"/>
      <c r="AC17" s="672"/>
      <c r="AD17" s="672"/>
      <c r="AE17" s="672"/>
      <c r="AF17" s="659"/>
      <c r="AG17" s="657"/>
      <c r="AH17" s="658"/>
      <c r="AI17" s="658"/>
      <c r="AJ17" s="658"/>
      <c r="AK17" s="658"/>
      <c r="AL17" s="658"/>
      <c r="AM17" s="658"/>
      <c r="AN17" s="658"/>
      <c r="AO17" s="658"/>
      <c r="AP17" s="658"/>
      <c r="AQ17" s="659"/>
      <c r="AR17" s="685" t="s">
        <v>65</v>
      </c>
      <c r="AS17" s="653">
        <f t="shared" ref="AS17:AT17" si="21">(I17+X17)*$AU$69</f>
        <v>715.88928227713973</v>
      </c>
      <c r="AT17" s="653">
        <f t="shared" si="21"/>
        <v>4242.3715444987492</v>
      </c>
      <c r="AU17" s="653">
        <f t="shared" si="15"/>
        <v>338.34174810408575</v>
      </c>
      <c r="AV17" s="656">
        <f t="shared" si="16"/>
        <v>2005.0187089084909</v>
      </c>
      <c r="AW17" s="661">
        <v>1539300</v>
      </c>
      <c r="AX17" s="662">
        <v>727500</v>
      </c>
      <c r="AY17" s="663">
        <f t="shared" si="3"/>
        <v>0.47261742350419023</v>
      </c>
      <c r="AZ17" s="664">
        <f t="shared" si="4"/>
        <v>2150.1928274491138</v>
      </c>
      <c r="BA17" s="664">
        <f t="shared" si="5"/>
        <v>362.8395070667658</v>
      </c>
      <c r="BB17" s="664">
        <f t="shared" si="6"/>
        <v>1016.2185941461902</v>
      </c>
      <c r="BC17" s="665">
        <f t="shared" si="7"/>
        <v>171.48427297542526</v>
      </c>
      <c r="BD17" s="577"/>
      <c r="BE17" s="578"/>
      <c r="BF17" s="578"/>
      <c r="BG17" s="578"/>
      <c r="BH17" s="578"/>
      <c r="BI17" s="578"/>
      <c r="BJ17" s="578"/>
      <c r="BK17" s="578"/>
      <c r="BL17" s="578"/>
      <c r="BM17" s="578"/>
      <c r="BN17" s="578"/>
      <c r="BO17" s="578"/>
      <c r="BP17" s="578"/>
      <c r="BQ17" s="578"/>
      <c r="BR17" s="578"/>
      <c r="BS17" s="578"/>
      <c r="BT17" s="578"/>
      <c r="BU17" s="578"/>
      <c r="BV17" s="578"/>
      <c r="BW17" s="578"/>
    </row>
    <row r="18" spans="1:75" ht="14.25" customHeight="1" x14ac:dyDescent="0.3">
      <c r="A18" s="668" t="s">
        <v>64</v>
      </c>
      <c r="B18" s="649">
        <v>1</v>
      </c>
      <c r="C18" s="675">
        <v>16</v>
      </c>
      <c r="D18" s="669" t="s">
        <v>547</v>
      </c>
      <c r="E18" s="681">
        <v>185</v>
      </c>
      <c r="F18" s="653">
        <v>233614</v>
      </c>
      <c r="G18" s="653">
        <f>F18*'Electricity Conversions'!Q30</f>
        <v>241484.64497780934</v>
      </c>
      <c r="H18" s="654">
        <f>G18*'Electricity Conversions'!B20</f>
        <v>159436.85606156892</v>
      </c>
      <c r="I18" s="653">
        <f>'Solar PV Data'!AA16</f>
        <v>475923.00126518472</v>
      </c>
      <c r="J18" s="683">
        <f>'Solar PV Data'!AA36</f>
        <v>3472245.9599958318</v>
      </c>
      <c r="K18" s="655"/>
      <c r="L18" s="656"/>
      <c r="M18" s="657"/>
      <c r="N18" s="658"/>
      <c r="O18" s="686">
        <f>'Project-Specific Calcs_Lifecycl'!B32</f>
        <v>-118579</v>
      </c>
      <c r="P18" s="658"/>
      <c r="Q18" s="658"/>
      <c r="R18" s="653">
        <f>'Project-Specific Calcs_Lifecycl'!E32</f>
        <v>957.24003887269203</v>
      </c>
      <c r="S18" s="658"/>
      <c r="T18" s="658"/>
      <c r="U18" s="658"/>
      <c r="V18" s="658"/>
      <c r="W18" s="686">
        <f>'Project-Specific Calcs_Lifecycl'!G32</f>
        <v>-68229.660876096212</v>
      </c>
      <c r="X18" s="686">
        <f>'Project-Specific Calcs_Lifecycl'!B39+('Project-Specific Calcs_Lifecycl'!B40*4)</f>
        <v>-250565.37980193307</v>
      </c>
      <c r="Y18" s="687">
        <f>X18+('Project-Specific Calcs_Lifecycl'!B40*20)</f>
        <v>-1615158.5973238572</v>
      </c>
      <c r="Z18" s="657"/>
      <c r="AA18" s="658"/>
      <c r="AB18" s="658"/>
      <c r="AC18" s="672"/>
      <c r="AD18" s="672"/>
      <c r="AE18" s="672"/>
      <c r="AF18" s="659"/>
      <c r="AG18" s="657"/>
      <c r="AH18" s="658"/>
      <c r="AI18" s="658"/>
      <c r="AJ18" s="658"/>
      <c r="AK18" s="658"/>
      <c r="AL18" s="658"/>
      <c r="AM18" s="658"/>
      <c r="AN18" s="658"/>
      <c r="AO18" s="658"/>
      <c r="AP18" s="658"/>
      <c r="AQ18" s="659"/>
      <c r="AR18" s="660" t="s">
        <v>66</v>
      </c>
      <c r="AS18" s="653">
        <f t="shared" ref="AS18:AT18" si="22">(I18+X18)*$AU$69</f>
        <v>102.21996351951633</v>
      </c>
      <c r="AT18" s="653">
        <f t="shared" si="22"/>
        <v>842.35625683438104</v>
      </c>
      <c r="AU18" s="653">
        <f t="shared" si="15"/>
        <v>56.004187143012828</v>
      </c>
      <c r="AV18" s="656">
        <f t="shared" si="16"/>
        <v>461.50943342719432</v>
      </c>
      <c r="AW18" s="661">
        <v>496500</v>
      </c>
      <c r="AX18" s="662">
        <v>272022</v>
      </c>
      <c r="AY18" s="663">
        <f t="shared" si="3"/>
        <v>0.54787915407854981</v>
      </c>
      <c r="AZ18" s="664">
        <f t="shared" si="4"/>
        <v>4857.1725414987632</v>
      </c>
      <c r="BA18" s="664">
        <f t="shared" si="5"/>
        <v>589.4180710022539</v>
      </c>
      <c r="BB18" s="664">
        <f t="shared" si="6"/>
        <v>2661.1435832499023</v>
      </c>
      <c r="BC18" s="665">
        <f t="shared" si="7"/>
        <v>322.92987413932548</v>
      </c>
      <c r="BD18" s="577"/>
      <c r="BE18" s="578"/>
      <c r="BF18" s="578"/>
      <c r="BG18" s="578"/>
      <c r="BH18" s="578"/>
      <c r="BI18" s="578"/>
      <c r="BJ18" s="578"/>
      <c r="BK18" s="578"/>
      <c r="BL18" s="578"/>
      <c r="BM18" s="578"/>
      <c r="BN18" s="578"/>
      <c r="BO18" s="578"/>
      <c r="BP18" s="578"/>
      <c r="BQ18" s="578"/>
      <c r="BR18" s="578"/>
      <c r="BS18" s="578"/>
      <c r="BT18" s="578"/>
      <c r="BU18" s="578"/>
      <c r="BV18" s="578"/>
      <c r="BW18" s="578"/>
    </row>
    <row r="19" spans="1:75" ht="14.25" customHeight="1" x14ac:dyDescent="0.3">
      <c r="A19" s="668" t="s">
        <v>64</v>
      </c>
      <c r="B19" s="649">
        <v>1</v>
      </c>
      <c r="C19" s="650">
        <v>17</v>
      </c>
      <c r="D19" s="669" t="s">
        <v>548</v>
      </c>
      <c r="E19" s="681"/>
      <c r="F19" s="653"/>
      <c r="G19" s="653"/>
      <c r="H19" s="654"/>
      <c r="I19" s="653"/>
      <c r="J19" s="683"/>
      <c r="K19" s="655"/>
      <c r="L19" s="656"/>
      <c r="M19" s="657"/>
      <c r="N19" s="653">
        <f>'Project-Specific Calcs_Lifecycl'!C52</f>
        <v>-7800.2308551822643</v>
      </c>
      <c r="O19" s="653">
        <f>N19*'Electricity Conversions'!Q30</f>
        <v>-8063.0269539010642</v>
      </c>
      <c r="P19" s="658"/>
      <c r="Q19" s="653"/>
      <c r="R19" s="653">
        <f>'Project-Specific Calcs_Lifecycl'!E51</f>
        <v>6104</v>
      </c>
      <c r="S19" s="653"/>
      <c r="T19" s="653"/>
      <c r="U19" s="658"/>
      <c r="V19" s="658"/>
      <c r="W19" s="653">
        <f>'Project-Specific Calcs_Lifecycl'!G52</f>
        <v>71961.470316381092</v>
      </c>
      <c r="X19" s="653">
        <f>'Project-Specific Calcs_Lifecycl'!B59+('Project-Specific Calcs_Lifecycl'!B60*4)</f>
        <v>305296.89194765093</v>
      </c>
      <c r="Y19" s="656">
        <f>'Project-Specific Calcs_Lifecycl'!B60*20</f>
        <v>1439229.4063276218</v>
      </c>
      <c r="Z19" s="657"/>
      <c r="AA19" s="658"/>
      <c r="AB19" s="658"/>
      <c r="AC19" s="672"/>
      <c r="AD19" s="672"/>
      <c r="AE19" s="672"/>
      <c r="AF19" s="659"/>
      <c r="AG19" s="657"/>
      <c r="AH19" s="658"/>
      <c r="AI19" s="658"/>
      <c r="AJ19" s="658"/>
      <c r="AK19" s="658"/>
      <c r="AL19" s="658"/>
      <c r="AM19" s="658"/>
      <c r="AN19" s="658"/>
      <c r="AO19" s="658"/>
      <c r="AP19" s="658"/>
      <c r="AQ19" s="659"/>
      <c r="AR19" s="660" t="s">
        <v>66</v>
      </c>
      <c r="AS19" s="653">
        <f t="shared" ref="AS19:AT19" si="23">X19*$AU$69</f>
        <v>138.479617218535</v>
      </c>
      <c r="AT19" s="653">
        <f t="shared" si="23"/>
        <v>652.82006641614601</v>
      </c>
      <c r="AU19" s="653">
        <f t="shared" si="15"/>
        <v>69.239808609267499</v>
      </c>
      <c r="AV19" s="656">
        <f t="shared" si="16"/>
        <v>326.410033208073</v>
      </c>
      <c r="AW19" s="661">
        <v>116100</v>
      </c>
      <c r="AX19" s="662">
        <v>58050</v>
      </c>
      <c r="AY19" s="663">
        <f t="shared" si="3"/>
        <v>0.5</v>
      </c>
      <c r="AZ19" s="664">
        <f t="shared" si="4"/>
        <v>838.39053235381436</v>
      </c>
      <c r="BA19" s="664">
        <f t="shared" si="5"/>
        <v>177.84379796620868</v>
      </c>
      <c r="BB19" s="664">
        <f t="shared" si="6"/>
        <v>419.19526617690718</v>
      </c>
      <c r="BC19" s="665">
        <f t="shared" si="7"/>
        <v>88.921898983104342</v>
      </c>
      <c r="BD19" s="577"/>
      <c r="BE19" s="578"/>
      <c r="BF19" s="578"/>
      <c r="BG19" s="578"/>
      <c r="BH19" s="578"/>
      <c r="BI19" s="578"/>
      <c r="BJ19" s="578"/>
      <c r="BK19" s="578"/>
      <c r="BL19" s="578"/>
      <c r="BM19" s="578"/>
      <c r="BN19" s="578"/>
      <c r="BO19" s="578"/>
      <c r="BP19" s="578"/>
      <c r="BQ19" s="578"/>
      <c r="BR19" s="578"/>
      <c r="BS19" s="578"/>
      <c r="BT19" s="578"/>
      <c r="BU19" s="578"/>
      <c r="BV19" s="578"/>
      <c r="BW19" s="578"/>
    </row>
    <row r="20" spans="1:75" ht="14.25" customHeight="1" x14ac:dyDescent="0.3">
      <c r="A20" s="648" t="s">
        <v>67</v>
      </c>
      <c r="B20" s="649">
        <v>1</v>
      </c>
      <c r="C20" s="650">
        <v>26</v>
      </c>
      <c r="D20" s="669" t="s">
        <v>549</v>
      </c>
      <c r="E20" s="688">
        <v>1219</v>
      </c>
      <c r="F20" s="653">
        <v>1650000</v>
      </c>
      <c r="G20" s="653">
        <f>F20*'Electricity Conversions'!Q30</f>
        <v>1705589.837138979</v>
      </c>
      <c r="H20" s="654">
        <f>G20*'Electricity Conversions'!B20</f>
        <v>1126091.8117132909</v>
      </c>
      <c r="I20" s="653">
        <f>'Solar PV Data'!AC16</f>
        <v>3361412.210259466</v>
      </c>
      <c r="J20" s="683">
        <f>'Solar PV Data'!AC36</f>
        <v>24524240.131127086</v>
      </c>
      <c r="K20" s="655"/>
      <c r="L20" s="656"/>
      <c r="M20" s="655"/>
      <c r="N20" s="653"/>
      <c r="O20" s="653"/>
      <c r="P20" s="653"/>
      <c r="Q20" s="653"/>
      <c r="R20" s="653"/>
      <c r="S20" s="653"/>
      <c r="T20" s="653"/>
      <c r="U20" s="658"/>
      <c r="V20" s="658"/>
      <c r="W20" s="653"/>
      <c r="X20" s="653"/>
      <c r="Y20" s="656"/>
      <c r="Z20" s="657"/>
      <c r="AA20" s="658"/>
      <c r="AB20" s="658"/>
      <c r="AC20" s="672"/>
      <c r="AD20" s="672"/>
      <c r="AE20" s="672"/>
      <c r="AF20" s="659"/>
      <c r="AG20" s="657"/>
      <c r="AH20" s="658"/>
      <c r="AI20" s="658"/>
      <c r="AJ20" s="658"/>
      <c r="AK20" s="658"/>
      <c r="AL20" s="658"/>
      <c r="AM20" s="658"/>
      <c r="AN20" s="658"/>
      <c r="AO20" s="658"/>
      <c r="AP20" s="658"/>
      <c r="AQ20" s="659"/>
      <c r="AR20" s="660">
        <v>2028</v>
      </c>
      <c r="AS20" s="653">
        <f t="shared" ref="AS20:AT20" si="24">I20*$AU$69</f>
        <v>1524.7029644515912</v>
      </c>
      <c r="AT20" s="653">
        <f t="shared" si="24"/>
        <v>11123.950081077935</v>
      </c>
      <c r="AU20" s="653">
        <f t="shared" si="15"/>
        <v>1067.2920751161139</v>
      </c>
      <c r="AV20" s="656">
        <f t="shared" si="16"/>
        <v>7786.7650567545543</v>
      </c>
      <c r="AW20" s="661">
        <v>2500000</v>
      </c>
      <c r="AX20" s="662">
        <v>1750000</v>
      </c>
      <c r="AY20" s="663">
        <f t="shared" si="3"/>
        <v>0.7</v>
      </c>
      <c r="AZ20" s="664">
        <f t="shared" si="4"/>
        <v>1639.6636317285615</v>
      </c>
      <c r="BA20" s="664">
        <f t="shared" si="5"/>
        <v>224.74031093078625</v>
      </c>
      <c r="BB20" s="664">
        <f t="shared" si="6"/>
        <v>1147.7645422099931</v>
      </c>
      <c r="BC20" s="665">
        <f t="shared" si="7"/>
        <v>157.31821765155036</v>
      </c>
      <c r="BD20" s="577"/>
      <c r="BE20" s="578"/>
      <c r="BF20" s="578"/>
      <c r="BG20" s="578"/>
      <c r="BH20" s="578"/>
      <c r="BI20" s="578"/>
      <c r="BJ20" s="578"/>
      <c r="BK20" s="578"/>
      <c r="BL20" s="578"/>
      <c r="BM20" s="578"/>
      <c r="BN20" s="578"/>
      <c r="BO20" s="578"/>
      <c r="BP20" s="578"/>
      <c r="BQ20" s="578"/>
      <c r="BR20" s="578"/>
      <c r="BS20" s="578"/>
      <c r="BT20" s="578"/>
      <c r="BU20" s="578"/>
      <c r="BV20" s="578"/>
      <c r="BW20" s="578"/>
    </row>
    <row r="21" spans="1:75" ht="65.25" customHeight="1" x14ac:dyDescent="0.3">
      <c r="A21" s="648" t="s">
        <v>68</v>
      </c>
      <c r="B21" s="649">
        <v>1</v>
      </c>
      <c r="C21" s="650">
        <v>22</v>
      </c>
      <c r="D21" s="666" t="s">
        <v>550</v>
      </c>
      <c r="E21" s="689">
        <v>3395</v>
      </c>
      <c r="F21" s="679">
        <f>233300+104000+283900+196300+607500+250757+316664+857833+1090310</f>
        <v>3940564</v>
      </c>
      <c r="G21" s="684">
        <f>F21*'Electricity Conversions'!Q30</f>
        <v>4073324.7945428626</v>
      </c>
      <c r="H21" s="690">
        <f>G21*'Electricity Conversions'!B20</f>
        <v>2689355.6690498013</v>
      </c>
      <c r="I21" s="679">
        <f>'Solar PV Data'!BM17</f>
        <v>10677010.605525156</v>
      </c>
      <c r="J21" s="691">
        <f>'Solar PV Data'!BM38</f>
        <v>63350331.464989856</v>
      </c>
      <c r="K21" s="692"/>
      <c r="L21" s="693"/>
      <c r="M21" s="692"/>
      <c r="N21" s="694"/>
      <c r="O21" s="679">
        <f>(((246188+16821)-17866)+1121030)*'Electricity Conversions'!Q30</f>
        <v>1412200.4754991941</v>
      </c>
      <c r="P21" s="694"/>
      <c r="Q21" s="694"/>
      <c r="R21" s="679">
        <f>((25641+10550)-(27452+7963))*'Gas Metrics'!B31</f>
        <v>754.13022351797861</v>
      </c>
      <c r="S21" s="694"/>
      <c r="T21" s="694"/>
      <c r="U21" s="679">
        <v>44261</v>
      </c>
      <c r="V21" s="694"/>
      <c r="W21" s="684">
        <f>(O21*'Electricity Conversions'!B20)+(R21*'Gas Metrics'!H13)+(U21*'Fuel Oil+Propane Metrics'!A3)</f>
        <v>2042733.7155227531</v>
      </c>
      <c r="X21" s="679">
        <f>(O21*'Electricity Conversions'!B20*3)+('Final Project Calcs'!R21*'Gas Metrics'!H13*3)+('Final Project Calcs'!U21*'Fuel Oil+Propane Metrics'!A3*3)</f>
        <v>6128201.1465682592</v>
      </c>
      <c r="Y21" s="695">
        <f>(O21*'Electricity Conversions'!B20*23)+('Final Project Calcs'!R21*'Gas Metrics'!H13*23)+('Final Project Calcs'!U21*'Fuel Oil+Propane Metrics'!A3*23)</f>
        <v>46982875.457023323</v>
      </c>
      <c r="Z21" s="692"/>
      <c r="AA21" s="694"/>
      <c r="AB21" s="694"/>
      <c r="AC21" s="696"/>
      <c r="AD21" s="696"/>
      <c r="AE21" s="696"/>
      <c r="AF21" s="693"/>
      <c r="AG21" s="692"/>
      <c r="AH21" s="694"/>
      <c r="AI21" s="694"/>
      <c r="AJ21" s="694"/>
      <c r="AK21" s="694"/>
      <c r="AL21" s="694"/>
      <c r="AM21" s="694"/>
      <c r="AN21" s="694"/>
      <c r="AO21" s="694"/>
      <c r="AP21" s="694"/>
      <c r="AQ21" s="693"/>
      <c r="AR21" s="697" t="s">
        <v>69</v>
      </c>
      <c r="AS21" s="653">
        <f>(I21+X21)*AU69</f>
        <v>7622.6759986320531</v>
      </c>
      <c r="AT21" s="653">
        <f>(J21+Y21)*AU69</f>
        <v>50046.039327755963</v>
      </c>
      <c r="AU21" s="653">
        <f t="shared" si="15"/>
        <v>5323.2136521073026</v>
      </c>
      <c r="AV21" s="656">
        <f t="shared" si="16"/>
        <v>34949.112336824764</v>
      </c>
      <c r="AW21" s="661">
        <v>57278753</v>
      </c>
      <c r="AX21" s="662">
        <v>40000000</v>
      </c>
      <c r="AY21" s="663">
        <f t="shared" si="3"/>
        <v>0.6983392253668651</v>
      </c>
      <c r="AZ21" s="664">
        <f t="shared" si="4"/>
        <v>7514.2578551520628</v>
      </c>
      <c r="BA21" s="664">
        <f t="shared" si="5"/>
        <v>1144.5212002667454</v>
      </c>
      <c r="BB21" s="664">
        <f t="shared" si="6"/>
        <v>5247.5010097737731</v>
      </c>
      <c r="BC21" s="665">
        <f t="shared" si="7"/>
        <v>799.26404841023361</v>
      </c>
      <c r="BD21" s="577"/>
      <c r="BE21" s="578"/>
      <c r="BF21" s="578"/>
      <c r="BG21" s="578"/>
      <c r="BH21" s="578"/>
      <c r="BI21" s="578"/>
      <c r="BJ21" s="578"/>
      <c r="BK21" s="578"/>
      <c r="BL21" s="578"/>
      <c r="BM21" s="578"/>
      <c r="BN21" s="578"/>
      <c r="BO21" s="578"/>
      <c r="BP21" s="578"/>
      <c r="BQ21" s="578"/>
      <c r="BR21" s="578"/>
      <c r="BS21" s="578"/>
      <c r="BT21" s="578"/>
      <c r="BU21" s="578"/>
      <c r="BV21" s="578"/>
      <c r="BW21" s="578"/>
    </row>
    <row r="22" spans="1:75" ht="14.25" customHeight="1" x14ac:dyDescent="0.3">
      <c r="A22" s="648" t="s">
        <v>70</v>
      </c>
      <c r="B22" s="649">
        <v>1</v>
      </c>
      <c r="C22" s="650">
        <v>18</v>
      </c>
      <c r="D22" s="666" t="s">
        <v>551</v>
      </c>
      <c r="E22" s="689">
        <f>152.9+156.2+197.3+109.16+164.4+60+435.8</f>
        <v>1275.76</v>
      </c>
      <c r="F22" s="679">
        <f>195030+184620+252900+130610+201270+70000+582850</f>
        <v>1617280</v>
      </c>
      <c r="G22" s="684">
        <f>F22*'Electricity Conversions'!Q30</f>
        <v>1671767.4738231078</v>
      </c>
      <c r="H22" s="690">
        <f>G22*'Electricity Conversions'!B20</f>
        <v>1103761.0698470732</v>
      </c>
      <c r="I22" s="679">
        <f>'Solar PV Data'!BN14</f>
        <v>5407653.7133477395</v>
      </c>
      <c r="J22" s="691">
        <f>'Solar PV Data'!BN15</f>
        <v>25949268.276123229</v>
      </c>
      <c r="K22" s="692"/>
      <c r="L22" s="693"/>
      <c r="M22" s="692"/>
      <c r="N22" s="694"/>
      <c r="O22" s="679"/>
      <c r="P22" s="694"/>
      <c r="Q22" s="694"/>
      <c r="R22" s="679"/>
      <c r="S22" s="694"/>
      <c r="T22" s="694"/>
      <c r="U22" s="679"/>
      <c r="V22" s="694"/>
      <c r="W22" s="684"/>
      <c r="X22" s="679"/>
      <c r="Y22" s="695"/>
      <c r="Z22" s="692"/>
      <c r="AA22" s="694"/>
      <c r="AB22" s="694"/>
      <c r="AC22" s="696"/>
      <c r="AD22" s="696"/>
      <c r="AE22" s="696"/>
      <c r="AF22" s="693"/>
      <c r="AG22" s="692"/>
      <c r="AH22" s="694"/>
      <c r="AI22" s="694"/>
      <c r="AJ22" s="694"/>
      <c r="AK22" s="694"/>
      <c r="AL22" s="694"/>
      <c r="AM22" s="694"/>
      <c r="AN22" s="694"/>
      <c r="AO22" s="694"/>
      <c r="AP22" s="694"/>
      <c r="AQ22" s="693"/>
      <c r="AR22" s="697" t="s">
        <v>71</v>
      </c>
      <c r="AS22" s="653">
        <f>I22*AU69</f>
        <v>2452.8576478374011</v>
      </c>
      <c r="AT22" s="653">
        <f>J22*$AU$69</f>
        <v>11770.328597366737</v>
      </c>
      <c r="AU22" s="653">
        <f t="shared" si="15"/>
        <v>1264.6897597840864</v>
      </c>
      <c r="AV22" s="656">
        <f t="shared" si="16"/>
        <v>6068.7639413187317</v>
      </c>
      <c r="AW22" s="661">
        <f>417550+735000+521500+880000+991000+830000+728000</f>
        <v>5103050</v>
      </c>
      <c r="AX22" s="662">
        <v>2631125</v>
      </c>
      <c r="AY22" s="663">
        <f t="shared" si="3"/>
        <v>0.51559851461380934</v>
      </c>
      <c r="AZ22" s="664">
        <f t="shared" si="4"/>
        <v>2080.4509403548882</v>
      </c>
      <c r="BA22" s="664">
        <f t="shared" si="5"/>
        <v>433.55204213599075</v>
      </c>
      <c r="BB22" s="664">
        <f t="shared" si="6"/>
        <v>1072.6774145738832</v>
      </c>
      <c r="BC22" s="665">
        <f t="shared" si="7"/>
        <v>223.53878893310051</v>
      </c>
      <c r="BD22" s="577"/>
      <c r="BE22" s="578"/>
      <c r="BF22" s="578"/>
      <c r="BG22" s="578"/>
      <c r="BH22" s="578"/>
      <c r="BI22" s="578"/>
      <c r="BJ22" s="578"/>
      <c r="BK22" s="578"/>
      <c r="BL22" s="578"/>
      <c r="BM22" s="578"/>
      <c r="BN22" s="578"/>
      <c r="BO22" s="578"/>
      <c r="BP22" s="578"/>
      <c r="BQ22" s="578"/>
      <c r="BR22" s="578"/>
      <c r="BS22" s="578"/>
      <c r="BT22" s="578"/>
      <c r="BU22" s="578"/>
      <c r="BV22" s="578"/>
      <c r="BW22" s="578"/>
    </row>
    <row r="23" spans="1:75" ht="14.25" customHeight="1" x14ac:dyDescent="0.3">
      <c r="A23" s="648" t="s">
        <v>72</v>
      </c>
      <c r="B23" s="698">
        <v>1</v>
      </c>
      <c r="C23" s="650">
        <v>3</v>
      </c>
      <c r="D23" s="666" t="s">
        <v>552</v>
      </c>
      <c r="E23" s="652">
        <v>627</v>
      </c>
      <c r="F23" s="653">
        <v>828316</v>
      </c>
      <c r="G23" s="653">
        <f>F23*'Electricity Conversions'!Q30</f>
        <v>856222.63729673368</v>
      </c>
      <c r="H23" s="653">
        <f>G23*'Electricity Conversions'!B20</f>
        <v>565309.00915824622</v>
      </c>
      <c r="I23" s="653">
        <f>'Solar PV Data'!AI16</f>
        <v>1687461.5250625941</v>
      </c>
      <c r="J23" s="654">
        <f>'Solar PV Data'!AI36</f>
        <v>12311406.35663919</v>
      </c>
      <c r="K23" s="655"/>
      <c r="L23" s="656"/>
      <c r="M23" s="655"/>
      <c r="N23" s="653"/>
      <c r="O23" s="653"/>
      <c r="P23" s="653"/>
      <c r="Q23" s="653"/>
      <c r="R23" s="653"/>
      <c r="S23" s="653"/>
      <c r="T23" s="653"/>
      <c r="U23" s="653"/>
      <c r="V23" s="653"/>
      <c r="W23" s="653"/>
      <c r="X23" s="653"/>
      <c r="Y23" s="656"/>
      <c r="Z23" s="699">
        <v>-215051</v>
      </c>
      <c r="AA23" s="681"/>
      <c r="AB23" s="658">
        <v>0</v>
      </c>
      <c r="AC23" s="678">
        <f>Z23*'Electricity Conversions'!Q30</f>
        <v>-222296.24246459064</v>
      </c>
      <c r="AD23" s="700">
        <f>AC23*'Electricity Conversions'!B20</f>
        <v>-146767.98193985145</v>
      </c>
      <c r="AE23" s="700">
        <f>'Final Project Calcs'!AD23*3</f>
        <v>-440303.94581955438</v>
      </c>
      <c r="AF23" s="687">
        <f>AD23*23</f>
        <v>-3375663.5846165833</v>
      </c>
      <c r="AG23" s="657"/>
      <c r="AH23" s="658"/>
      <c r="AI23" s="658"/>
      <c r="AJ23" s="658"/>
      <c r="AK23" s="658"/>
      <c r="AL23" s="658"/>
      <c r="AM23" s="658"/>
      <c r="AN23" s="658"/>
      <c r="AO23" s="658"/>
      <c r="AP23" s="658"/>
      <c r="AQ23" s="659"/>
      <c r="AR23" s="660">
        <v>2028</v>
      </c>
      <c r="AS23" s="653">
        <f>(I23+AD23)*$AU$69</f>
        <v>698.84318422504487</v>
      </c>
      <c r="AT23" s="653">
        <f>(J23+AF23)*$AU$69</f>
        <v>4053.1635639617343</v>
      </c>
      <c r="AU23" s="653">
        <f t="shared" si="15"/>
        <v>568.88721002860348</v>
      </c>
      <c r="AV23" s="656">
        <f t="shared" si="16"/>
        <v>3299.4425126270667</v>
      </c>
      <c r="AW23" s="661">
        <v>3041600</v>
      </c>
      <c r="AX23" s="662">
        <v>2475988</v>
      </c>
      <c r="AY23" s="663">
        <f t="shared" si="3"/>
        <v>0.81404129405576009</v>
      </c>
      <c r="AZ23" s="664">
        <f t="shared" si="4"/>
        <v>4352.3355005212861</v>
      </c>
      <c r="BA23" s="664">
        <f t="shared" si="5"/>
        <v>750.42616760992769</v>
      </c>
      <c r="BB23" s="664">
        <f t="shared" si="6"/>
        <v>3542.9808230091721</v>
      </c>
      <c r="BC23" s="665">
        <f t="shared" si="7"/>
        <v>610.87788857449027</v>
      </c>
      <c r="BD23" s="577"/>
      <c r="BE23" s="578"/>
      <c r="BF23" s="578"/>
      <c r="BG23" s="578"/>
      <c r="BH23" s="578"/>
      <c r="BI23" s="578"/>
      <c r="BJ23" s="578"/>
      <c r="BK23" s="578"/>
      <c r="BL23" s="578"/>
      <c r="BM23" s="578"/>
      <c r="BN23" s="578"/>
      <c r="BO23" s="578"/>
      <c r="BP23" s="578"/>
      <c r="BQ23" s="578"/>
      <c r="BR23" s="578"/>
      <c r="BS23" s="578"/>
      <c r="BT23" s="578"/>
      <c r="BU23" s="578"/>
      <c r="BV23" s="578"/>
      <c r="BW23" s="578"/>
    </row>
    <row r="24" spans="1:75" ht="14.25" customHeight="1" x14ac:dyDescent="0.3">
      <c r="A24" s="648" t="s">
        <v>73</v>
      </c>
      <c r="B24" s="649">
        <v>1</v>
      </c>
      <c r="C24" s="650">
        <v>24</v>
      </c>
      <c r="D24" s="669" t="s">
        <v>553</v>
      </c>
      <c r="E24" s="701">
        <v>882</v>
      </c>
      <c r="F24" s="653">
        <f>1306.67*E24</f>
        <v>1152482.9400000002</v>
      </c>
      <c r="G24" s="684">
        <f>F24*'Electricity Conversions'!Q30</f>
        <v>1191311.0242060921</v>
      </c>
      <c r="H24" s="684">
        <f>G24*'Electricity Conversions'!B20</f>
        <v>786546.42537773331</v>
      </c>
      <c r="I24" s="653">
        <f>'Solar PV Data'!BC16</f>
        <v>2347860.743413168</v>
      </c>
      <c r="J24" s="654">
        <f>'Solar PV Data'!BC36</f>
        <v>17129556.586416557</v>
      </c>
      <c r="K24" s="655"/>
      <c r="L24" s="656"/>
      <c r="M24" s="655"/>
      <c r="N24" s="653"/>
      <c r="O24" s="653"/>
      <c r="P24" s="653"/>
      <c r="Q24" s="653"/>
      <c r="R24" s="658"/>
      <c r="S24" s="658"/>
      <c r="T24" s="658"/>
      <c r="U24" s="658"/>
      <c r="V24" s="658"/>
      <c r="W24" s="658"/>
      <c r="X24" s="658"/>
      <c r="Y24" s="659"/>
      <c r="Z24" s="657"/>
      <c r="AA24" s="658"/>
      <c r="AB24" s="658"/>
      <c r="AC24" s="672"/>
      <c r="AD24" s="672"/>
      <c r="AE24" s="672"/>
      <c r="AF24" s="659"/>
      <c r="AG24" s="657"/>
      <c r="AH24" s="658"/>
      <c r="AI24" s="658"/>
      <c r="AJ24" s="658"/>
      <c r="AK24" s="658"/>
      <c r="AL24" s="658"/>
      <c r="AM24" s="658"/>
      <c r="AN24" s="658"/>
      <c r="AO24" s="658"/>
      <c r="AP24" s="658"/>
      <c r="AQ24" s="659"/>
      <c r="AR24" s="660">
        <v>2028</v>
      </c>
      <c r="AS24" s="653">
        <f t="shared" ref="AS24:AT24" si="25">I24*$AU$69</f>
        <v>1064.9661546047789</v>
      </c>
      <c r="AT24" s="653">
        <f t="shared" si="25"/>
        <v>7769.7955720326863</v>
      </c>
      <c r="AU24" s="653">
        <f t="shared" si="15"/>
        <v>745.47633516390249</v>
      </c>
      <c r="AV24" s="656">
        <f t="shared" si="16"/>
        <v>5438.8570969761904</v>
      </c>
      <c r="AW24" s="661">
        <v>15812088</v>
      </c>
      <c r="AX24" s="662">
        <v>11068462</v>
      </c>
      <c r="AY24" s="663">
        <f t="shared" si="3"/>
        <v>0.70000002529710181</v>
      </c>
      <c r="AZ24" s="664">
        <f t="shared" si="4"/>
        <v>14847.502835306579</v>
      </c>
      <c r="BA24" s="664">
        <f t="shared" si="5"/>
        <v>2035.0713031518458</v>
      </c>
      <c r="BB24" s="664">
        <f t="shared" si="6"/>
        <v>10393.252360313396</v>
      </c>
      <c r="BC24" s="665">
        <f t="shared" si="7"/>
        <v>1424.549963687698</v>
      </c>
      <c r="BD24" s="577"/>
      <c r="BE24" s="578"/>
      <c r="BF24" s="578"/>
      <c r="BG24" s="578"/>
      <c r="BH24" s="578"/>
      <c r="BI24" s="578"/>
      <c r="BJ24" s="578"/>
      <c r="BK24" s="578"/>
      <c r="BL24" s="578"/>
      <c r="BM24" s="578"/>
      <c r="BN24" s="578"/>
      <c r="BO24" s="578"/>
      <c r="BP24" s="578"/>
      <c r="BQ24" s="578"/>
      <c r="BR24" s="578"/>
      <c r="BS24" s="578"/>
      <c r="BT24" s="578"/>
      <c r="BU24" s="578"/>
      <c r="BV24" s="578"/>
      <c r="BW24" s="578"/>
    </row>
    <row r="25" spans="1:75" ht="14.25" customHeight="1" x14ac:dyDescent="0.3">
      <c r="A25" s="648" t="s">
        <v>74</v>
      </c>
      <c r="B25" s="649">
        <v>1</v>
      </c>
      <c r="C25" s="650">
        <v>10</v>
      </c>
      <c r="D25" s="669" t="s">
        <v>554</v>
      </c>
      <c r="E25" s="652"/>
      <c r="F25" s="658"/>
      <c r="G25" s="658"/>
      <c r="H25" s="658"/>
      <c r="I25" s="653"/>
      <c r="J25" s="654"/>
      <c r="K25" s="655"/>
      <c r="L25" s="656"/>
      <c r="M25" s="655"/>
      <c r="N25" s="653"/>
      <c r="O25" s="653">
        <f>890239*'Electricity Conversions'!Q30</f>
        <v>920231.87334834388</v>
      </c>
      <c r="P25" s="653"/>
      <c r="Q25" s="653"/>
      <c r="R25" s="658"/>
      <c r="S25" s="658"/>
      <c r="T25" s="658"/>
      <c r="U25" s="658"/>
      <c r="V25" s="658"/>
      <c r="W25" s="684">
        <f>O25*'Electricity Conversions'!B20</f>
        <v>607570.21113201708</v>
      </c>
      <c r="X25" s="684">
        <f t="shared" ref="X25:X26" si="26">W25*3</f>
        <v>1822710.6333960514</v>
      </c>
      <c r="Y25" s="680">
        <f t="shared" ref="Y25:Y26" si="27">W25*23</f>
        <v>13974114.856036393</v>
      </c>
      <c r="Z25" s="657"/>
      <c r="AA25" s="658"/>
      <c r="AB25" s="658"/>
      <c r="AC25" s="672"/>
      <c r="AD25" s="672"/>
      <c r="AE25" s="672"/>
      <c r="AF25" s="659"/>
      <c r="AG25" s="657"/>
      <c r="AH25" s="658"/>
      <c r="AI25" s="658"/>
      <c r="AJ25" s="658"/>
      <c r="AK25" s="658"/>
      <c r="AL25" s="658"/>
      <c r="AM25" s="658"/>
      <c r="AN25" s="658"/>
      <c r="AO25" s="658"/>
      <c r="AP25" s="658"/>
      <c r="AQ25" s="659"/>
      <c r="AR25" s="660">
        <v>2028</v>
      </c>
      <c r="AS25" s="653">
        <f t="shared" ref="AS25:AT25" si="28">X25*$AU$69</f>
        <v>826.76331620211499</v>
      </c>
      <c r="AT25" s="653">
        <f t="shared" si="28"/>
        <v>6338.5187575495474</v>
      </c>
      <c r="AU25" s="653">
        <f t="shared" si="15"/>
        <v>398.79985408058593</v>
      </c>
      <c r="AV25" s="656">
        <f t="shared" si="16"/>
        <v>3057.4655479511584</v>
      </c>
      <c r="AW25" s="661">
        <v>2378805</v>
      </c>
      <c r="AX25" s="662">
        <v>1147447</v>
      </c>
      <c r="AY25" s="663">
        <f t="shared" si="3"/>
        <v>0.48236278299398228</v>
      </c>
      <c r="AZ25" s="664">
        <f t="shared" si="4"/>
        <v>2877.2503005182498</v>
      </c>
      <c r="BA25" s="664">
        <f t="shared" si="5"/>
        <v>375.29351745890216</v>
      </c>
      <c r="BB25" s="664">
        <f t="shared" si="6"/>
        <v>1387.8784623282547</v>
      </c>
      <c r="BC25" s="665">
        <f t="shared" si="7"/>
        <v>181.02762552107671</v>
      </c>
      <c r="BD25" s="577"/>
      <c r="BE25" s="578"/>
      <c r="BF25" s="578"/>
      <c r="BG25" s="578"/>
      <c r="BH25" s="578"/>
      <c r="BI25" s="578"/>
      <c r="BJ25" s="578"/>
      <c r="BK25" s="578"/>
      <c r="BL25" s="578"/>
      <c r="BM25" s="578"/>
      <c r="BN25" s="578"/>
      <c r="BO25" s="578"/>
      <c r="BP25" s="578"/>
      <c r="BQ25" s="578"/>
      <c r="BR25" s="578"/>
      <c r="BS25" s="578"/>
      <c r="BT25" s="578"/>
      <c r="BU25" s="578"/>
      <c r="BV25" s="578"/>
      <c r="BW25" s="578"/>
    </row>
    <row r="26" spans="1:75" ht="14.25" customHeight="1" x14ac:dyDescent="0.3">
      <c r="A26" s="648" t="s">
        <v>74</v>
      </c>
      <c r="B26" s="649">
        <v>1</v>
      </c>
      <c r="C26" s="650">
        <v>9</v>
      </c>
      <c r="D26" s="674" t="s">
        <v>555</v>
      </c>
      <c r="E26" s="652"/>
      <c r="F26" s="658"/>
      <c r="G26" s="658"/>
      <c r="H26" s="658"/>
      <c r="I26" s="653"/>
      <c r="J26" s="654"/>
      <c r="K26" s="655"/>
      <c r="L26" s="656"/>
      <c r="M26" s="655"/>
      <c r="N26" s="653"/>
      <c r="O26" s="653">
        <f>54215*'Electricity Conversions'!Q30</f>
        <v>56041.547285145301</v>
      </c>
      <c r="P26" s="702"/>
      <c r="Q26" s="653"/>
      <c r="R26" s="658"/>
      <c r="S26" s="658"/>
      <c r="T26" s="658"/>
      <c r="U26" s="658"/>
      <c r="V26" s="658"/>
      <c r="W26" s="684">
        <f>O26*'Electricity Conversions'!B20</f>
        <v>37000.647013355192</v>
      </c>
      <c r="X26" s="684">
        <f t="shared" si="26"/>
        <v>111001.94104006558</v>
      </c>
      <c r="Y26" s="680">
        <f t="shared" si="27"/>
        <v>851014.88130716945</v>
      </c>
      <c r="Z26" s="657"/>
      <c r="AA26" s="658"/>
      <c r="AB26" s="658"/>
      <c r="AC26" s="672"/>
      <c r="AD26" s="672"/>
      <c r="AE26" s="672"/>
      <c r="AF26" s="659"/>
      <c r="AG26" s="657"/>
      <c r="AH26" s="658"/>
      <c r="AI26" s="658"/>
      <c r="AJ26" s="658"/>
      <c r="AK26" s="658"/>
      <c r="AL26" s="658"/>
      <c r="AM26" s="658"/>
      <c r="AN26" s="658"/>
      <c r="AO26" s="658"/>
      <c r="AP26" s="658"/>
      <c r="AQ26" s="659"/>
      <c r="AR26" s="660">
        <v>2028</v>
      </c>
      <c r="AS26" s="653">
        <f t="shared" ref="AS26:AT26" si="29">X26*$AU$69</f>
        <v>50.349370436363344</v>
      </c>
      <c r="AT26" s="653">
        <f t="shared" si="29"/>
        <v>386.01184001211902</v>
      </c>
      <c r="AU26" s="653">
        <f t="shared" si="15"/>
        <v>27.340221047737302</v>
      </c>
      <c r="AV26" s="656">
        <f t="shared" si="16"/>
        <v>209.60836136598601</v>
      </c>
      <c r="AW26" s="661">
        <v>988138</v>
      </c>
      <c r="AX26" s="662">
        <v>536569</v>
      </c>
      <c r="AY26" s="663">
        <f t="shared" si="3"/>
        <v>0.54301018683625157</v>
      </c>
      <c r="AZ26" s="664">
        <f t="shared" si="4"/>
        <v>19625.627717607898</v>
      </c>
      <c r="BA26" s="664">
        <f t="shared" si="5"/>
        <v>2559.8644849053776</v>
      </c>
      <c r="BB26" s="664">
        <f t="shared" si="6"/>
        <v>10656.915773716983</v>
      </c>
      <c r="BC26" s="665">
        <f t="shared" si="7"/>
        <v>1390.032492223954</v>
      </c>
      <c r="BD26" s="577"/>
      <c r="BE26" s="578"/>
      <c r="BF26" s="578"/>
      <c r="BG26" s="578"/>
      <c r="BH26" s="578"/>
      <c r="BI26" s="578"/>
      <c r="BJ26" s="578"/>
      <c r="BK26" s="578"/>
      <c r="BL26" s="578"/>
      <c r="BM26" s="578"/>
      <c r="BN26" s="578"/>
      <c r="BO26" s="578"/>
      <c r="BP26" s="578"/>
      <c r="BQ26" s="578"/>
      <c r="BR26" s="578"/>
      <c r="BS26" s="578"/>
      <c r="BT26" s="578"/>
      <c r="BU26" s="578"/>
      <c r="BV26" s="578"/>
      <c r="BW26" s="578"/>
    </row>
    <row r="27" spans="1:75" ht="14.25" customHeight="1" x14ac:dyDescent="0.3">
      <c r="A27" s="648" t="s">
        <v>75</v>
      </c>
      <c r="B27" s="649">
        <v>1</v>
      </c>
      <c r="C27" s="650">
        <v>20</v>
      </c>
      <c r="D27" s="666" t="s">
        <v>556</v>
      </c>
      <c r="E27" s="652"/>
      <c r="F27" s="703">
        <v>660821</v>
      </c>
      <c r="G27" s="703">
        <f>F27*'Electricity Conversions'!Q30</f>
        <v>683084.5950109195</v>
      </c>
      <c r="H27" s="703">
        <f>G27*'Electricity Conversions'!B20</f>
        <v>450997.04067162942</v>
      </c>
      <c r="I27" s="701">
        <f>'Solar PV Data'!AW19</f>
        <v>2672382.1205701185</v>
      </c>
      <c r="J27" s="683">
        <f>'Solar PV Data'!AW39</f>
        <v>11021543.095013328</v>
      </c>
      <c r="K27" s="655"/>
      <c r="L27" s="704"/>
      <c r="M27" s="655"/>
      <c r="N27" s="701"/>
      <c r="O27" s="701"/>
      <c r="P27" s="701"/>
      <c r="Q27" s="701"/>
      <c r="R27" s="652"/>
      <c r="S27" s="652"/>
      <c r="T27" s="652"/>
      <c r="U27" s="652"/>
      <c r="V27" s="652"/>
      <c r="W27" s="652"/>
      <c r="X27" s="652"/>
      <c r="Y27" s="705"/>
      <c r="Z27" s="657"/>
      <c r="AA27" s="706">
        <f>-1*657377</f>
        <v>-657377</v>
      </c>
      <c r="AB27" s="652"/>
      <c r="AC27" s="706">
        <f>(AA27*'Electricity Conversions'!Q30)</f>
        <v>-679524.56385994575</v>
      </c>
      <c r="AD27" s="706">
        <f>AC27*'Electricity Conversions'!B20</f>
        <v>-448646.5799446351</v>
      </c>
      <c r="AE27" s="706">
        <f>AD27*5</f>
        <v>-2243232.8997231754</v>
      </c>
      <c r="AF27" s="707">
        <f>AD27*25</f>
        <v>-11216164.498615878</v>
      </c>
      <c r="AG27" s="657"/>
      <c r="AH27" s="658"/>
      <c r="AI27" s="658"/>
      <c r="AJ27" s="658"/>
      <c r="AK27" s="658"/>
      <c r="AL27" s="658"/>
      <c r="AM27" s="658"/>
      <c r="AN27" s="658"/>
      <c r="AO27" s="658"/>
      <c r="AP27" s="658"/>
      <c r="AQ27" s="659"/>
      <c r="AR27" s="660">
        <v>2025</v>
      </c>
      <c r="AS27" s="701">
        <f t="shared" ref="AS27:AT27" si="30">(I27+AE27)*$AU$69</f>
        <v>194.65779508396494</v>
      </c>
      <c r="AT27" s="708">
        <f t="shared" si="30"/>
        <v>-88.278322460080574</v>
      </c>
      <c r="AU27" s="701">
        <f t="shared" si="15"/>
        <v>49.510345573825134</v>
      </c>
      <c r="AV27" s="709">
        <f t="shared" si="16"/>
        <v>-22.453199214502952</v>
      </c>
      <c r="AW27" s="661">
        <f>(5121000+7297500+1801000)*0.6</f>
        <v>8531700</v>
      </c>
      <c r="AX27" s="662">
        <v>2170000</v>
      </c>
      <c r="AY27" s="663">
        <f t="shared" si="3"/>
        <v>0.25434555832952399</v>
      </c>
      <c r="AZ27" s="664">
        <f t="shared" si="4"/>
        <v>43829.223465311945</v>
      </c>
      <c r="BA27" s="710">
        <f t="shared" si="5"/>
        <v>-96645.470396857985</v>
      </c>
      <c r="BB27" s="664">
        <f t="shared" si="6"/>
        <v>11147.768313434241</v>
      </c>
      <c r="BC27" s="711">
        <f t="shared" si="7"/>
        <v>-24581.346128108326</v>
      </c>
      <c r="BD27" s="712"/>
      <c r="BE27" s="713"/>
      <c r="BF27" s="713"/>
      <c r="BG27" s="713"/>
      <c r="BH27" s="713"/>
      <c r="BI27" s="713"/>
      <c r="BJ27" s="713"/>
      <c r="BK27" s="713"/>
      <c r="BL27" s="713"/>
      <c r="BM27" s="713"/>
      <c r="BN27" s="713"/>
      <c r="BO27" s="713"/>
      <c r="BP27" s="713"/>
      <c r="BQ27" s="713"/>
      <c r="BR27" s="713"/>
      <c r="BS27" s="713"/>
      <c r="BT27" s="713"/>
      <c r="BU27" s="713"/>
      <c r="BV27" s="713"/>
      <c r="BW27" s="713"/>
    </row>
    <row r="28" spans="1:75" ht="14.25" customHeight="1" x14ac:dyDescent="0.3">
      <c r="A28" s="714" t="s">
        <v>76</v>
      </c>
      <c r="B28" s="698">
        <v>1</v>
      </c>
      <c r="C28" s="650">
        <v>29</v>
      </c>
      <c r="D28" s="669" t="s">
        <v>557</v>
      </c>
      <c r="E28" s="652"/>
      <c r="F28" s="658"/>
      <c r="G28" s="658"/>
      <c r="H28" s="658"/>
      <c r="I28" s="658"/>
      <c r="J28" s="672"/>
      <c r="K28" s="655">
        <f>('Project-Specific Calcs_Lifecycl'!K80*2)-('Project-Specific Calcs_Lifecycl'!K81*2)</f>
        <v>1389215.6196400269</v>
      </c>
      <c r="L28" s="656">
        <f>('Project-Specific Calcs_Lifecycl'!K80*22)-('Project-Specific Calcs_Lifecycl'!K81*22)</f>
        <v>15281371.816040296</v>
      </c>
      <c r="M28" s="657"/>
      <c r="N28" s="658"/>
      <c r="O28" s="658"/>
      <c r="P28" s="658"/>
      <c r="Q28" s="658"/>
      <c r="R28" s="658"/>
      <c r="S28" s="658"/>
      <c r="T28" s="658"/>
      <c r="U28" s="658"/>
      <c r="V28" s="658"/>
      <c r="W28" s="658"/>
      <c r="X28" s="658"/>
      <c r="Y28" s="659"/>
      <c r="Z28" s="657"/>
      <c r="AA28" s="658"/>
      <c r="AB28" s="658"/>
      <c r="AC28" s="672"/>
      <c r="AD28" s="672"/>
      <c r="AE28" s="672"/>
      <c r="AF28" s="659"/>
      <c r="AG28" s="657"/>
      <c r="AH28" s="658"/>
      <c r="AI28" s="658"/>
      <c r="AJ28" s="658"/>
      <c r="AK28" s="658"/>
      <c r="AL28" s="658"/>
      <c r="AM28" s="658"/>
      <c r="AN28" s="658"/>
      <c r="AO28" s="658"/>
      <c r="AP28" s="658"/>
      <c r="AQ28" s="659"/>
      <c r="AR28" s="660">
        <v>2028</v>
      </c>
      <c r="AS28" s="653">
        <f t="shared" ref="AS28:AT28" si="31">K28*$AU$69</f>
        <v>630.13431291251982</v>
      </c>
      <c r="AT28" s="653">
        <f t="shared" si="31"/>
        <v>6931.477442037718</v>
      </c>
      <c r="AU28" s="653">
        <f t="shared" si="15"/>
        <v>315.06715645625991</v>
      </c>
      <c r="AV28" s="656">
        <f t="shared" si="16"/>
        <v>3465.738721018859</v>
      </c>
      <c r="AW28" s="661">
        <v>8500000</v>
      </c>
      <c r="AX28" s="662">
        <v>4250000</v>
      </c>
      <c r="AY28" s="663">
        <f t="shared" si="3"/>
        <v>0.5</v>
      </c>
      <c r="AZ28" s="664">
        <f t="shared" si="4"/>
        <v>13489.187663360965</v>
      </c>
      <c r="BA28" s="664">
        <f t="shared" si="5"/>
        <v>1226.2897875782694</v>
      </c>
      <c r="BB28" s="664">
        <f t="shared" si="6"/>
        <v>6744.5938316804823</v>
      </c>
      <c r="BC28" s="665">
        <f t="shared" si="7"/>
        <v>613.1448937891347</v>
      </c>
      <c r="BD28" s="577"/>
      <c r="BE28" s="578"/>
      <c r="BF28" s="578"/>
      <c r="BG28" s="578"/>
      <c r="BH28" s="578"/>
      <c r="BI28" s="578"/>
      <c r="BJ28" s="578"/>
      <c r="BK28" s="578"/>
      <c r="BL28" s="578"/>
      <c r="BM28" s="578"/>
      <c r="BN28" s="578"/>
      <c r="BO28" s="578"/>
      <c r="BP28" s="578"/>
      <c r="BQ28" s="578"/>
      <c r="BR28" s="578"/>
      <c r="BS28" s="578"/>
      <c r="BT28" s="578"/>
      <c r="BU28" s="578"/>
      <c r="BV28" s="578"/>
      <c r="BW28" s="578"/>
    </row>
    <row r="29" spans="1:75" ht="14.25" customHeight="1" x14ac:dyDescent="0.3">
      <c r="A29" s="648" t="s">
        <v>67</v>
      </c>
      <c r="B29" s="649">
        <v>1</v>
      </c>
      <c r="C29" s="650">
        <v>27</v>
      </c>
      <c r="D29" s="674" t="s">
        <v>558</v>
      </c>
      <c r="E29" s="652"/>
      <c r="F29" s="658"/>
      <c r="G29" s="658"/>
      <c r="H29" s="658"/>
      <c r="I29" s="653"/>
      <c r="J29" s="654"/>
      <c r="K29" s="657"/>
      <c r="L29" s="659"/>
      <c r="M29" s="657"/>
      <c r="N29" s="658"/>
      <c r="O29" s="658"/>
      <c r="P29" s="658"/>
      <c r="Q29" s="658"/>
      <c r="R29" s="658"/>
      <c r="S29" s="658"/>
      <c r="T29" s="658"/>
      <c r="U29" s="658"/>
      <c r="V29" s="658"/>
      <c r="W29" s="658"/>
      <c r="X29" s="653"/>
      <c r="Y29" s="656"/>
      <c r="Z29" s="657"/>
      <c r="AA29" s="658"/>
      <c r="AB29" s="658"/>
      <c r="AC29" s="672"/>
      <c r="AD29" s="672"/>
      <c r="AE29" s="672"/>
      <c r="AF29" s="659"/>
      <c r="AG29" s="699">
        <v>-67378</v>
      </c>
      <c r="AH29" s="678">
        <f>(AG29*'Electricity Conversions'!Q30)*'Electricity Conversions'!B20</f>
        <v>-45984.129751283705</v>
      </c>
      <c r="AI29" s="670">
        <v>1069200</v>
      </c>
      <c r="AJ29" s="670">
        <f>AI29*'Gas Metrics'!H13</f>
        <v>14183309.274372065</v>
      </c>
      <c r="AK29" s="670"/>
      <c r="AL29" s="670"/>
      <c r="AM29" s="670"/>
      <c r="AN29" s="670"/>
      <c r="AO29" s="670">
        <f>AH29+AJ29</f>
        <v>14137325.144620782</v>
      </c>
      <c r="AP29" s="684">
        <f>3*AO29</f>
        <v>42411975.433862343</v>
      </c>
      <c r="AQ29" s="680">
        <f>25*AO29</f>
        <v>353433128.61551952</v>
      </c>
      <c r="AR29" s="660">
        <v>2028</v>
      </c>
      <c r="AS29" s="653">
        <f t="shared" ref="AS29:AT29" si="32">AP29*$AU$69</f>
        <v>19237.647937045622</v>
      </c>
      <c r="AT29" s="653">
        <f t="shared" si="32"/>
        <v>160313.73280871351</v>
      </c>
      <c r="AU29" s="653">
        <f t="shared" si="15"/>
        <v>19237.647937045622</v>
      </c>
      <c r="AV29" s="656">
        <f t="shared" si="16"/>
        <v>160313.73280871351</v>
      </c>
      <c r="AW29" s="661">
        <v>350000</v>
      </c>
      <c r="AX29" s="662">
        <v>350000</v>
      </c>
      <c r="AY29" s="663">
        <f t="shared" si="3"/>
        <v>1</v>
      </c>
      <c r="AZ29" s="664">
        <f t="shared" si="4"/>
        <v>18.193492320129778</v>
      </c>
      <c r="BA29" s="664">
        <f t="shared" si="5"/>
        <v>2.1832190784155734</v>
      </c>
      <c r="BB29" s="664">
        <f t="shared" si="6"/>
        <v>18.193492320129778</v>
      </c>
      <c r="BC29" s="665">
        <f t="shared" si="7"/>
        <v>2.1832190784155734</v>
      </c>
      <c r="BD29" s="577"/>
      <c r="BE29" s="578"/>
      <c r="BF29" s="578"/>
      <c r="BG29" s="578"/>
      <c r="BH29" s="578"/>
      <c r="BI29" s="578"/>
      <c r="BJ29" s="578"/>
      <c r="BK29" s="578"/>
      <c r="BL29" s="578"/>
      <c r="BM29" s="578"/>
      <c r="BN29" s="578"/>
      <c r="BO29" s="578"/>
      <c r="BP29" s="578"/>
      <c r="BQ29" s="578"/>
      <c r="BR29" s="578"/>
      <c r="BS29" s="578"/>
      <c r="BT29" s="578"/>
      <c r="BU29" s="578"/>
      <c r="BV29" s="578"/>
      <c r="BW29" s="578"/>
    </row>
    <row r="30" spans="1:75" ht="14.25" customHeight="1" x14ac:dyDescent="0.3">
      <c r="A30" s="648" t="s">
        <v>77</v>
      </c>
      <c r="B30" s="649">
        <v>1</v>
      </c>
      <c r="C30" s="650">
        <v>21</v>
      </c>
      <c r="D30" s="666" t="s">
        <v>559</v>
      </c>
      <c r="E30" s="652"/>
      <c r="F30" s="653"/>
      <c r="G30" s="653"/>
      <c r="H30" s="653"/>
      <c r="I30" s="653"/>
      <c r="J30" s="654"/>
      <c r="K30" s="655"/>
      <c r="L30" s="656"/>
      <c r="M30" s="657"/>
      <c r="N30" s="658"/>
      <c r="O30" s="658"/>
      <c r="P30" s="658"/>
      <c r="Q30" s="658"/>
      <c r="R30" s="658"/>
      <c r="S30" s="658"/>
      <c r="T30" s="658"/>
      <c r="U30" s="658"/>
      <c r="V30" s="658"/>
      <c r="W30" s="658"/>
      <c r="X30" s="684"/>
      <c r="Y30" s="680"/>
      <c r="Z30" s="657"/>
      <c r="AA30" s="658"/>
      <c r="AB30" s="658"/>
      <c r="AC30" s="672"/>
      <c r="AD30" s="672"/>
      <c r="AE30" s="672"/>
      <c r="AF30" s="659"/>
      <c r="AG30" s="657"/>
      <c r="AH30" s="658"/>
      <c r="AI30" s="658"/>
      <c r="AJ30" s="658"/>
      <c r="AK30" s="658"/>
      <c r="AL30" s="658"/>
      <c r="AM30" s="658"/>
      <c r="AN30" s="658"/>
      <c r="AO30" s="658"/>
      <c r="AP30" s="658"/>
      <c r="AQ30" s="659"/>
      <c r="AR30" s="660">
        <v>2025</v>
      </c>
      <c r="AS30" s="653">
        <v>2423.9499999999998</v>
      </c>
      <c r="AT30" s="656">
        <v>12119.73</v>
      </c>
      <c r="AU30" s="653">
        <f t="shared" si="15"/>
        <v>1939.1599999999999</v>
      </c>
      <c r="AV30" s="656">
        <f t="shared" si="16"/>
        <v>9695.7839999999997</v>
      </c>
      <c r="AW30" s="661">
        <v>2635000</v>
      </c>
      <c r="AX30" s="662">
        <v>2108000</v>
      </c>
      <c r="AY30" s="663">
        <f t="shared" si="3"/>
        <v>0.8</v>
      </c>
      <c r="AZ30" s="664">
        <f t="shared" si="4"/>
        <v>1087.0686276532108</v>
      </c>
      <c r="BA30" s="664">
        <f t="shared" si="5"/>
        <v>217.41408430715867</v>
      </c>
      <c r="BB30" s="664">
        <f t="shared" si="6"/>
        <v>869.65490212256861</v>
      </c>
      <c r="BC30" s="665">
        <f t="shared" si="7"/>
        <v>173.93126744572695</v>
      </c>
      <c r="BD30" s="577"/>
      <c r="BE30" s="578"/>
      <c r="BF30" s="578"/>
      <c r="BG30" s="578"/>
      <c r="BH30" s="578"/>
      <c r="BI30" s="578"/>
      <c r="BJ30" s="578"/>
      <c r="BK30" s="578"/>
      <c r="BL30" s="578"/>
      <c r="BM30" s="578"/>
      <c r="BN30" s="578"/>
      <c r="BO30" s="578"/>
      <c r="BP30" s="578"/>
      <c r="BQ30" s="578"/>
      <c r="BR30" s="578"/>
      <c r="BS30" s="578"/>
      <c r="BT30" s="578"/>
      <c r="BU30" s="578"/>
      <c r="BV30" s="578"/>
      <c r="BW30" s="578"/>
    </row>
    <row r="31" spans="1:75" ht="14.25" customHeight="1" x14ac:dyDescent="0.3">
      <c r="A31" s="714" t="s">
        <v>76</v>
      </c>
      <c r="B31" s="698">
        <v>1</v>
      </c>
      <c r="C31" s="650">
        <v>30</v>
      </c>
      <c r="D31" s="669" t="s">
        <v>560</v>
      </c>
      <c r="E31" s="652"/>
      <c r="F31" s="658"/>
      <c r="G31" s="658"/>
      <c r="H31" s="658"/>
      <c r="I31" s="658"/>
      <c r="J31" s="672"/>
      <c r="K31" s="657"/>
      <c r="L31" s="659"/>
      <c r="M31" s="657"/>
      <c r="N31" s="658"/>
      <c r="O31" s="658"/>
      <c r="P31" s="658"/>
      <c r="Q31" s="658"/>
      <c r="R31" s="658"/>
      <c r="S31" s="658"/>
      <c r="T31" s="658"/>
      <c r="U31" s="658"/>
      <c r="V31" s="658"/>
      <c r="W31" s="658"/>
      <c r="X31" s="658"/>
      <c r="Y31" s="659"/>
      <c r="Z31" s="657"/>
      <c r="AA31" s="658"/>
      <c r="AB31" s="658"/>
      <c r="AC31" s="672"/>
      <c r="AD31" s="672"/>
      <c r="AE31" s="672"/>
      <c r="AF31" s="659"/>
      <c r="AG31" s="715">
        <v>827270</v>
      </c>
      <c r="AH31" s="670">
        <f>AG31*'Electricity Conversions'!Q30</f>
        <v>855141.39670906856</v>
      </c>
      <c r="AI31" s="658"/>
      <c r="AJ31" s="658"/>
      <c r="AK31" s="658"/>
      <c r="AL31" s="658"/>
      <c r="AM31" s="658"/>
      <c r="AN31" s="658"/>
      <c r="AO31" s="653">
        <f>AH31*'Electricity Conversions'!B20</f>
        <v>564595.1351976085</v>
      </c>
      <c r="AP31" s="684">
        <f>AO31*2</f>
        <v>1129190.270395217</v>
      </c>
      <c r="AQ31" s="680">
        <f>AO31*22</f>
        <v>12421092.974347387</v>
      </c>
      <c r="AR31" s="660">
        <v>2028</v>
      </c>
      <c r="AS31" s="702">
        <f t="shared" ref="AS31:AT31" si="33">AP31*$AU$69</f>
        <v>512.18941474856649</v>
      </c>
      <c r="AT31" s="653">
        <f t="shared" si="33"/>
        <v>5634.0835622342311</v>
      </c>
      <c r="AU31" s="653">
        <f t="shared" si="15"/>
        <v>512.18941474856649</v>
      </c>
      <c r="AV31" s="656">
        <f t="shared" si="16"/>
        <v>5634.0835622342311</v>
      </c>
      <c r="AW31" s="661">
        <v>1400000</v>
      </c>
      <c r="AX31" s="662">
        <v>1400000</v>
      </c>
      <c r="AY31" s="663">
        <f t="shared" si="3"/>
        <v>1</v>
      </c>
      <c r="AZ31" s="664">
        <f t="shared" si="4"/>
        <v>2733.3637902049563</v>
      </c>
      <c r="BA31" s="664">
        <f t="shared" si="5"/>
        <v>248.48761729135967</v>
      </c>
      <c r="BB31" s="664">
        <f t="shared" si="6"/>
        <v>2733.3637902049563</v>
      </c>
      <c r="BC31" s="665">
        <f t="shared" si="7"/>
        <v>248.48761729135967</v>
      </c>
      <c r="BD31" s="577"/>
      <c r="BE31" s="578"/>
      <c r="BF31" s="578"/>
      <c r="BG31" s="578"/>
      <c r="BH31" s="578"/>
      <c r="BI31" s="578"/>
      <c r="BJ31" s="578"/>
      <c r="BK31" s="578"/>
      <c r="BL31" s="578"/>
      <c r="BM31" s="578"/>
      <c r="BN31" s="578"/>
      <c r="BO31" s="578"/>
      <c r="BP31" s="578"/>
      <c r="BQ31" s="578"/>
      <c r="BR31" s="578"/>
      <c r="BS31" s="578"/>
      <c r="BT31" s="578"/>
      <c r="BU31" s="578"/>
      <c r="BV31" s="578"/>
      <c r="BW31" s="578"/>
    </row>
    <row r="32" spans="1:75" ht="27.75" customHeight="1" x14ac:dyDescent="0.3">
      <c r="A32" s="648" t="s">
        <v>74</v>
      </c>
      <c r="B32" s="649">
        <v>1</v>
      </c>
      <c r="C32" s="650">
        <v>11</v>
      </c>
      <c r="D32" s="669" t="s">
        <v>561</v>
      </c>
      <c r="E32" s="652"/>
      <c r="F32" s="658"/>
      <c r="G32" s="658"/>
      <c r="H32" s="658"/>
      <c r="I32" s="653"/>
      <c r="J32" s="654"/>
      <c r="K32" s="655">
        <f>'EV Charging Metrics'!C134*3</f>
        <v>1397160.4242706141</v>
      </c>
      <c r="L32" s="656">
        <f>('EV Charging Metrics'!C134*1.1)*7+K32</f>
        <v>4983205.5132318567</v>
      </c>
      <c r="M32" s="655"/>
      <c r="N32" s="653"/>
      <c r="O32" s="653">
        <f>54215*'Electricity Conversions'!Q30</f>
        <v>56041.547285145301</v>
      </c>
      <c r="P32" s="653"/>
      <c r="Q32" s="653"/>
      <c r="R32" s="658"/>
      <c r="S32" s="658"/>
      <c r="T32" s="658"/>
      <c r="U32" s="658"/>
      <c r="V32" s="658"/>
      <c r="W32" s="684"/>
      <c r="X32" s="684"/>
      <c r="Y32" s="680"/>
      <c r="Z32" s="657"/>
      <c r="AA32" s="658"/>
      <c r="AB32" s="658"/>
      <c r="AC32" s="672"/>
      <c r="AD32" s="672"/>
      <c r="AE32" s="672"/>
      <c r="AF32" s="659"/>
      <c r="AG32" s="657"/>
      <c r="AH32" s="658"/>
      <c r="AI32" s="658"/>
      <c r="AJ32" s="658"/>
      <c r="AK32" s="658"/>
      <c r="AL32" s="658"/>
      <c r="AM32" s="658"/>
      <c r="AN32" s="658"/>
      <c r="AO32" s="658"/>
      <c r="AP32" s="658"/>
      <c r="AQ32" s="659"/>
      <c r="AR32" s="660">
        <v>2028</v>
      </c>
      <c r="AS32" s="653">
        <f t="shared" ref="AS32:AT32" si="34">K32*$AU$69</f>
        <v>633.73799684490791</v>
      </c>
      <c r="AT32" s="653">
        <f t="shared" si="34"/>
        <v>2260.3321887468383</v>
      </c>
      <c r="AU32" s="653">
        <f t="shared" si="15"/>
        <v>316.86899842245396</v>
      </c>
      <c r="AV32" s="656">
        <f t="shared" si="16"/>
        <v>1130.1660943734191</v>
      </c>
      <c r="AW32" s="661">
        <v>330016</v>
      </c>
      <c r="AX32" s="662">
        <v>165008</v>
      </c>
      <c r="AY32" s="663">
        <f t="shared" si="3"/>
        <v>0.5</v>
      </c>
      <c r="AZ32" s="664">
        <f t="shared" si="4"/>
        <v>520.74516857597143</v>
      </c>
      <c r="BA32" s="664">
        <f t="shared" si="5"/>
        <v>146.00331829232843</v>
      </c>
      <c r="BB32" s="664">
        <f t="shared" si="6"/>
        <v>260.37258428798572</v>
      </c>
      <c r="BC32" s="665">
        <f t="shared" si="7"/>
        <v>73.001659146164215</v>
      </c>
      <c r="BD32" s="577"/>
      <c r="BE32" s="578"/>
      <c r="BF32" s="578"/>
      <c r="BG32" s="578"/>
      <c r="BH32" s="578"/>
      <c r="BI32" s="578"/>
      <c r="BJ32" s="578"/>
      <c r="BK32" s="578"/>
      <c r="BL32" s="578"/>
      <c r="BM32" s="578"/>
      <c r="BN32" s="578"/>
      <c r="BO32" s="578"/>
      <c r="BP32" s="578"/>
      <c r="BQ32" s="578"/>
      <c r="BR32" s="578"/>
      <c r="BS32" s="578"/>
      <c r="BT32" s="578"/>
      <c r="BU32" s="578"/>
      <c r="BV32" s="578"/>
      <c r="BW32" s="578"/>
    </row>
    <row r="33" spans="1:75" ht="14.25" customHeight="1" x14ac:dyDescent="0.3">
      <c r="A33" s="648" t="s">
        <v>74</v>
      </c>
      <c r="B33" s="649">
        <v>1</v>
      </c>
      <c r="C33" s="716">
        <v>8</v>
      </c>
      <c r="D33" s="669" t="s">
        <v>562</v>
      </c>
      <c r="E33" s="652"/>
      <c r="F33" s="653"/>
      <c r="G33" s="653"/>
      <c r="H33" s="653"/>
      <c r="I33" s="653"/>
      <c r="J33" s="654"/>
      <c r="K33" s="655"/>
      <c r="L33" s="656"/>
      <c r="M33" s="657"/>
      <c r="N33" s="658"/>
      <c r="O33" s="658"/>
      <c r="P33" s="658"/>
      <c r="Q33" s="658"/>
      <c r="R33" s="658"/>
      <c r="S33" s="658"/>
      <c r="T33" s="658"/>
      <c r="U33" s="658"/>
      <c r="V33" s="658"/>
      <c r="W33" s="658"/>
      <c r="X33" s="658"/>
      <c r="Y33" s="659"/>
      <c r="Z33" s="657"/>
      <c r="AA33" s="658"/>
      <c r="AB33" s="658"/>
      <c r="AC33" s="672"/>
      <c r="AD33" s="672"/>
      <c r="AE33" s="672"/>
      <c r="AF33" s="659"/>
      <c r="AG33" s="657"/>
      <c r="AH33" s="658"/>
      <c r="AI33" s="658"/>
      <c r="AJ33" s="658"/>
      <c r="AK33" s="658"/>
      <c r="AL33" s="658"/>
      <c r="AM33" s="658"/>
      <c r="AN33" s="658"/>
      <c r="AO33" s="653"/>
      <c r="AP33" s="679">
        <f>10196.02*'Electricity Conversions'!L30</f>
        <v>22478376.325972401</v>
      </c>
      <c r="AQ33" s="656">
        <f>(214116.42*'Electricity Conversions'!L30)+AP33</f>
        <v>494524279.1713928</v>
      </c>
      <c r="AR33" s="660">
        <v>2029</v>
      </c>
      <c r="AS33" s="653">
        <f t="shared" ref="AS33:AT33" si="35">AP33*$AU$69</f>
        <v>10195.966717697822</v>
      </c>
      <c r="AT33" s="653">
        <f t="shared" si="35"/>
        <v>224311.26778935207</v>
      </c>
      <c r="AU33" s="653">
        <f t="shared" si="15"/>
        <v>8156.2671177827388</v>
      </c>
      <c r="AV33" s="656">
        <f t="shared" si="16"/>
        <v>179437.87659122024</v>
      </c>
      <c r="AW33" s="661">
        <v>6948275</v>
      </c>
      <c r="AX33" s="662">
        <v>5558275</v>
      </c>
      <c r="AY33" s="663">
        <f t="shared" si="3"/>
        <v>0.79995034738838056</v>
      </c>
      <c r="AZ33" s="664">
        <f t="shared" si="4"/>
        <v>681.47289927294628</v>
      </c>
      <c r="BA33" s="664">
        <f t="shared" si="5"/>
        <v>30.976040876043015</v>
      </c>
      <c r="BB33" s="664">
        <f t="shared" si="6"/>
        <v>545.14448250916018</v>
      </c>
      <c r="BC33" s="665">
        <f t="shared" si="7"/>
        <v>24.779294659507283</v>
      </c>
      <c r="BD33" s="577"/>
      <c r="BE33" s="578"/>
      <c r="BF33" s="578"/>
      <c r="BG33" s="578"/>
      <c r="BH33" s="578"/>
      <c r="BI33" s="578"/>
      <c r="BJ33" s="578"/>
      <c r="BK33" s="578"/>
      <c r="BL33" s="578"/>
      <c r="BM33" s="578"/>
      <c r="BN33" s="578"/>
      <c r="BO33" s="578"/>
      <c r="BP33" s="578"/>
      <c r="BQ33" s="578"/>
      <c r="BR33" s="578"/>
      <c r="BS33" s="578"/>
      <c r="BT33" s="578"/>
      <c r="BU33" s="578"/>
      <c r="BV33" s="578"/>
      <c r="BW33" s="578"/>
    </row>
    <row r="34" spans="1:75" ht="14.25" customHeight="1" x14ac:dyDescent="0.3">
      <c r="A34" s="648" t="s">
        <v>73</v>
      </c>
      <c r="B34" s="649">
        <v>1</v>
      </c>
      <c r="C34" s="650">
        <v>25</v>
      </c>
      <c r="D34" s="674" t="s">
        <v>563</v>
      </c>
      <c r="E34" s="652"/>
      <c r="F34" s="658"/>
      <c r="G34" s="658"/>
      <c r="H34" s="658"/>
      <c r="I34" s="653"/>
      <c r="J34" s="654"/>
      <c r="K34" s="655"/>
      <c r="L34" s="656"/>
      <c r="M34" s="655"/>
      <c r="N34" s="653"/>
      <c r="O34" s="653"/>
      <c r="P34" s="653"/>
      <c r="Q34" s="653"/>
      <c r="R34" s="658"/>
      <c r="S34" s="658"/>
      <c r="T34" s="658"/>
      <c r="U34" s="658"/>
      <c r="V34" s="658"/>
      <c r="W34" s="658"/>
      <c r="X34" s="658"/>
      <c r="Y34" s="659"/>
      <c r="Z34" s="657"/>
      <c r="AA34" s="658"/>
      <c r="AB34" s="658"/>
      <c r="AC34" s="672"/>
      <c r="AD34" s="672"/>
      <c r="AE34" s="672"/>
      <c r="AF34" s="659"/>
      <c r="AG34" s="657"/>
      <c r="AH34" s="658"/>
      <c r="AI34" s="658"/>
      <c r="AJ34" s="658"/>
      <c r="AK34" s="658"/>
      <c r="AL34" s="658"/>
      <c r="AM34" s="658"/>
      <c r="AN34" s="658"/>
      <c r="AO34" s="653">
        <f>346.35*'Electricity Conversions'!L30</f>
        <v>763571.04443700006</v>
      </c>
      <c r="AP34" s="684">
        <f>2*AO34</f>
        <v>1527142.0888740001</v>
      </c>
      <c r="AQ34" s="680">
        <f>22*AO34</f>
        <v>16798562.977614</v>
      </c>
      <c r="AR34" s="660">
        <v>2028</v>
      </c>
      <c r="AS34" s="653">
        <f t="shared" ref="AS34:AT34" si="36">AP34*$AU$69</f>
        <v>692.6963800923578</v>
      </c>
      <c r="AT34" s="653">
        <f t="shared" si="36"/>
        <v>7619.6601810159345</v>
      </c>
      <c r="AU34" s="653">
        <f t="shared" si="15"/>
        <v>346.3481900461789</v>
      </c>
      <c r="AV34" s="656">
        <f t="shared" si="16"/>
        <v>3809.8300905079673</v>
      </c>
      <c r="AW34" s="661">
        <v>5545938</v>
      </c>
      <c r="AX34" s="662">
        <v>2772969</v>
      </c>
      <c r="AY34" s="663">
        <f t="shared" si="3"/>
        <v>0.5</v>
      </c>
      <c r="AZ34" s="664">
        <f t="shared" si="4"/>
        <v>8006.3042905761331</v>
      </c>
      <c r="BA34" s="664">
        <f t="shared" si="5"/>
        <v>727.84584459783036</v>
      </c>
      <c r="BB34" s="664">
        <f t="shared" si="6"/>
        <v>4003.1521452880665</v>
      </c>
      <c r="BC34" s="665">
        <f t="shared" si="7"/>
        <v>363.92292229891518</v>
      </c>
      <c r="BD34" s="577"/>
      <c r="BE34" s="578"/>
      <c r="BF34" s="578"/>
      <c r="BG34" s="578"/>
      <c r="BH34" s="578"/>
      <c r="BI34" s="578"/>
      <c r="BJ34" s="578"/>
      <c r="BK34" s="578"/>
      <c r="BL34" s="578"/>
      <c r="BM34" s="578"/>
      <c r="BN34" s="578"/>
      <c r="BO34" s="578"/>
      <c r="BP34" s="578"/>
      <c r="BQ34" s="578"/>
      <c r="BR34" s="578"/>
      <c r="BS34" s="578"/>
      <c r="BT34" s="578"/>
      <c r="BU34" s="578"/>
      <c r="BV34" s="578"/>
      <c r="BW34" s="578"/>
    </row>
    <row r="35" spans="1:75" ht="72" customHeight="1" x14ac:dyDescent="0.3">
      <c r="A35" s="648" t="s">
        <v>78</v>
      </c>
      <c r="B35" s="649">
        <v>2</v>
      </c>
      <c r="C35" s="650">
        <v>32</v>
      </c>
      <c r="D35" s="666" t="s">
        <v>564</v>
      </c>
      <c r="E35" s="717"/>
      <c r="F35" s="718"/>
      <c r="G35" s="718"/>
      <c r="H35" s="718"/>
      <c r="I35" s="718"/>
      <c r="J35" s="719"/>
      <c r="K35" s="720"/>
      <c r="L35" s="721"/>
      <c r="M35" s="722">
        <v>812543</v>
      </c>
      <c r="N35" s="723">
        <v>1188897</v>
      </c>
      <c r="O35" s="724">
        <f>(M35-N35)*'Electricity Conversions'!Q30</f>
        <v>-389033.67125248682</v>
      </c>
      <c r="P35" s="725">
        <f>7438*'Gas Metrics'!B33</f>
        <v>72283.770651117578</v>
      </c>
      <c r="Q35" s="718">
        <v>0</v>
      </c>
      <c r="R35" s="725">
        <f>P35-Q35</f>
        <v>72283.770651117578</v>
      </c>
      <c r="S35" s="718"/>
      <c r="T35" s="718"/>
      <c r="U35" s="718"/>
      <c r="V35" s="718"/>
      <c r="W35" s="726">
        <f>(O35*'Electricity Conversions'!B20)+(R35*'Gas Metrics'!H13)</f>
        <v>702015.28289317887</v>
      </c>
      <c r="X35" s="725">
        <f t="shared" ref="X35:X36" si="37">W35*3</f>
        <v>2106045.8486795365</v>
      </c>
      <c r="Y35" s="727">
        <f t="shared" ref="Y35:Y36" si="38">W35*23</f>
        <v>16146351.506543115</v>
      </c>
      <c r="Z35" s="657"/>
      <c r="AA35" s="658"/>
      <c r="AB35" s="658"/>
      <c r="AC35" s="672"/>
      <c r="AD35" s="672"/>
      <c r="AE35" s="672"/>
      <c r="AF35" s="659"/>
      <c r="AG35" s="657"/>
      <c r="AH35" s="658"/>
      <c r="AI35" s="658"/>
      <c r="AJ35" s="658"/>
      <c r="AK35" s="658"/>
      <c r="AL35" s="658"/>
      <c r="AM35" s="658"/>
      <c r="AN35" s="658"/>
      <c r="AO35" s="728"/>
      <c r="AP35" s="718"/>
      <c r="AQ35" s="721"/>
      <c r="AR35" s="729">
        <v>2028</v>
      </c>
      <c r="AS35" s="653">
        <f t="shared" ref="AS35:AT35" si="39">X35*$AU$69</f>
        <v>955.28133650255097</v>
      </c>
      <c r="AT35" s="653">
        <f t="shared" si="39"/>
        <v>7323.8235798528922</v>
      </c>
      <c r="AU35" s="653">
        <f t="shared" si="15"/>
        <v>318.42711216751695</v>
      </c>
      <c r="AV35" s="656">
        <f t="shared" si="16"/>
        <v>2441.2745266176307</v>
      </c>
      <c r="AW35" s="661">
        <v>7500000</v>
      </c>
      <c r="AX35" s="662">
        <v>2500000</v>
      </c>
      <c r="AY35" s="663">
        <f t="shared" si="3"/>
        <v>0.33333333333333331</v>
      </c>
      <c r="AZ35" s="664">
        <f t="shared" si="4"/>
        <v>7851.0902635853736</v>
      </c>
      <c r="BA35" s="664">
        <f t="shared" si="5"/>
        <v>1024.055251772005</v>
      </c>
      <c r="BB35" s="664">
        <f t="shared" si="6"/>
        <v>2617.0300878617909</v>
      </c>
      <c r="BC35" s="665">
        <f t="shared" si="7"/>
        <v>341.3517505906683</v>
      </c>
      <c r="BD35" s="577"/>
      <c r="BE35" s="578"/>
      <c r="BF35" s="578"/>
      <c r="BG35" s="578"/>
      <c r="BH35" s="578"/>
      <c r="BI35" s="578"/>
      <c r="BJ35" s="578"/>
      <c r="BK35" s="578"/>
      <c r="BL35" s="578"/>
      <c r="BM35" s="578"/>
      <c r="BN35" s="578"/>
      <c r="BO35" s="578"/>
      <c r="BP35" s="578"/>
      <c r="BQ35" s="578"/>
      <c r="BR35" s="578"/>
      <c r="BS35" s="578"/>
      <c r="BT35" s="578"/>
      <c r="BU35" s="578"/>
      <c r="BV35" s="578"/>
      <c r="BW35" s="578"/>
    </row>
    <row r="36" spans="1:75" ht="14.25" customHeight="1" x14ac:dyDescent="0.3">
      <c r="A36" s="648" t="s">
        <v>79</v>
      </c>
      <c r="B36" s="649">
        <v>2</v>
      </c>
      <c r="C36" s="650">
        <v>31</v>
      </c>
      <c r="D36" s="666" t="s">
        <v>565</v>
      </c>
      <c r="E36" s="730">
        <f>134+150</f>
        <v>284</v>
      </c>
      <c r="F36" s="723">
        <f>172257+(150*1282)</f>
        <v>364557</v>
      </c>
      <c r="G36" s="731">
        <f>F36*'Electricity Conversions'!Q30</f>
        <v>376839.22076234833</v>
      </c>
      <c r="H36" s="725">
        <f>G36*'Electricity Conversions'!B20</f>
        <v>248802.81975924977</v>
      </c>
      <c r="I36" s="725">
        <f>H36*5</f>
        <v>1244014.0987962489</v>
      </c>
      <c r="J36" s="732">
        <f>I36*25</f>
        <v>31100352.469906222</v>
      </c>
      <c r="K36" s="720"/>
      <c r="L36" s="721"/>
      <c r="M36" s="720"/>
      <c r="N36" s="718"/>
      <c r="O36" s="724">
        <f>-197882*'Electricity Conversions'!Q30</f>
        <v>-204548.80494105179</v>
      </c>
      <c r="P36" s="718"/>
      <c r="Q36" s="718"/>
      <c r="R36" s="718"/>
      <c r="S36" s="718"/>
      <c r="T36" s="718"/>
      <c r="U36" s="723">
        <v>20503</v>
      </c>
      <c r="V36" s="723">
        <v>14358</v>
      </c>
      <c r="W36" s="726">
        <f>(O36*'Electricity Conversions'!B20)+('Final Project Calcs'!U7*'Fuel Oil+Propane Metrics'!A3)+('Fuel Oil+Propane Metrics'!A16*'Final Project Calcs'!V7)</f>
        <v>-135050.48477906027</v>
      </c>
      <c r="X36" s="731">
        <f t="shared" si="37"/>
        <v>-405151.45433718082</v>
      </c>
      <c r="Y36" s="733">
        <f t="shared" si="38"/>
        <v>-3106161.1499183862</v>
      </c>
      <c r="Z36" s="657"/>
      <c r="AA36" s="658"/>
      <c r="AB36" s="658"/>
      <c r="AC36" s="672"/>
      <c r="AD36" s="672"/>
      <c r="AE36" s="672"/>
      <c r="AF36" s="659"/>
      <c r="AG36" s="657"/>
      <c r="AH36" s="658"/>
      <c r="AI36" s="658"/>
      <c r="AJ36" s="658"/>
      <c r="AK36" s="658"/>
      <c r="AL36" s="658"/>
      <c r="AM36" s="658"/>
      <c r="AN36" s="658"/>
      <c r="AO36" s="734"/>
      <c r="AP36" s="731"/>
      <c r="AQ36" s="733"/>
      <c r="AR36" s="729" t="s">
        <v>80</v>
      </c>
      <c r="AS36" s="653">
        <f t="shared" ref="AS36:AT36" si="40">(I36+X36)*$AU$69</f>
        <v>380.4997069001887</v>
      </c>
      <c r="AT36" s="653">
        <f t="shared" si="40"/>
        <v>12697.885240833284</v>
      </c>
      <c r="AU36" s="653">
        <f t="shared" si="15"/>
        <v>288.00656981453449</v>
      </c>
      <c r="AV36" s="656">
        <f t="shared" si="16"/>
        <v>9611.2409702073928</v>
      </c>
      <c r="AW36" s="661">
        <v>2400000</v>
      </c>
      <c r="AX36" s="662">
        <v>1816600</v>
      </c>
      <c r="AY36" s="663">
        <f t="shared" si="3"/>
        <v>0.75691666666666668</v>
      </c>
      <c r="AZ36" s="664">
        <f t="shared" si="4"/>
        <v>6307.4950032210127</v>
      </c>
      <c r="BA36" s="664">
        <f t="shared" si="5"/>
        <v>189.00785087285155</v>
      </c>
      <c r="BB36" s="664">
        <f t="shared" si="6"/>
        <v>4774.2480928547047</v>
      </c>
      <c r="BC36" s="665">
        <f t="shared" si="7"/>
        <v>143.06319245650923</v>
      </c>
      <c r="BD36" s="577"/>
      <c r="BE36" s="578"/>
      <c r="BF36" s="578"/>
      <c r="BG36" s="578"/>
      <c r="BH36" s="578"/>
      <c r="BI36" s="578"/>
      <c r="BJ36" s="578"/>
      <c r="BK36" s="578"/>
      <c r="BL36" s="578"/>
      <c r="BM36" s="578"/>
      <c r="BN36" s="578"/>
      <c r="BO36" s="578"/>
      <c r="BP36" s="578"/>
      <c r="BQ36" s="578"/>
      <c r="BR36" s="578"/>
      <c r="BS36" s="578"/>
      <c r="BT36" s="578"/>
      <c r="BU36" s="578"/>
      <c r="BV36" s="578"/>
      <c r="BW36" s="578"/>
    </row>
    <row r="37" spans="1:75" ht="14.25" customHeight="1" x14ac:dyDescent="0.3">
      <c r="A37" s="648" t="s">
        <v>81</v>
      </c>
      <c r="B37" s="649">
        <v>2</v>
      </c>
      <c r="C37" s="735">
        <v>42</v>
      </c>
      <c r="D37" s="736" t="s">
        <v>566</v>
      </c>
      <c r="E37" s="652"/>
      <c r="F37" s="653"/>
      <c r="G37" s="653"/>
      <c r="H37" s="653"/>
      <c r="I37" s="653"/>
      <c r="J37" s="654"/>
      <c r="K37" s="655"/>
      <c r="L37" s="656"/>
      <c r="M37" s="655"/>
      <c r="N37" s="653"/>
      <c r="O37" s="653"/>
      <c r="P37" s="653"/>
      <c r="Q37" s="653"/>
      <c r="R37" s="653"/>
      <c r="S37" s="653"/>
      <c r="T37" s="653"/>
      <c r="U37" s="653"/>
      <c r="V37" s="653"/>
      <c r="W37" s="653"/>
      <c r="X37" s="653">
        <f>$W$8+($W$8*2)+($W$8*3*2)</f>
        <v>0</v>
      </c>
      <c r="Y37" s="656">
        <f>(W37*3)*23</f>
        <v>0</v>
      </c>
      <c r="Z37" s="657"/>
      <c r="AA37" s="658"/>
      <c r="AB37" s="658"/>
      <c r="AC37" s="672"/>
      <c r="AD37" s="672"/>
      <c r="AE37" s="672"/>
      <c r="AF37" s="659"/>
      <c r="AG37" s="715">
        <f>(6*18713)*'Electricity Conversions'!Q30</f>
        <v>116060.73680866077</v>
      </c>
      <c r="AH37" s="653">
        <f>AG37*'Electricity Conversions'!B20</f>
        <v>76627.47662760294</v>
      </c>
      <c r="AI37" s="670">
        <f>(6*436)*'Gas Metrics'!B33</f>
        <v>25422.74052478134</v>
      </c>
      <c r="AJ37" s="684">
        <f>AI37*'Gas Metrics'!H13</f>
        <v>337241.48098118755</v>
      </c>
      <c r="AK37" s="658"/>
      <c r="AL37" s="658"/>
      <c r="AM37" s="658"/>
      <c r="AN37" s="658"/>
      <c r="AO37" s="653">
        <f>AH37+AJ37</f>
        <v>413868.95760879049</v>
      </c>
      <c r="AP37" s="653">
        <f>AO37+(AO37*2)+((AO37*3)*2)</f>
        <v>3724820.618479114</v>
      </c>
      <c r="AQ37" s="737">
        <f>(AO37*3)*12</f>
        <v>14899282.473916456</v>
      </c>
      <c r="AR37" s="660">
        <v>2025</v>
      </c>
      <c r="AS37" s="653">
        <f t="shared" ref="AS37:AT37" si="41">AP37*$AU$69</f>
        <v>1689.5413843359415</v>
      </c>
      <c r="AT37" s="653">
        <f t="shared" si="41"/>
        <v>6758.1655373437661</v>
      </c>
      <c r="AU37" s="653">
        <f t="shared" si="15"/>
        <v>1402.3193489988314</v>
      </c>
      <c r="AV37" s="656">
        <f t="shared" si="16"/>
        <v>5609.2773959953256</v>
      </c>
      <c r="AW37" s="661">
        <v>500000</v>
      </c>
      <c r="AX37" s="662">
        <v>415000</v>
      </c>
      <c r="AY37" s="663">
        <f t="shared" si="3"/>
        <v>0.83</v>
      </c>
      <c r="AZ37" s="664">
        <f t="shared" si="4"/>
        <v>295.93829700508957</v>
      </c>
      <c r="BA37" s="664">
        <f t="shared" si="5"/>
        <v>73.984574251272392</v>
      </c>
      <c r="BB37" s="664">
        <f t="shared" si="6"/>
        <v>245.62878651422432</v>
      </c>
      <c r="BC37" s="665">
        <f t="shared" si="7"/>
        <v>61.407196628556079</v>
      </c>
      <c r="BD37" s="577"/>
      <c r="BE37" s="578"/>
      <c r="BF37" s="578"/>
      <c r="BG37" s="578"/>
      <c r="BH37" s="578"/>
      <c r="BI37" s="578"/>
      <c r="BJ37" s="578"/>
      <c r="BK37" s="578"/>
      <c r="BL37" s="578"/>
      <c r="BM37" s="578"/>
      <c r="BN37" s="578"/>
      <c r="BO37" s="578"/>
      <c r="BP37" s="578"/>
      <c r="BQ37" s="578"/>
      <c r="BR37" s="578"/>
      <c r="BS37" s="578"/>
      <c r="BT37" s="578"/>
      <c r="BU37" s="578"/>
      <c r="BV37" s="578"/>
      <c r="BW37" s="578"/>
    </row>
    <row r="38" spans="1:75" ht="14.25" customHeight="1" x14ac:dyDescent="0.3">
      <c r="A38" s="648" t="s">
        <v>82</v>
      </c>
      <c r="B38" s="649">
        <v>2</v>
      </c>
      <c r="C38" s="650">
        <v>33</v>
      </c>
      <c r="D38" s="666" t="s">
        <v>567</v>
      </c>
      <c r="E38" s="738"/>
      <c r="F38" s="653"/>
      <c r="G38" s="653"/>
      <c r="H38" s="653"/>
      <c r="I38" s="653"/>
      <c r="J38" s="654"/>
      <c r="K38" s="655"/>
      <c r="L38" s="656"/>
      <c r="M38" s="657"/>
      <c r="N38" s="658">
        <f>2501</f>
        <v>2501</v>
      </c>
      <c r="O38" s="653">
        <f>N38*'Electricity Conversions'!Q30</f>
        <v>2585.2607167785372</v>
      </c>
      <c r="P38" s="658"/>
      <c r="Q38" s="658"/>
      <c r="R38" s="658"/>
      <c r="S38" s="658"/>
      <c r="T38" s="658"/>
      <c r="U38" s="658"/>
      <c r="V38" s="658"/>
      <c r="W38" s="653">
        <f>O38*'Electricity Conversions'!B20</f>
        <v>1706.8821946029941</v>
      </c>
      <c r="X38" s="653">
        <f>(50*W38)</f>
        <v>85344.109730149707</v>
      </c>
      <c r="Y38" s="680">
        <f>X38*15</f>
        <v>1280161.6459522457</v>
      </c>
      <c r="Z38" s="657"/>
      <c r="AA38" s="658"/>
      <c r="AB38" s="658"/>
      <c r="AC38" s="672"/>
      <c r="AD38" s="672"/>
      <c r="AE38" s="672"/>
      <c r="AF38" s="659"/>
      <c r="AG38" s="657"/>
      <c r="AH38" s="658"/>
      <c r="AI38" s="658"/>
      <c r="AJ38" s="658"/>
      <c r="AK38" s="658"/>
      <c r="AL38" s="658"/>
      <c r="AM38" s="658"/>
      <c r="AN38" s="658"/>
      <c r="AO38" s="658"/>
      <c r="AP38" s="658"/>
      <c r="AQ38" s="659"/>
      <c r="AR38" s="660">
        <v>2025</v>
      </c>
      <c r="AS38" s="653">
        <f t="shared" ref="AS38:AT38" si="42">X38*$AU$69</f>
        <v>38.71123473249861</v>
      </c>
      <c r="AT38" s="653">
        <f t="shared" si="42"/>
        <v>580.66852098747916</v>
      </c>
      <c r="AU38" s="653">
        <f t="shared" si="15"/>
        <v>8.0586368457557214</v>
      </c>
      <c r="AV38" s="656">
        <f t="shared" si="16"/>
        <v>120.87955268633581</v>
      </c>
      <c r="AW38" s="661">
        <v>5200000</v>
      </c>
      <c r="AX38" s="662">
        <v>1082500</v>
      </c>
      <c r="AY38" s="663">
        <f t="shared" si="3"/>
        <v>0.20817307692307693</v>
      </c>
      <c r="AZ38" s="664">
        <f t="shared" si="4"/>
        <v>134327.92924154724</v>
      </c>
      <c r="BA38" s="664">
        <f t="shared" si="5"/>
        <v>8955.1952827698169</v>
      </c>
      <c r="BB38" s="664">
        <f t="shared" si="6"/>
        <v>27963.458346918251</v>
      </c>
      <c r="BC38" s="665">
        <f t="shared" si="7"/>
        <v>1864.2305564612168</v>
      </c>
      <c r="BD38" s="577"/>
      <c r="BE38" s="578"/>
      <c r="BF38" s="578"/>
      <c r="BG38" s="578"/>
      <c r="BH38" s="578"/>
      <c r="BI38" s="578"/>
      <c r="BJ38" s="578"/>
      <c r="BK38" s="578"/>
      <c r="BL38" s="578"/>
      <c r="BM38" s="578"/>
      <c r="BN38" s="578"/>
      <c r="BO38" s="578"/>
      <c r="BP38" s="578"/>
      <c r="BQ38" s="578"/>
      <c r="BR38" s="578"/>
      <c r="BS38" s="578"/>
      <c r="BT38" s="578"/>
      <c r="BU38" s="578"/>
      <c r="BV38" s="578"/>
      <c r="BW38" s="578"/>
    </row>
    <row r="39" spans="1:75" ht="14.25" customHeight="1" x14ac:dyDescent="0.3">
      <c r="A39" s="648" t="s">
        <v>83</v>
      </c>
      <c r="B39" s="649">
        <v>2</v>
      </c>
      <c r="C39" s="675">
        <v>36</v>
      </c>
      <c r="D39" s="666" t="s">
        <v>568</v>
      </c>
      <c r="E39" s="652">
        <f>((12*400*0.001)*26)</f>
        <v>124.8</v>
      </c>
      <c r="F39" s="653">
        <f>6000*26</f>
        <v>156000</v>
      </c>
      <c r="G39" s="653">
        <f>F39*'Electricity Conversions'!Q30</f>
        <v>161255.76642041255</v>
      </c>
      <c r="H39" s="653">
        <f>G39*'Electricity Conversions'!B20</f>
        <v>106466.86219834749</v>
      </c>
      <c r="I39" s="653">
        <f>'Solar PV Data'!BE17</f>
        <v>422684.07630530163</v>
      </c>
      <c r="J39" s="654">
        <f>'Solar PV Data'!BE37</f>
        <v>2413529.0156247388</v>
      </c>
      <c r="K39" s="655"/>
      <c r="L39" s="656"/>
      <c r="M39" s="657"/>
      <c r="N39" s="658"/>
      <c r="O39" s="658"/>
      <c r="P39" s="658"/>
      <c r="Q39" s="658"/>
      <c r="R39" s="658"/>
      <c r="S39" s="658"/>
      <c r="T39" s="658"/>
      <c r="U39" s="658"/>
      <c r="V39" s="658"/>
      <c r="W39" s="658"/>
      <c r="X39" s="658"/>
      <c r="Y39" s="659"/>
      <c r="Z39" s="655">
        <v>17479</v>
      </c>
      <c r="AA39" s="653">
        <v>6899</v>
      </c>
      <c r="AB39" s="653">
        <f>Z39-AA39</f>
        <v>10580</v>
      </c>
      <c r="AC39" s="654">
        <f>AB39*'Electricity Conversions'!Q30</f>
        <v>10936.448773897211</v>
      </c>
      <c r="AD39" s="654">
        <f>AC39*'Electricity Conversions'!B20*26</f>
        <v>187736.56700975276</v>
      </c>
      <c r="AE39" s="654">
        <f>AD39*4</f>
        <v>750946.26803901105</v>
      </c>
      <c r="AF39" s="656">
        <f>AD39*24</f>
        <v>4505677.6082340665</v>
      </c>
      <c r="AG39" s="657"/>
      <c r="AH39" s="658"/>
      <c r="AI39" s="658"/>
      <c r="AJ39" s="658"/>
      <c r="AK39" s="658"/>
      <c r="AL39" s="658"/>
      <c r="AM39" s="658"/>
      <c r="AN39" s="658"/>
      <c r="AO39" s="658"/>
      <c r="AP39" s="658"/>
      <c r="AQ39" s="659"/>
      <c r="AR39" s="660">
        <v>2027</v>
      </c>
      <c r="AS39" s="653">
        <f t="shared" ref="AS39:AT39" si="43">(I39+AE39)*$AU$69</f>
        <v>532.34698789113691</v>
      </c>
      <c r="AT39" s="653">
        <f t="shared" si="43"/>
        <v>3138.4829325161159</v>
      </c>
      <c r="AU39" s="653">
        <f t="shared" si="15"/>
        <v>274.97261771236407</v>
      </c>
      <c r="AV39" s="656">
        <f t="shared" si="16"/>
        <v>1621.1172172087374</v>
      </c>
      <c r="AW39" s="661">
        <v>1210000</v>
      </c>
      <c r="AX39" s="662">
        <v>625000</v>
      </c>
      <c r="AY39" s="663">
        <f t="shared" si="3"/>
        <v>0.51652892561983466</v>
      </c>
      <c r="AZ39" s="664">
        <f t="shared" si="4"/>
        <v>2272.9535951604576</v>
      </c>
      <c r="BA39" s="664">
        <f t="shared" si="5"/>
        <v>385.53658758626585</v>
      </c>
      <c r="BB39" s="664">
        <f t="shared" si="6"/>
        <v>1174.0462784919716</v>
      </c>
      <c r="BC39" s="665">
        <f t="shared" si="7"/>
        <v>199.14079937307122</v>
      </c>
      <c r="BD39" s="577"/>
      <c r="BE39" s="578"/>
      <c r="BF39" s="578"/>
      <c r="BG39" s="578"/>
      <c r="BH39" s="578"/>
      <c r="BI39" s="578"/>
      <c r="BJ39" s="578"/>
      <c r="BK39" s="578"/>
      <c r="BL39" s="578"/>
      <c r="BM39" s="578"/>
      <c r="BN39" s="578"/>
      <c r="BO39" s="578"/>
      <c r="BP39" s="578"/>
      <c r="BQ39" s="578"/>
      <c r="BR39" s="578"/>
      <c r="BS39" s="578"/>
      <c r="BT39" s="578"/>
      <c r="BU39" s="578"/>
      <c r="BV39" s="578"/>
      <c r="BW39" s="578"/>
    </row>
    <row r="40" spans="1:75" ht="42.75" customHeight="1" x14ac:dyDescent="0.3">
      <c r="A40" s="648" t="s">
        <v>84</v>
      </c>
      <c r="B40" s="649">
        <v>2</v>
      </c>
      <c r="C40" s="650">
        <v>34</v>
      </c>
      <c r="D40" s="651" t="s">
        <v>569</v>
      </c>
      <c r="E40" s="652"/>
      <c r="F40" s="658"/>
      <c r="G40" s="658"/>
      <c r="H40" s="658"/>
      <c r="I40" s="653"/>
      <c r="J40" s="654"/>
      <c r="K40" s="655"/>
      <c r="L40" s="656"/>
      <c r="M40" s="655">
        <v>438707</v>
      </c>
      <c r="N40" s="653">
        <v>218118</v>
      </c>
      <c r="O40" s="653">
        <f>(M40-N40)*'Electricity Conversions'!Q30</f>
        <v>228020.8221725153</v>
      </c>
      <c r="P40" s="653"/>
      <c r="Q40" s="653"/>
      <c r="R40" s="658"/>
      <c r="S40" s="658"/>
      <c r="T40" s="658"/>
      <c r="U40" s="658"/>
      <c r="V40" s="658"/>
      <c r="W40" s="684">
        <f>O40*'Electricity Conversions'!B20</f>
        <v>150547.55554789279</v>
      </c>
      <c r="X40" s="684">
        <f>W40*4</f>
        <v>602190.22219157114</v>
      </c>
      <c r="Y40" s="680">
        <f>W40*24</f>
        <v>3613141.3331494266</v>
      </c>
      <c r="Z40" s="657"/>
      <c r="AA40" s="658"/>
      <c r="AB40" s="658"/>
      <c r="AC40" s="672"/>
      <c r="AD40" s="672"/>
      <c r="AE40" s="672"/>
      <c r="AF40" s="659"/>
      <c r="AG40" s="657"/>
      <c r="AH40" s="658"/>
      <c r="AI40" s="658"/>
      <c r="AJ40" s="658"/>
      <c r="AK40" s="658"/>
      <c r="AL40" s="658"/>
      <c r="AM40" s="658"/>
      <c r="AN40" s="658"/>
      <c r="AO40" s="658"/>
      <c r="AP40" s="658"/>
      <c r="AQ40" s="659"/>
      <c r="AR40" s="660">
        <v>2026</v>
      </c>
      <c r="AS40" s="653">
        <f t="shared" ref="AS40:AT40" si="44">X40*$AU$69</f>
        <v>273.14746288387477</v>
      </c>
      <c r="AT40" s="653">
        <f t="shared" si="44"/>
        <v>1638.8847773032485</v>
      </c>
      <c r="AU40" s="653">
        <f t="shared" si="15"/>
        <v>144.94154108951449</v>
      </c>
      <c r="AV40" s="656">
        <f t="shared" si="16"/>
        <v>869.64924653708692</v>
      </c>
      <c r="AW40" s="661">
        <f>5124636-250000+3700000</f>
        <v>8574636</v>
      </c>
      <c r="AX40" s="662">
        <v>4550000</v>
      </c>
      <c r="AY40" s="663">
        <f t="shared" si="3"/>
        <v>0.53063476980247326</v>
      </c>
      <c r="AZ40" s="664">
        <f t="shared" si="4"/>
        <v>31391.966483852717</v>
      </c>
      <c r="BA40" s="664">
        <f t="shared" si="5"/>
        <v>5231.9944139754525</v>
      </c>
      <c r="BB40" s="664">
        <f t="shared" si="6"/>
        <v>16657.668908806139</v>
      </c>
      <c r="BC40" s="665">
        <f t="shared" si="7"/>
        <v>2776.2781514676903</v>
      </c>
      <c r="BD40" s="577"/>
      <c r="BE40" s="578"/>
      <c r="BF40" s="578"/>
      <c r="BG40" s="578"/>
      <c r="BH40" s="578"/>
      <c r="BI40" s="578"/>
      <c r="BJ40" s="578"/>
      <c r="BK40" s="578"/>
      <c r="BL40" s="578"/>
      <c r="BM40" s="578"/>
      <c r="BN40" s="578"/>
      <c r="BO40" s="578"/>
      <c r="BP40" s="578"/>
      <c r="BQ40" s="578"/>
      <c r="BR40" s="578"/>
      <c r="BS40" s="578"/>
      <c r="BT40" s="578"/>
      <c r="BU40" s="578"/>
      <c r="BV40" s="578"/>
      <c r="BW40" s="578"/>
    </row>
    <row r="41" spans="1:75" ht="14.25" customHeight="1" x14ac:dyDescent="0.3">
      <c r="A41" s="648" t="s">
        <v>85</v>
      </c>
      <c r="B41" s="649">
        <v>2</v>
      </c>
      <c r="C41" s="650">
        <v>38</v>
      </c>
      <c r="D41" s="669" t="s">
        <v>570</v>
      </c>
      <c r="E41" s="652"/>
      <c r="F41" s="658"/>
      <c r="G41" s="658"/>
      <c r="H41" s="658"/>
      <c r="I41" s="653"/>
      <c r="J41" s="654"/>
      <c r="K41" s="655"/>
      <c r="L41" s="656"/>
      <c r="M41" s="655"/>
      <c r="N41" s="653"/>
      <c r="O41" s="653">
        <f>93924*'Electricity Conversions'!Q30</f>
        <v>97088.375674813011</v>
      </c>
      <c r="P41" s="653"/>
      <c r="Q41" s="653"/>
      <c r="R41" s="658"/>
      <c r="S41" s="658"/>
      <c r="T41" s="658"/>
      <c r="U41" s="658"/>
      <c r="V41" s="658"/>
      <c r="W41" s="684">
        <f>O41*'Electricity Conversions'!B20</f>
        <v>64101.240802035834</v>
      </c>
      <c r="X41" s="684">
        <f t="shared" ref="X41:X42" si="45">W41*5</f>
        <v>320506.20401017915</v>
      </c>
      <c r="Y41" s="680">
        <f t="shared" ref="Y41:Y42" si="46">W41*25</f>
        <v>1602531.0200508959</v>
      </c>
      <c r="Z41" s="657"/>
      <c r="AA41" s="658"/>
      <c r="AB41" s="658"/>
      <c r="AC41" s="672"/>
      <c r="AD41" s="672"/>
      <c r="AE41" s="672"/>
      <c r="AF41" s="659"/>
      <c r="AG41" s="657"/>
      <c r="AH41" s="658"/>
      <c r="AI41" s="658"/>
      <c r="AJ41" s="658"/>
      <c r="AK41" s="658"/>
      <c r="AL41" s="658"/>
      <c r="AM41" s="658"/>
      <c r="AN41" s="658"/>
      <c r="AO41" s="658"/>
      <c r="AP41" s="658"/>
      <c r="AQ41" s="659"/>
      <c r="AR41" s="660">
        <v>2026</v>
      </c>
      <c r="AS41" s="653">
        <f t="shared" ref="AS41:AT41" si="47">X41*$AU$69</f>
        <v>145.37840907697716</v>
      </c>
      <c r="AT41" s="653">
        <f t="shared" si="47"/>
        <v>726.89204538488593</v>
      </c>
      <c r="AU41" s="653">
        <f t="shared" si="15"/>
        <v>76.67581801196657</v>
      </c>
      <c r="AV41" s="656">
        <f t="shared" si="16"/>
        <v>383.37909005983289</v>
      </c>
      <c r="AW41" s="661">
        <f>0.6*6320046</f>
        <v>3792027.5999999996</v>
      </c>
      <c r="AX41" s="662">
        <v>2000000</v>
      </c>
      <c r="AY41" s="663">
        <f t="shared" si="3"/>
        <v>0.5274223215042001</v>
      </c>
      <c r="AZ41" s="664">
        <f t="shared" si="4"/>
        <v>26083.843014076039</v>
      </c>
      <c r="BA41" s="664">
        <f t="shared" si="5"/>
        <v>5216.7686028152075</v>
      </c>
      <c r="BB41" s="664">
        <f t="shared" si="6"/>
        <v>13757.201036235096</v>
      </c>
      <c r="BC41" s="665">
        <f t="shared" si="7"/>
        <v>2751.4402072470189</v>
      </c>
      <c r="BD41" s="577"/>
      <c r="BE41" s="578"/>
      <c r="BF41" s="578"/>
      <c r="BG41" s="578"/>
      <c r="BH41" s="578"/>
      <c r="BI41" s="578"/>
      <c r="BJ41" s="578"/>
      <c r="BK41" s="578"/>
      <c r="BL41" s="578"/>
      <c r="BM41" s="578"/>
      <c r="BN41" s="578"/>
      <c r="BO41" s="578"/>
      <c r="BP41" s="578"/>
      <c r="BQ41" s="578"/>
      <c r="BR41" s="578"/>
      <c r="BS41" s="578"/>
      <c r="BT41" s="578"/>
      <c r="BU41" s="578"/>
      <c r="BV41" s="578"/>
      <c r="BW41" s="578"/>
    </row>
    <row r="42" spans="1:75" ht="76.5" customHeight="1" x14ac:dyDescent="0.3">
      <c r="A42" s="648" t="s">
        <v>85</v>
      </c>
      <c r="B42" s="649">
        <v>2</v>
      </c>
      <c r="C42" s="650">
        <v>39</v>
      </c>
      <c r="D42" s="669" t="s">
        <v>571</v>
      </c>
      <c r="E42" s="652"/>
      <c r="F42" s="658"/>
      <c r="G42" s="658"/>
      <c r="H42" s="658"/>
      <c r="I42" s="653"/>
      <c r="J42" s="654"/>
      <c r="K42" s="655"/>
      <c r="L42" s="656"/>
      <c r="M42" s="655"/>
      <c r="N42" s="653"/>
      <c r="O42" s="653">
        <f>220990*'Electricity Conversions'!Q30</f>
        <v>228435.33218748058</v>
      </c>
      <c r="P42" s="653"/>
      <c r="Q42" s="653"/>
      <c r="R42" s="739">
        <f>52*'Gas Metrics'!B33</f>
        <v>505.34499514091345</v>
      </c>
      <c r="S42" s="658"/>
      <c r="T42" s="658"/>
      <c r="U42" s="658"/>
      <c r="V42" s="658"/>
      <c r="W42" s="653">
        <f>(O42*'Electricity Conversions'!B20)+('Final Project Calcs'!R42*'Gas Metrics'!H13)</f>
        <v>157524.806821209</v>
      </c>
      <c r="X42" s="653">
        <f t="shared" si="45"/>
        <v>787624.03410604503</v>
      </c>
      <c r="Y42" s="656">
        <f t="shared" si="46"/>
        <v>3938120.1705302252</v>
      </c>
      <c r="Z42" s="657"/>
      <c r="AA42" s="658"/>
      <c r="AB42" s="658"/>
      <c r="AC42" s="672"/>
      <c r="AD42" s="672"/>
      <c r="AE42" s="672"/>
      <c r="AF42" s="659"/>
      <c r="AG42" s="657"/>
      <c r="AH42" s="658"/>
      <c r="AI42" s="658"/>
      <c r="AJ42" s="658"/>
      <c r="AK42" s="658"/>
      <c r="AL42" s="658"/>
      <c r="AM42" s="658"/>
      <c r="AN42" s="658"/>
      <c r="AO42" s="658"/>
      <c r="AP42" s="658"/>
      <c r="AQ42" s="659"/>
      <c r="AR42" s="660">
        <v>2026</v>
      </c>
      <c r="AS42" s="653">
        <f t="shared" ref="AS42:AT42" si="48">X42*$AU$69</f>
        <v>357.258385630161</v>
      </c>
      <c r="AT42" s="653">
        <f t="shared" si="48"/>
        <v>1786.291928150805</v>
      </c>
      <c r="AU42" s="653">
        <f t="shared" si="15"/>
        <v>200.98520134153756</v>
      </c>
      <c r="AV42" s="656">
        <f t="shared" si="16"/>
        <v>1004.9260067076877</v>
      </c>
      <c r="AW42" s="661">
        <f>(23700477*0.25)*0.6</f>
        <v>3555071.55</v>
      </c>
      <c r="AX42" s="662">
        <v>2000000</v>
      </c>
      <c r="AY42" s="663">
        <f t="shared" si="3"/>
        <v>0.56257658161619839</v>
      </c>
      <c r="AZ42" s="664">
        <f t="shared" si="4"/>
        <v>9950.9813988810347</v>
      </c>
      <c r="BA42" s="664">
        <f t="shared" si="5"/>
        <v>1990.1962797762071</v>
      </c>
      <c r="BB42" s="664">
        <f t="shared" si="6"/>
        <v>5598.1890991088694</v>
      </c>
      <c r="BC42" s="665">
        <f t="shared" si="7"/>
        <v>1119.6378198217737</v>
      </c>
      <c r="BD42" s="577"/>
      <c r="BE42" s="578"/>
      <c r="BF42" s="578"/>
      <c r="BG42" s="578"/>
      <c r="BH42" s="578"/>
      <c r="BI42" s="578"/>
      <c r="BJ42" s="578"/>
      <c r="BK42" s="578"/>
      <c r="BL42" s="578"/>
      <c r="BM42" s="578"/>
      <c r="BN42" s="578"/>
      <c r="BO42" s="578"/>
      <c r="BP42" s="578"/>
      <c r="BQ42" s="578"/>
      <c r="BR42" s="578"/>
      <c r="BS42" s="578"/>
      <c r="BT42" s="578"/>
      <c r="BU42" s="578"/>
      <c r="BV42" s="578"/>
      <c r="BW42" s="578"/>
    </row>
    <row r="43" spans="1:75" ht="14.25" customHeight="1" x14ac:dyDescent="0.3">
      <c r="A43" s="648" t="s">
        <v>85</v>
      </c>
      <c r="B43" s="649">
        <v>2</v>
      </c>
      <c r="C43" s="650">
        <v>40</v>
      </c>
      <c r="D43" s="669" t="s">
        <v>572</v>
      </c>
      <c r="E43" s="652"/>
      <c r="F43" s="658"/>
      <c r="G43" s="658"/>
      <c r="H43" s="658"/>
      <c r="I43" s="653"/>
      <c r="J43" s="654"/>
      <c r="K43" s="655"/>
      <c r="L43" s="656"/>
      <c r="M43" s="655"/>
      <c r="N43" s="653"/>
      <c r="O43" s="653">
        <f>101078*'Electricity Conversions'!Q30</f>
        <v>104483.39973232347</v>
      </c>
      <c r="P43" s="653"/>
      <c r="Q43" s="653"/>
      <c r="R43" s="658"/>
      <c r="S43" s="658"/>
      <c r="T43" s="658"/>
      <c r="U43" s="658"/>
      <c r="V43" s="658"/>
      <c r="W43" s="684">
        <f>O43*'Electricity Conversions'!B20</f>
        <v>68983.701905670314</v>
      </c>
      <c r="X43" s="684">
        <f>W43*4</f>
        <v>275934.80762268126</v>
      </c>
      <c r="Y43" s="680">
        <f>W43*24</f>
        <v>1655608.8457360875</v>
      </c>
      <c r="Z43" s="657"/>
      <c r="AA43" s="658"/>
      <c r="AB43" s="658"/>
      <c r="AC43" s="672"/>
      <c r="AD43" s="672"/>
      <c r="AE43" s="672"/>
      <c r="AF43" s="659"/>
      <c r="AG43" s="657"/>
      <c r="AH43" s="658"/>
      <c r="AI43" s="658"/>
      <c r="AJ43" s="658"/>
      <c r="AK43" s="658"/>
      <c r="AL43" s="658"/>
      <c r="AM43" s="658"/>
      <c r="AN43" s="658"/>
      <c r="AO43" s="658"/>
      <c r="AP43" s="658"/>
      <c r="AQ43" s="659"/>
      <c r="AR43" s="660">
        <v>2027</v>
      </c>
      <c r="AS43" s="653">
        <f t="shared" ref="AS43:AT43" si="49">X43*$AU$69</f>
        <v>125.161269389572</v>
      </c>
      <c r="AT43" s="653">
        <f t="shared" si="49"/>
        <v>750.96761633743199</v>
      </c>
      <c r="AU43" s="653">
        <f t="shared" si="15"/>
        <v>45.348469622724657</v>
      </c>
      <c r="AV43" s="656">
        <f t="shared" si="16"/>
        <v>272.09081773634796</v>
      </c>
      <c r="AW43" s="661">
        <f>(36799851*0.25)*0.6</f>
        <v>5519977.6499999994</v>
      </c>
      <c r="AX43" s="662">
        <v>2000000</v>
      </c>
      <c r="AY43" s="663">
        <f t="shared" si="3"/>
        <v>0.3623203075831295</v>
      </c>
      <c r="AZ43" s="664">
        <f t="shared" si="4"/>
        <v>44102.921590054633</v>
      </c>
      <c r="BA43" s="664">
        <f t="shared" si="5"/>
        <v>7350.4869316757722</v>
      </c>
      <c r="BB43" s="664">
        <f t="shared" si="6"/>
        <v>15979.384115823237</v>
      </c>
      <c r="BC43" s="665">
        <f t="shared" si="7"/>
        <v>2663.2306859705395</v>
      </c>
      <c r="BD43" s="577"/>
      <c r="BE43" s="578"/>
      <c r="BF43" s="578"/>
      <c r="BG43" s="578"/>
      <c r="BH43" s="578"/>
      <c r="BI43" s="578"/>
      <c r="BJ43" s="578"/>
      <c r="BK43" s="578"/>
      <c r="BL43" s="578"/>
      <c r="BM43" s="578"/>
      <c r="BN43" s="578"/>
      <c r="BO43" s="578"/>
      <c r="BP43" s="578"/>
      <c r="BQ43" s="578"/>
      <c r="BR43" s="578"/>
      <c r="BS43" s="578"/>
      <c r="BT43" s="578"/>
      <c r="BU43" s="578"/>
      <c r="BV43" s="578"/>
      <c r="BW43" s="578"/>
    </row>
    <row r="44" spans="1:75" ht="14.25" customHeight="1" x14ac:dyDescent="0.3">
      <c r="A44" s="648" t="s">
        <v>85</v>
      </c>
      <c r="B44" s="649">
        <v>2</v>
      </c>
      <c r="C44" s="650">
        <v>41</v>
      </c>
      <c r="D44" s="674" t="s">
        <v>573</v>
      </c>
      <c r="E44" s="652"/>
      <c r="F44" s="658"/>
      <c r="G44" s="658"/>
      <c r="H44" s="658"/>
      <c r="I44" s="658"/>
      <c r="J44" s="672"/>
      <c r="K44" s="657"/>
      <c r="L44" s="659"/>
      <c r="M44" s="657"/>
      <c r="N44" s="658"/>
      <c r="O44" s="739">
        <f>'Electricity Conversions'!Q30*164219</f>
        <v>169751.67119098545</v>
      </c>
      <c r="P44" s="658"/>
      <c r="Q44" s="658"/>
      <c r="R44" s="658"/>
      <c r="S44" s="658"/>
      <c r="T44" s="658"/>
      <c r="U44" s="658"/>
      <c r="V44" s="658"/>
      <c r="W44" s="653">
        <f>O44*'Electricity Conversions'!B20</f>
        <v>112076.16438045146</v>
      </c>
      <c r="X44" s="653">
        <f t="shared" ref="X44:X45" si="50">W44*3</f>
        <v>336228.49314135441</v>
      </c>
      <c r="Y44" s="656">
        <f t="shared" ref="Y44:Y45" si="51">W44*23</f>
        <v>2577751.7807503836</v>
      </c>
      <c r="Z44" s="657"/>
      <c r="AA44" s="658"/>
      <c r="AB44" s="658"/>
      <c r="AC44" s="672"/>
      <c r="AD44" s="672"/>
      <c r="AE44" s="672"/>
      <c r="AF44" s="659"/>
      <c r="AG44" s="657"/>
      <c r="AH44" s="658"/>
      <c r="AI44" s="658"/>
      <c r="AJ44" s="658"/>
      <c r="AK44" s="658"/>
      <c r="AL44" s="658"/>
      <c r="AM44" s="658"/>
      <c r="AN44" s="658"/>
      <c r="AO44" s="658"/>
      <c r="AP44" s="658"/>
      <c r="AQ44" s="659"/>
      <c r="AR44" s="660">
        <v>2028</v>
      </c>
      <c r="AS44" s="653">
        <f t="shared" ref="AS44:AT44" si="52">X44*$AU$69</f>
        <v>152.50988220398696</v>
      </c>
      <c r="AT44" s="653">
        <f t="shared" si="52"/>
        <v>1169.2424302305665</v>
      </c>
      <c r="AU44" s="653">
        <f t="shared" si="15"/>
        <v>56.280190988194143</v>
      </c>
      <c r="AV44" s="656">
        <f t="shared" si="16"/>
        <v>431.48146424282169</v>
      </c>
      <c r="AW44" s="661">
        <f>(72262196*0.25)*0.6</f>
        <v>10839329.4</v>
      </c>
      <c r="AX44" s="662">
        <v>4000000</v>
      </c>
      <c r="AY44" s="663">
        <f t="shared" si="3"/>
        <v>0.36902651929740227</v>
      </c>
      <c r="AZ44" s="664">
        <f t="shared" si="4"/>
        <v>71072.964212916006</v>
      </c>
      <c r="BA44" s="664">
        <f t="shared" si="5"/>
        <v>9270.3866364673067</v>
      </c>
      <c r="BB44" s="664">
        <f t="shared" si="6"/>
        <v>26227.80859964123</v>
      </c>
      <c r="BC44" s="665">
        <f t="shared" si="7"/>
        <v>3421.0185129966826</v>
      </c>
      <c r="BD44" s="577"/>
      <c r="BE44" s="578"/>
      <c r="BF44" s="578"/>
      <c r="BG44" s="578"/>
      <c r="BH44" s="578"/>
      <c r="BI44" s="578"/>
      <c r="BJ44" s="578"/>
      <c r="BK44" s="578"/>
      <c r="BL44" s="578"/>
      <c r="BM44" s="578"/>
      <c r="BN44" s="578"/>
      <c r="BO44" s="578"/>
      <c r="BP44" s="578"/>
      <c r="BQ44" s="578"/>
      <c r="BR44" s="578"/>
      <c r="BS44" s="578"/>
      <c r="BT44" s="578"/>
      <c r="BU44" s="578"/>
      <c r="BV44" s="578"/>
      <c r="BW44" s="578"/>
    </row>
    <row r="45" spans="1:75" ht="14.25" customHeight="1" x14ac:dyDescent="0.3">
      <c r="A45" s="668" t="s">
        <v>86</v>
      </c>
      <c r="B45" s="649">
        <v>2</v>
      </c>
      <c r="C45" s="650">
        <v>46</v>
      </c>
      <c r="D45" s="666" t="s">
        <v>574</v>
      </c>
      <c r="E45" s="652"/>
      <c r="F45" s="658"/>
      <c r="G45" s="658"/>
      <c r="H45" s="658"/>
      <c r="I45" s="658"/>
      <c r="J45" s="672"/>
      <c r="K45" s="657"/>
      <c r="L45" s="659"/>
      <c r="M45" s="657"/>
      <c r="N45" s="658"/>
      <c r="O45" s="670">
        <f>1561*'Electricity Conversions'!Q30</f>
        <v>1613.5913550145128</v>
      </c>
      <c r="P45" s="658"/>
      <c r="Q45" s="658"/>
      <c r="R45" s="658"/>
      <c r="S45" s="658"/>
      <c r="T45" s="658"/>
      <c r="U45" s="658"/>
      <c r="V45" s="658"/>
      <c r="W45" s="653">
        <f>O45*'Electricity Conversions'!B20</f>
        <v>1065.3511018693619</v>
      </c>
      <c r="X45" s="653">
        <f t="shared" si="50"/>
        <v>3196.0533056080858</v>
      </c>
      <c r="Y45" s="656">
        <f t="shared" si="51"/>
        <v>24503.075342995322</v>
      </c>
      <c r="Z45" s="657"/>
      <c r="AA45" s="658"/>
      <c r="AB45" s="658"/>
      <c r="AC45" s="672"/>
      <c r="AD45" s="672"/>
      <c r="AE45" s="672"/>
      <c r="AF45" s="659"/>
      <c r="AG45" s="657"/>
      <c r="AH45" s="658"/>
      <c r="AI45" s="658"/>
      <c r="AJ45" s="658"/>
      <c r="AK45" s="658"/>
      <c r="AL45" s="658"/>
      <c r="AM45" s="658"/>
      <c r="AN45" s="658"/>
      <c r="AO45" s="658"/>
      <c r="AP45" s="658"/>
      <c r="AQ45" s="659"/>
      <c r="AR45" s="660">
        <v>2028</v>
      </c>
      <c r="AS45" s="653">
        <f t="shared" ref="AS45:AT45" si="53">X45*$AU$69</f>
        <v>1.4496978188907717</v>
      </c>
      <c r="AT45" s="653">
        <f t="shared" si="53"/>
        <v>11.114349944829248</v>
      </c>
      <c r="AU45" s="653">
        <f t="shared" si="15"/>
        <v>1.4496978188907717</v>
      </c>
      <c r="AV45" s="656">
        <f t="shared" si="16"/>
        <v>11.114349944829248</v>
      </c>
      <c r="AW45" s="661">
        <v>250000</v>
      </c>
      <c r="AX45" s="662">
        <v>250000</v>
      </c>
      <c r="AY45" s="663">
        <f t="shared" si="3"/>
        <v>1</v>
      </c>
      <c r="AZ45" s="664">
        <f t="shared" si="4"/>
        <v>172449.73175946841</v>
      </c>
      <c r="BA45" s="664">
        <f t="shared" si="5"/>
        <v>22493.443272974142</v>
      </c>
      <c r="BB45" s="664">
        <f t="shared" si="6"/>
        <v>172449.73175946841</v>
      </c>
      <c r="BC45" s="665">
        <f t="shared" si="7"/>
        <v>22493.443272974142</v>
      </c>
      <c r="BD45" s="577"/>
      <c r="BE45" s="578"/>
      <c r="BF45" s="578"/>
      <c r="BG45" s="578"/>
      <c r="BH45" s="578"/>
      <c r="BI45" s="578"/>
      <c r="BJ45" s="578"/>
      <c r="BK45" s="578"/>
      <c r="BL45" s="578"/>
      <c r="BM45" s="578"/>
      <c r="BN45" s="578"/>
      <c r="BO45" s="578"/>
      <c r="BP45" s="578"/>
      <c r="BQ45" s="578"/>
      <c r="BR45" s="578"/>
      <c r="BS45" s="578"/>
      <c r="BT45" s="578"/>
      <c r="BU45" s="578"/>
      <c r="BV45" s="578"/>
      <c r="BW45" s="578"/>
    </row>
    <row r="46" spans="1:75" ht="14.25" customHeight="1" x14ac:dyDescent="0.3">
      <c r="A46" s="648" t="s">
        <v>87</v>
      </c>
      <c r="B46" s="649">
        <v>2</v>
      </c>
      <c r="C46" s="650">
        <v>35</v>
      </c>
      <c r="D46" s="666" t="s">
        <v>575</v>
      </c>
      <c r="E46" s="652"/>
      <c r="F46" s="658"/>
      <c r="G46" s="658"/>
      <c r="H46" s="658"/>
      <c r="I46" s="658"/>
      <c r="J46" s="672"/>
      <c r="K46" s="657"/>
      <c r="L46" s="659"/>
      <c r="M46" s="657"/>
      <c r="N46" s="658"/>
      <c r="O46" s="658"/>
      <c r="P46" s="658"/>
      <c r="Q46" s="658"/>
      <c r="R46" s="658"/>
      <c r="S46" s="658"/>
      <c r="T46" s="658"/>
      <c r="U46" s="658"/>
      <c r="V46" s="658"/>
      <c r="W46" s="658"/>
      <c r="X46" s="658"/>
      <c r="Y46" s="659"/>
      <c r="Z46" s="657"/>
      <c r="AA46" s="658"/>
      <c r="AB46" s="658"/>
      <c r="AC46" s="672"/>
      <c r="AD46" s="672"/>
      <c r="AE46" s="672"/>
      <c r="AF46" s="659"/>
      <c r="AG46" s="740"/>
      <c r="AH46" s="686">
        <f>AG46*'Electricity Conversions'!B20</f>
        <v>0</v>
      </c>
      <c r="AI46" s="658"/>
      <c r="AJ46" s="658"/>
      <c r="AK46" s="658"/>
      <c r="AL46" s="653">
        <f>AK46*'Fuel Oil+Propane Metrics'!A3</f>
        <v>0</v>
      </c>
      <c r="AM46" s="653"/>
      <c r="AN46" s="653"/>
      <c r="AO46" s="684">
        <f>AH46+AL46</f>
        <v>0</v>
      </c>
      <c r="AP46" s="653">
        <f>(('Project-Specific Calcs_Lifecycl'!J218+'Project-Specific Calcs_Lifecycl'!L218+'Project-Specific Calcs_Lifecycl'!N218+'Project-Specific Calcs_Lifecycl'!P218+'Project-Specific Calcs_Lifecycl'!R218)*'Electricity Conversions'!B20+('Project-Specific Calcs_Lifecycl'!K218+'Project-Specific Calcs_Lifecycl'!M218+'Project-Specific Calcs_Lifecycl'!O218+'Project-Specific Calcs_Lifecycl'!Q218+'Project-Specific Calcs_Lifecycl'!S218)*'Fuel Oil+Propane Metrics'!M29)*0.24</f>
        <v>14203455.812516669</v>
      </c>
      <c r="AQ46" s="680">
        <f>AP46*25</f>
        <v>355086395.3129167</v>
      </c>
      <c r="AR46" s="660">
        <v>2025</v>
      </c>
      <c r="AS46" s="653">
        <f>AP46*AU69</f>
        <v>6442.5455219994365</v>
      </c>
      <c r="AT46" s="653">
        <f>AQ46*AU69</f>
        <v>161063.63804998589</v>
      </c>
      <c r="AU46" s="653">
        <f t="shared" si="15"/>
        <v>4560.012685132685</v>
      </c>
      <c r="AV46" s="656">
        <f t="shared" si="16"/>
        <v>114000.31712831711</v>
      </c>
      <c r="AW46" s="661">
        <v>14128350</v>
      </c>
      <c r="AX46" s="662">
        <v>10000000</v>
      </c>
      <c r="AY46" s="663">
        <f t="shared" si="3"/>
        <v>0.7077967349336618</v>
      </c>
      <c r="AZ46" s="664">
        <f t="shared" si="4"/>
        <v>2192.9763556587618</v>
      </c>
      <c r="BA46" s="664">
        <f t="shared" si="5"/>
        <v>87.71905422635048</v>
      </c>
      <c r="BB46" s="664">
        <f t="shared" si="6"/>
        <v>1552.1815043219922</v>
      </c>
      <c r="BC46" s="665">
        <f t="shared" si="7"/>
        <v>62.087260172879695</v>
      </c>
      <c r="BD46" s="577"/>
      <c r="BE46" s="578"/>
      <c r="BF46" s="578"/>
      <c r="BG46" s="578"/>
      <c r="BH46" s="578"/>
      <c r="BI46" s="578"/>
      <c r="BJ46" s="578"/>
      <c r="BK46" s="578"/>
      <c r="BL46" s="578"/>
      <c r="BM46" s="578"/>
      <c r="BN46" s="578"/>
      <c r="BO46" s="578"/>
      <c r="BP46" s="578"/>
      <c r="BQ46" s="578"/>
      <c r="BR46" s="578"/>
      <c r="BS46" s="578"/>
      <c r="BT46" s="578"/>
      <c r="BU46" s="578"/>
      <c r="BV46" s="578"/>
      <c r="BW46" s="578"/>
    </row>
    <row r="47" spans="1:75" ht="14.25" customHeight="1" x14ac:dyDescent="0.3">
      <c r="A47" s="648" t="s">
        <v>88</v>
      </c>
      <c r="B47" s="649">
        <v>2</v>
      </c>
      <c r="C47" s="650">
        <v>37</v>
      </c>
      <c r="D47" s="741" t="s">
        <v>576</v>
      </c>
      <c r="E47" s="652"/>
      <c r="F47" s="658"/>
      <c r="G47" s="658"/>
      <c r="H47" s="658"/>
      <c r="I47" s="658"/>
      <c r="J47" s="672"/>
      <c r="K47" s="657"/>
      <c r="L47" s="659"/>
      <c r="M47" s="657"/>
      <c r="N47" s="658"/>
      <c r="O47" s="658"/>
      <c r="P47" s="658"/>
      <c r="Q47" s="658"/>
      <c r="R47" s="658"/>
      <c r="S47" s="658"/>
      <c r="T47" s="658"/>
      <c r="U47" s="658"/>
      <c r="V47" s="658"/>
      <c r="W47" s="658"/>
      <c r="X47" s="658"/>
      <c r="Y47" s="659"/>
      <c r="Z47" s="657"/>
      <c r="AA47" s="658"/>
      <c r="AB47" s="658"/>
      <c r="AC47" s="672"/>
      <c r="AD47" s="672"/>
      <c r="AE47" s="672"/>
      <c r="AF47" s="659"/>
      <c r="AG47" s="657"/>
      <c r="AH47" s="658"/>
      <c r="AI47" s="658"/>
      <c r="AJ47" s="658"/>
      <c r="AK47" s="658"/>
      <c r="AL47" s="658"/>
      <c r="AM47" s="658"/>
      <c r="AN47" s="658"/>
      <c r="AO47" s="658"/>
      <c r="AP47" s="653">
        <v>153011249.90000001</v>
      </c>
      <c r="AQ47" s="656">
        <v>1063659154.5</v>
      </c>
      <c r="AR47" s="660">
        <v>2025</v>
      </c>
      <c r="AS47" s="653">
        <f t="shared" ref="AS47:AT47" si="54">AP47*$AU$69</f>
        <v>69404.372842141005</v>
      </c>
      <c r="AT47" s="653">
        <f t="shared" si="54"/>
        <v>482465.15588965506</v>
      </c>
      <c r="AU47" s="653">
        <f t="shared" si="15"/>
        <v>18031.386197587311</v>
      </c>
      <c r="AV47" s="656">
        <f t="shared" si="16"/>
        <v>125345.35212229968</v>
      </c>
      <c r="AW47" s="661">
        <v>99200000</v>
      </c>
      <c r="AX47" s="662">
        <v>25772346</v>
      </c>
      <c r="AY47" s="663">
        <f t="shared" si="3"/>
        <v>0.25980187500000002</v>
      </c>
      <c r="AZ47" s="664">
        <f t="shared" si="4"/>
        <v>1429.3047532556575</v>
      </c>
      <c r="BA47" s="664">
        <f t="shared" si="5"/>
        <v>205.61070325809828</v>
      </c>
      <c r="BB47" s="664">
        <f t="shared" si="6"/>
        <v>371.33605484223216</v>
      </c>
      <c r="BC47" s="665">
        <f t="shared" si="7"/>
        <v>53.418046226522549</v>
      </c>
      <c r="BD47" s="577"/>
      <c r="BE47" s="578"/>
      <c r="BF47" s="578"/>
      <c r="BG47" s="578"/>
      <c r="BH47" s="578"/>
      <c r="BI47" s="578"/>
      <c r="BJ47" s="578"/>
      <c r="BK47" s="578"/>
      <c r="BL47" s="578"/>
      <c r="BM47" s="578"/>
      <c r="BN47" s="578"/>
      <c r="BO47" s="578"/>
      <c r="BP47" s="578"/>
      <c r="BQ47" s="578"/>
      <c r="BR47" s="578"/>
      <c r="BS47" s="578"/>
      <c r="BT47" s="578"/>
      <c r="BU47" s="578"/>
      <c r="BV47" s="578"/>
      <c r="BW47" s="578"/>
    </row>
    <row r="48" spans="1:75" ht="14.25" customHeight="1" x14ac:dyDescent="0.3">
      <c r="A48" s="648" t="s">
        <v>89</v>
      </c>
      <c r="B48" s="742">
        <v>2</v>
      </c>
      <c r="C48" s="650">
        <v>43</v>
      </c>
      <c r="D48" s="669" t="s">
        <v>577</v>
      </c>
      <c r="E48" s="743"/>
      <c r="F48" s="744"/>
      <c r="G48" s="744"/>
      <c r="H48" s="744"/>
      <c r="I48" s="744"/>
      <c r="J48" s="745"/>
      <c r="K48" s="746"/>
      <c r="L48" s="747"/>
      <c r="M48" s="746"/>
      <c r="N48" s="744"/>
      <c r="O48" s="748">
        <f>-333060*'Electricity Conversions'!Q30</f>
        <v>-344281.06130758079</v>
      </c>
      <c r="P48" s="744"/>
      <c r="Q48" s="744"/>
      <c r="R48" s="749">
        <f>7445*'Gas Metrics'!B33</f>
        <v>72351.797862001942</v>
      </c>
      <c r="S48" s="744"/>
      <c r="T48" s="744"/>
      <c r="U48" s="744"/>
      <c r="V48" s="744"/>
      <c r="W48" s="749">
        <f>(O48*'Electricity Conversions'!B20)+(R48*'Gas Metrics'!H13)</f>
        <v>732464.97164725489</v>
      </c>
      <c r="X48" s="749">
        <f t="shared" ref="X48:X49" si="55">4*W48</f>
        <v>2929859.8865890196</v>
      </c>
      <c r="Y48" s="750">
        <f t="shared" ref="Y48:Y49" si="56">24*W48</f>
        <v>17579159.319534115</v>
      </c>
      <c r="Z48" s="746"/>
      <c r="AA48" s="744"/>
      <c r="AB48" s="744"/>
      <c r="AC48" s="745"/>
      <c r="AD48" s="745"/>
      <c r="AE48" s="745"/>
      <c r="AF48" s="747"/>
      <c r="AG48" s="657"/>
      <c r="AH48" s="658"/>
      <c r="AI48" s="658"/>
      <c r="AJ48" s="658"/>
      <c r="AK48" s="658"/>
      <c r="AL48" s="658"/>
      <c r="AM48" s="658"/>
      <c r="AN48" s="658"/>
      <c r="AO48" s="658"/>
      <c r="AP48" s="658"/>
      <c r="AQ48" s="659"/>
      <c r="AR48" s="751">
        <v>2027</v>
      </c>
      <c r="AS48" s="749">
        <f t="shared" ref="AS48:AT48" si="57">X48*$AU$69</f>
        <v>1328.9551459579134</v>
      </c>
      <c r="AT48" s="749">
        <f t="shared" si="57"/>
        <v>7973.7308757474802</v>
      </c>
      <c r="AU48" s="749">
        <f t="shared" si="15"/>
        <v>766.93662474972064</v>
      </c>
      <c r="AV48" s="750">
        <f t="shared" si="16"/>
        <v>4601.619748498324</v>
      </c>
      <c r="AW48" s="661">
        <f>3760500+5700000+394500+60500+3080572</f>
        <v>12996072</v>
      </c>
      <c r="AX48" s="662">
        <v>7500000</v>
      </c>
      <c r="AY48" s="663">
        <f t="shared" si="3"/>
        <v>0.57709744913693928</v>
      </c>
      <c r="AZ48" s="664">
        <f t="shared" si="4"/>
        <v>9779.165263423849</v>
      </c>
      <c r="BA48" s="664">
        <f t="shared" si="5"/>
        <v>1629.8608772373082</v>
      </c>
      <c r="BB48" s="664">
        <f t="shared" si="6"/>
        <v>5643.5313282104689</v>
      </c>
      <c r="BC48" s="665">
        <f t="shared" si="7"/>
        <v>940.58855470174478</v>
      </c>
      <c r="BD48" s="577"/>
      <c r="BE48" s="578"/>
      <c r="BF48" s="578"/>
      <c r="BG48" s="578"/>
      <c r="BH48" s="578"/>
      <c r="BI48" s="578"/>
      <c r="BJ48" s="578"/>
      <c r="BK48" s="578"/>
      <c r="BL48" s="578"/>
      <c r="BM48" s="578"/>
      <c r="BN48" s="578"/>
      <c r="BO48" s="578"/>
      <c r="BP48" s="578"/>
      <c r="BQ48" s="578"/>
      <c r="BR48" s="578"/>
      <c r="BS48" s="578"/>
      <c r="BT48" s="578"/>
      <c r="BU48" s="578"/>
      <c r="BV48" s="578"/>
      <c r="BW48" s="578"/>
    </row>
    <row r="49" spans="1:75" ht="14.25" customHeight="1" x14ac:dyDescent="0.3">
      <c r="A49" s="648" t="s">
        <v>89</v>
      </c>
      <c r="B49" s="742">
        <v>2</v>
      </c>
      <c r="C49" s="650">
        <v>44</v>
      </c>
      <c r="D49" s="674" t="s">
        <v>578</v>
      </c>
      <c r="E49" s="652"/>
      <c r="F49" s="658"/>
      <c r="G49" s="658"/>
      <c r="H49" s="658"/>
      <c r="I49" s="658"/>
      <c r="J49" s="672"/>
      <c r="K49" s="657"/>
      <c r="L49" s="659"/>
      <c r="M49" s="657"/>
      <c r="N49" s="658"/>
      <c r="O49" s="678">
        <f>(-1090843*'Electricity Conversions'!Q30)</f>
        <v>-1127594.3846752697</v>
      </c>
      <c r="P49" s="658"/>
      <c r="Q49" s="658"/>
      <c r="R49" s="670">
        <f>(26993*'Gas Metrics'!B33)</f>
        <v>262322.64334305149</v>
      </c>
      <c r="S49" s="658"/>
      <c r="T49" s="658"/>
      <c r="U49" s="658"/>
      <c r="V49" s="658"/>
      <c r="W49" s="653">
        <f>(O49*'Electricity Conversions'!B20)+(R49*'Gas Metrics'!H13)</f>
        <v>2735322.5480158366</v>
      </c>
      <c r="X49" s="653">
        <f t="shared" si="55"/>
        <v>10941290.192063347</v>
      </c>
      <c r="Y49" s="656">
        <f t="shared" si="56"/>
        <v>65647741.152380079</v>
      </c>
      <c r="Z49" s="657"/>
      <c r="AA49" s="658"/>
      <c r="AB49" s="658"/>
      <c r="AC49" s="658"/>
      <c r="AD49" s="658"/>
      <c r="AE49" s="658"/>
      <c r="AF49" s="659"/>
      <c r="AG49" s="657"/>
      <c r="AH49" s="658"/>
      <c r="AI49" s="658"/>
      <c r="AJ49" s="658"/>
      <c r="AK49" s="658"/>
      <c r="AL49" s="658"/>
      <c r="AM49" s="658"/>
      <c r="AN49" s="658"/>
      <c r="AO49" s="658"/>
      <c r="AP49" s="658"/>
      <c r="AQ49" s="659"/>
      <c r="AR49" s="660">
        <v>2027</v>
      </c>
      <c r="AS49" s="653">
        <f t="shared" ref="AS49:AT49" si="58">X49*$AU$69</f>
        <v>4962.859818218014</v>
      </c>
      <c r="AT49" s="653">
        <f t="shared" si="58"/>
        <v>29777.15890930808</v>
      </c>
      <c r="AU49" s="653">
        <f t="shared" si="15"/>
        <v>1023.2700656119616</v>
      </c>
      <c r="AV49" s="656">
        <f t="shared" si="16"/>
        <v>6139.6203936717684</v>
      </c>
      <c r="AW49" s="661">
        <v>19400000</v>
      </c>
      <c r="AX49" s="662">
        <v>4000000</v>
      </c>
      <c r="AY49" s="663">
        <f t="shared" si="3"/>
        <v>0.20618556701030927</v>
      </c>
      <c r="AZ49" s="664">
        <f t="shared" si="4"/>
        <v>3909.0364649803564</v>
      </c>
      <c r="BA49" s="664">
        <f t="shared" si="5"/>
        <v>651.50607749672622</v>
      </c>
      <c r="BB49" s="664">
        <f t="shared" si="6"/>
        <v>805.98689999594978</v>
      </c>
      <c r="BC49" s="665">
        <f t="shared" si="7"/>
        <v>134.33114999932499</v>
      </c>
      <c r="BD49" s="577"/>
      <c r="BE49" s="578"/>
      <c r="BF49" s="578"/>
      <c r="BG49" s="578"/>
      <c r="BH49" s="578"/>
      <c r="BI49" s="578"/>
      <c r="BJ49" s="578"/>
      <c r="BK49" s="578"/>
      <c r="BL49" s="578"/>
      <c r="BM49" s="578"/>
      <c r="BN49" s="578"/>
      <c r="BO49" s="578"/>
      <c r="BP49" s="578"/>
      <c r="BQ49" s="578"/>
      <c r="BR49" s="578"/>
      <c r="BS49" s="578"/>
      <c r="BT49" s="578"/>
      <c r="BU49" s="578"/>
      <c r="BV49" s="578"/>
      <c r="BW49" s="578"/>
    </row>
    <row r="50" spans="1:75" ht="14.25" customHeight="1" x14ac:dyDescent="0.3">
      <c r="A50" s="648" t="s">
        <v>90</v>
      </c>
      <c r="B50" s="649">
        <v>2</v>
      </c>
      <c r="C50" s="650">
        <v>45</v>
      </c>
      <c r="D50" s="666" t="s">
        <v>579</v>
      </c>
      <c r="E50" s="652"/>
      <c r="F50" s="658"/>
      <c r="G50" s="658"/>
      <c r="H50" s="658"/>
      <c r="I50" s="658"/>
      <c r="J50" s="672"/>
      <c r="K50" s="657"/>
      <c r="L50" s="659"/>
      <c r="M50" s="657"/>
      <c r="N50" s="658"/>
      <c r="O50" s="670">
        <f>(3605657*'Electricity Conversions'!Q30)</f>
        <v>3727134.5063084965</v>
      </c>
      <c r="P50" s="658"/>
      <c r="Q50" s="658"/>
      <c r="R50" s="670">
        <f>(129693*'Gas Metrics'!B33)</f>
        <v>1260379.0087463555</v>
      </c>
      <c r="S50" s="658"/>
      <c r="T50" s="658"/>
      <c r="U50" s="658"/>
      <c r="V50" s="658"/>
      <c r="W50" s="653">
        <f>(O50*'Electricity Conversions'!B20)+(R50*'Gas Metrics'!H13)</f>
        <v>19180153.589257691</v>
      </c>
      <c r="X50" s="653">
        <f>W50*5</f>
        <v>95900767.946288452</v>
      </c>
      <c r="Y50" s="656">
        <f>(W50*20)+X50</f>
        <v>479503839.73144227</v>
      </c>
      <c r="Z50" s="657"/>
      <c r="AA50" s="658"/>
      <c r="AB50" s="658"/>
      <c r="AC50" s="658"/>
      <c r="AD50" s="658"/>
      <c r="AE50" s="658"/>
      <c r="AF50" s="659"/>
      <c r="AG50" s="657"/>
      <c r="AH50" s="658"/>
      <c r="AI50" s="658"/>
      <c r="AJ50" s="658"/>
      <c r="AK50" s="658"/>
      <c r="AL50" s="658"/>
      <c r="AM50" s="658"/>
      <c r="AN50" s="658"/>
      <c r="AO50" s="658"/>
      <c r="AP50" s="658"/>
      <c r="AQ50" s="659"/>
      <c r="AR50" s="660">
        <v>2025</v>
      </c>
      <c r="AS50" s="653">
        <f t="shared" ref="AS50:AT50" si="59">X50*$AU$69</f>
        <v>43499.62933275698</v>
      </c>
      <c r="AT50" s="653">
        <f t="shared" si="59"/>
        <v>217498.14666378492</v>
      </c>
      <c r="AU50" s="653">
        <f t="shared" si="15"/>
        <v>5789.2635200527329</v>
      </c>
      <c r="AV50" s="656">
        <f t="shared" si="16"/>
        <v>28946.317600263668</v>
      </c>
      <c r="AW50" s="661">
        <v>75138451</v>
      </c>
      <c r="AX50" s="662">
        <v>10000000</v>
      </c>
      <c r="AY50" s="663">
        <f t="shared" si="3"/>
        <v>0.133087651753694</v>
      </c>
      <c r="AZ50" s="664">
        <f t="shared" si="4"/>
        <v>1727.3354314175203</v>
      </c>
      <c r="BA50" s="664">
        <f t="shared" si="5"/>
        <v>345.46708628350405</v>
      </c>
      <c r="BB50" s="664">
        <f t="shared" si="6"/>
        <v>229.88701635831171</v>
      </c>
      <c r="BC50" s="665">
        <f t="shared" si="7"/>
        <v>45.97740327166234</v>
      </c>
      <c r="BD50" s="577"/>
      <c r="BE50" s="578"/>
      <c r="BF50" s="578"/>
      <c r="BG50" s="578"/>
      <c r="BH50" s="578"/>
      <c r="BI50" s="578"/>
      <c r="BJ50" s="578"/>
      <c r="BK50" s="578"/>
      <c r="BL50" s="578"/>
      <c r="BM50" s="578"/>
      <c r="BN50" s="578"/>
      <c r="BO50" s="578"/>
      <c r="BP50" s="578"/>
      <c r="BQ50" s="578"/>
      <c r="BR50" s="578"/>
      <c r="BS50" s="578"/>
      <c r="BT50" s="578"/>
      <c r="BU50" s="578"/>
      <c r="BV50" s="578"/>
      <c r="BW50" s="578"/>
    </row>
    <row r="51" spans="1:75" ht="14.25" customHeight="1" x14ac:dyDescent="0.3">
      <c r="A51" s="648" t="s">
        <v>91</v>
      </c>
      <c r="B51" s="649">
        <v>3</v>
      </c>
      <c r="C51" s="650">
        <v>49</v>
      </c>
      <c r="D51" s="666" t="s">
        <v>580</v>
      </c>
      <c r="E51" s="738">
        <v>932.75</v>
      </c>
      <c r="F51" s="653">
        <v>1235067</v>
      </c>
      <c r="G51" s="653">
        <f>F51*'Electricity Conversions'!Q30</f>
        <v>1276677.408112562</v>
      </c>
      <c r="H51" s="653">
        <f>G51*'Electricity Conversions'!B20</f>
        <v>842908.38522260543</v>
      </c>
      <c r="I51" s="653">
        <f>'Solar PV Data'!AS19</f>
        <v>4994652.0593415983</v>
      </c>
      <c r="J51" s="654">
        <f>'Solar PV Data'!AS39</f>
        <v>20599139.805981997</v>
      </c>
      <c r="K51" s="655"/>
      <c r="L51" s="656"/>
      <c r="M51" s="657"/>
      <c r="N51" s="658"/>
      <c r="O51" s="658"/>
      <c r="P51" s="658"/>
      <c r="Q51" s="658"/>
      <c r="R51" s="658"/>
      <c r="S51" s="658"/>
      <c r="T51" s="658"/>
      <c r="U51" s="658"/>
      <c r="V51" s="658"/>
      <c r="W51" s="658"/>
      <c r="X51" s="658"/>
      <c r="Y51" s="659"/>
      <c r="Z51" s="657"/>
      <c r="AA51" s="658"/>
      <c r="AB51" s="658"/>
      <c r="AC51" s="658"/>
      <c r="AD51" s="658"/>
      <c r="AE51" s="658"/>
      <c r="AF51" s="659"/>
      <c r="AG51" s="657"/>
      <c r="AH51" s="658"/>
      <c r="AI51" s="658"/>
      <c r="AJ51" s="658"/>
      <c r="AK51" s="658"/>
      <c r="AL51" s="658"/>
      <c r="AM51" s="658"/>
      <c r="AN51" s="658"/>
      <c r="AO51" s="658"/>
      <c r="AP51" s="658"/>
      <c r="AQ51" s="659"/>
      <c r="AR51" s="660">
        <v>2025</v>
      </c>
      <c r="AS51" s="653">
        <f t="shared" ref="AS51:AT51" si="60">I51*$AU$69</f>
        <v>2265.5242275967557</v>
      </c>
      <c r="AT51" s="653">
        <f t="shared" si="60"/>
        <v>9343.5638245953742</v>
      </c>
      <c r="AU51" s="653">
        <f t="shared" si="15"/>
        <v>2265.5242275967557</v>
      </c>
      <c r="AV51" s="656">
        <f t="shared" si="16"/>
        <v>9343.5638245953742</v>
      </c>
      <c r="AW51" s="661">
        <v>1992759</v>
      </c>
      <c r="AX51" s="662">
        <v>1992759</v>
      </c>
      <c r="AY51" s="663">
        <f t="shared" si="3"/>
        <v>1</v>
      </c>
      <c r="AZ51" s="664">
        <f t="shared" si="4"/>
        <v>879.60171677965138</v>
      </c>
      <c r="BA51" s="664">
        <f t="shared" si="5"/>
        <v>213.27611577441084</v>
      </c>
      <c r="BB51" s="664">
        <f t="shared" si="6"/>
        <v>879.60171677965138</v>
      </c>
      <c r="BC51" s="665">
        <f t="shared" si="7"/>
        <v>213.27611577441084</v>
      </c>
      <c r="BD51" s="577"/>
      <c r="BE51" s="578"/>
      <c r="BF51" s="578"/>
      <c r="BG51" s="578"/>
      <c r="BH51" s="578"/>
      <c r="BI51" s="578"/>
      <c r="BJ51" s="578"/>
      <c r="BK51" s="578"/>
      <c r="BL51" s="578"/>
      <c r="BM51" s="578"/>
      <c r="BN51" s="578"/>
      <c r="BO51" s="578"/>
      <c r="BP51" s="578"/>
      <c r="BQ51" s="578"/>
      <c r="BR51" s="578"/>
      <c r="BS51" s="578"/>
      <c r="BT51" s="578"/>
      <c r="BU51" s="578"/>
      <c r="BV51" s="578"/>
      <c r="BW51" s="578"/>
    </row>
    <row r="52" spans="1:75" ht="14.25" customHeight="1" x14ac:dyDescent="0.3">
      <c r="A52" s="648" t="s">
        <v>92</v>
      </c>
      <c r="B52" s="649">
        <v>3</v>
      </c>
      <c r="C52" s="675">
        <v>50</v>
      </c>
      <c r="D52" s="666" t="s">
        <v>581</v>
      </c>
      <c r="E52" s="652">
        <v>321.10000000000002</v>
      </c>
      <c r="F52" s="653">
        <v>378000</v>
      </c>
      <c r="G52" s="653">
        <f>F52*'Electricity Conversions'!Q30</f>
        <v>390735.12632638426</v>
      </c>
      <c r="H52" s="653">
        <f>G52*'Electricity Conversions'!B20</f>
        <v>257977.39686522662</v>
      </c>
      <c r="I52" s="653">
        <f>'Solar PV Data'!K19</f>
        <v>1528644.5823838902</v>
      </c>
      <c r="J52" s="654">
        <f>'Solar PV Data'!K39</f>
        <v>6304495.9072351484</v>
      </c>
      <c r="K52" s="655"/>
      <c r="L52" s="656"/>
      <c r="M52" s="657"/>
      <c r="N52" s="658"/>
      <c r="O52" s="658"/>
      <c r="P52" s="658"/>
      <c r="Q52" s="658"/>
      <c r="R52" s="658"/>
      <c r="S52" s="658"/>
      <c r="T52" s="658"/>
      <c r="U52" s="658"/>
      <c r="V52" s="658"/>
      <c r="W52" s="658"/>
      <c r="X52" s="658"/>
      <c r="Y52" s="659"/>
      <c r="Z52" s="657"/>
      <c r="AA52" s="658"/>
      <c r="AB52" s="658"/>
      <c r="AC52" s="658"/>
      <c r="AD52" s="658"/>
      <c r="AE52" s="658"/>
      <c r="AF52" s="659"/>
      <c r="AG52" s="657"/>
      <c r="AH52" s="658"/>
      <c r="AI52" s="658"/>
      <c r="AJ52" s="658"/>
      <c r="AK52" s="658"/>
      <c r="AL52" s="658"/>
      <c r="AM52" s="658"/>
      <c r="AN52" s="658"/>
      <c r="AO52" s="658"/>
      <c r="AP52" s="658"/>
      <c r="AQ52" s="659"/>
      <c r="AR52" s="660">
        <v>2026</v>
      </c>
      <c r="AS52" s="653">
        <f t="shared" ref="AS52:AT52" si="61">I52*$AU$69</f>
        <v>693.37789612350878</v>
      </c>
      <c r="AT52" s="653">
        <f t="shared" si="61"/>
        <v>2859.6562985627911</v>
      </c>
      <c r="AU52" s="653">
        <f t="shared" si="15"/>
        <v>485.36452728645611</v>
      </c>
      <c r="AV52" s="656">
        <f t="shared" si="16"/>
        <v>2001.7594089939537</v>
      </c>
      <c r="AW52" s="661">
        <v>623000</v>
      </c>
      <c r="AX52" s="662">
        <v>436100</v>
      </c>
      <c r="AY52" s="663">
        <f t="shared" si="3"/>
        <v>0.7</v>
      </c>
      <c r="AZ52" s="664">
        <f t="shared" si="4"/>
        <v>898.49994279169721</v>
      </c>
      <c r="BA52" s="664">
        <f t="shared" si="5"/>
        <v>217.85834903065378</v>
      </c>
      <c r="BB52" s="664">
        <f t="shared" si="6"/>
        <v>628.94995995418799</v>
      </c>
      <c r="BC52" s="665">
        <f t="shared" si="7"/>
        <v>152.50084432145763</v>
      </c>
      <c r="BD52" s="577"/>
      <c r="BE52" s="578"/>
      <c r="BF52" s="578"/>
      <c r="BG52" s="578"/>
      <c r="BH52" s="578"/>
      <c r="BI52" s="578"/>
      <c r="BJ52" s="578"/>
      <c r="BK52" s="578"/>
      <c r="BL52" s="578"/>
      <c r="BM52" s="578"/>
      <c r="BN52" s="578"/>
      <c r="BO52" s="578"/>
      <c r="BP52" s="578"/>
      <c r="BQ52" s="578"/>
      <c r="BR52" s="578"/>
      <c r="BS52" s="578"/>
      <c r="BT52" s="578"/>
      <c r="BU52" s="578"/>
      <c r="BV52" s="578"/>
      <c r="BW52" s="578"/>
    </row>
    <row r="53" spans="1:75" ht="14.25" customHeight="1" x14ac:dyDescent="0.3">
      <c r="A53" s="648" t="s">
        <v>93</v>
      </c>
      <c r="B53" s="649">
        <v>3</v>
      </c>
      <c r="C53" s="675">
        <v>51</v>
      </c>
      <c r="D53" s="666" t="s">
        <v>582</v>
      </c>
      <c r="E53" s="652"/>
      <c r="F53" s="670"/>
      <c r="G53" s="670"/>
      <c r="H53" s="658"/>
      <c r="I53" s="684"/>
      <c r="J53" s="752"/>
      <c r="K53" s="657"/>
      <c r="L53" s="659"/>
      <c r="M53" s="715">
        <f>323.2*1000</f>
        <v>323200</v>
      </c>
      <c r="N53" s="670">
        <f>214.46*1000</f>
        <v>214460</v>
      </c>
      <c r="O53" s="670">
        <f>(M53-N53)*'Electricity Conversions'!Q30</f>
        <v>112403.53872151065</v>
      </c>
      <c r="P53" s="670"/>
      <c r="Q53" s="670"/>
      <c r="R53" s="670"/>
      <c r="S53" s="670"/>
      <c r="T53" s="670"/>
      <c r="U53" s="670"/>
      <c r="V53" s="670"/>
      <c r="W53" s="684">
        <f>O53*'Electricity Conversions'!B20</f>
        <v>74212.862791335298</v>
      </c>
      <c r="X53" s="684">
        <f>W53*5</f>
        <v>371064.31395667652</v>
      </c>
      <c r="Y53" s="680">
        <f>W53*25</f>
        <v>1855321.5697833824</v>
      </c>
      <c r="Z53" s="657"/>
      <c r="AA53" s="658"/>
      <c r="AB53" s="658"/>
      <c r="AC53" s="658"/>
      <c r="AD53" s="658"/>
      <c r="AE53" s="658"/>
      <c r="AF53" s="659"/>
      <c r="AG53" s="657"/>
      <c r="AH53" s="658"/>
      <c r="AI53" s="658"/>
      <c r="AJ53" s="658"/>
      <c r="AK53" s="658"/>
      <c r="AL53" s="658"/>
      <c r="AM53" s="658"/>
      <c r="AN53" s="658"/>
      <c r="AO53" s="658"/>
      <c r="AP53" s="658"/>
      <c r="AQ53" s="659"/>
      <c r="AR53" s="660">
        <v>2025</v>
      </c>
      <c r="AS53" s="653">
        <f t="shared" ref="AS53:AT53" si="62">X53*$AU$69</f>
        <v>168.31106216760892</v>
      </c>
      <c r="AT53" s="653">
        <f t="shared" si="62"/>
        <v>841.55531083804442</v>
      </c>
      <c r="AU53" s="653">
        <f t="shared" si="15"/>
        <v>64.610772425185772</v>
      </c>
      <c r="AV53" s="656">
        <f t="shared" si="16"/>
        <v>323.05386212592873</v>
      </c>
      <c r="AW53" s="661">
        <v>2605000</v>
      </c>
      <c r="AX53" s="662">
        <v>1000000</v>
      </c>
      <c r="AY53" s="663">
        <f t="shared" si="3"/>
        <v>0.38387715930902111</v>
      </c>
      <c r="AZ53" s="664">
        <f t="shared" si="4"/>
        <v>15477.295232121267</v>
      </c>
      <c r="BA53" s="664">
        <f t="shared" si="5"/>
        <v>3095.4590464242547</v>
      </c>
      <c r="BB53" s="664">
        <f t="shared" si="6"/>
        <v>5941.3801274937687</v>
      </c>
      <c r="BC53" s="665">
        <f t="shared" si="7"/>
        <v>1188.2760254987541</v>
      </c>
      <c r="BD53" s="577"/>
      <c r="BE53" s="578"/>
      <c r="BF53" s="578"/>
      <c r="BG53" s="578"/>
      <c r="BH53" s="578"/>
      <c r="BI53" s="578"/>
      <c r="BJ53" s="578"/>
      <c r="BK53" s="578"/>
      <c r="BL53" s="578"/>
      <c r="BM53" s="578"/>
      <c r="BN53" s="578"/>
      <c r="BO53" s="578"/>
      <c r="BP53" s="578"/>
      <c r="BQ53" s="578"/>
      <c r="BR53" s="578"/>
      <c r="BS53" s="578"/>
      <c r="BT53" s="578"/>
      <c r="BU53" s="578"/>
      <c r="BV53" s="578"/>
      <c r="BW53" s="578"/>
    </row>
    <row r="54" spans="1:75" ht="14.25" customHeight="1" x14ac:dyDescent="0.3">
      <c r="A54" s="648" t="s">
        <v>94</v>
      </c>
      <c r="B54" s="649">
        <v>3</v>
      </c>
      <c r="C54" s="650">
        <v>53</v>
      </c>
      <c r="D54" s="666" t="s">
        <v>583</v>
      </c>
      <c r="E54" s="652">
        <v>32.4</v>
      </c>
      <c r="F54" s="670">
        <v>36735</v>
      </c>
      <c r="G54" s="653">
        <f>F54*'Electricity Conversions'!Q30</f>
        <v>37972.631919575993</v>
      </c>
      <c r="H54" s="653">
        <f>G54*'Electricity Conversions'!B20</f>
        <v>25070.898608053172</v>
      </c>
      <c r="I54" s="653">
        <f>'Solar PV Data'!Q19</f>
        <v>148557.56278802169</v>
      </c>
      <c r="J54" s="654">
        <f>'Solar PV Data'!Q39</f>
        <v>612686.92368328874</v>
      </c>
      <c r="K54" s="657"/>
      <c r="L54" s="659"/>
      <c r="M54" s="657"/>
      <c r="N54" s="658"/>
      <c r="O54" s="658"/>
      <c r="P54" s="658"/>
      <c r="Q54" s="658"/>
      <c r="R54" s="658"/>
      <c r="S54" s="658"/>
      <c r="T54" s="658"/>
      <c r="U54" s="658"/>
      <c r="V54" s="658"/>
      <c r="W54" s="658"/>
      <c r="X54" s="658"/>
      <c r="Y54" s="659"/>
      <c r="Z54" s="657"/>
      <c r="AA54" s="658"/>
      <c r="AB54" s="658"/>
      <c r="AC54" s="658"/>
      <c r="AD54" s="658"/>
      <c r="AE54" s="658"/>
      <c r="AF54" s="659"/>
      <c r="AG54" s="657"/>
      <c r="AH54" s="658"/>
      <c r="AI54" s="658"/>
      <c r="AJ54" s="658"/>
      <c r="AK54" s="658"/>
      <c r="AL54" s="658"/>
      <c r="AM54" s="658"/>
      <c r="AN54" s="658"/>
      <c r="AO54" s="658"/>
      <c r="AP54" s="658"/>
      <c r="AQ54" s="659"/>
      <c r="AR54" s="660">
        <v>2025</v>
      </c>
      <c r="AS54" s="653">
        <f t="shared" ref="AS54:AT54" si="63">I54*$AU$69</f>
        <v>67.384224905018769</v>
      </c>
      <c r="AT54" s="653">
        <f t="shared" si="63"/>
        <v>277.90866171350297</v>
      </c>
      <c r="AU54" s="653">
        <f t="shared" si="15"/>
        <v>47.168957433513135</v>
      </c>
      <c r="AV54" s="656">
        <f t="shared" si="16"/>
        <v>194.53606319945206</v>
      </c>
      <c r="AW54" s="661">
        <v>144110</v>
      </c>
      <c r="AX54" s="662">
        <v>100877</v>
      </c>
      <c r="AY54" s="663">
        <f t="shared" si="3"/>
        <v>0.7</v>
      </c>
      <c r="AZ54" s="664">
        <f t="shared" si="4"/>
        <v>2138.6311143762478</v>
      </c>
      <c r="BA54" s="664">
        <f t="shared" si="5"/>
        <v>518.55166770067615</v>
      </c>
      <c r="BB54" s="664">
        <f t="shared" si="6"/>
        <v>1497.0417800633734</v>
      </c>
      <c r="BC54" s="665">
        <f t="shared" si="7"/>
        <v>362.98616739047327</v>
      </c>
      <c r="BD54" s="577"/>
      <c r="BE54" s="578"/>
      <c r="BF54" s="578"/>
      <c r="BG54" s="578"/>
      <c r="BH54" s="578"/>
      <c r="BI54" s="578"/>
      <c r="BJ54" s="578"/>
      <c r="BK54" s="578"/>
      <c r="BL54" s="578"/>
      <c r="BM54" s="578"/>
      <c r="BN54" s="578"/>
      <c r="BO54" s="578"/>
      <c r="BP54" s="578"/>
      <c r="BQ54" s="578"/>
      <c r="BR54" s="578"/>
      <c r="BS54" s="578"/>
      <c r="BT54" s="578"/>
      <c r="BU54" s="578"/>
      <c r="BV54" s="578"/>
      <c r="BW54" s="578"/>
    </row>
    <row r="55" spans="1:75" ht="14.25" customHeight="1" x14ac:dyDescent="0.3">
      <c r="A55" s="668" t="s">
        <v>95</v>
      </c>
      <c r="B55" s="649">
        <v>3</v>
      </c>
      <c r="C55" s="675">
        <v>52</v>
      </c>
      <c r="D55" s="666" t="s">
        <v>584</v>
      </c>
      <c r="E55" s="652">
        <v>426.8</v>
      </c>
      <c r="F55" s="653">
        <v>522294</v>
      </c>
      <c r="G55" s="653">
        <f>F55*'Electricity Conversions'!Q30</f>
        <v>539890.50812040351</v>
      </c>
      <c r="H55" s="653">
        <f>G55*'Electricity Conversions'!B20</f>
        <v>356455.14951938268</v>
      </c>
      <c r="I55" s="653">
        <f>'Solar PV Data'!W18</f>
        <v>1764541.8813466402</v>
      </c>
      <c r="J55" s="654">
        <f>'Solar PV Data'!W38</f>
        <v>8396640.1820083186</v>
      </c>
      <c r="K55" s="655"/>
      <c r="L55" s="656"/>
      <c r="M55" s="715">
        <v>1389551</v>
      </c>
      <c r="N55" s="670">
        <v>1801225</v>
      </c>
      <c r="O55" s="678">
        <f>(M55*'Electricity Conversions'!Q30)-(N55*'Electricity Conversions'!Q30)</f>
        <v>-425543.63067536475</v>
      </c>
      <c r="P55" s="670">
        <v>20321</v>
      </c>
      <c r="Q55" s="670">
        <v>1592</v>
      </c>
      <c r="R55" s="670">
        <f>P55-Q55</f>
        <v>18729</v>
      </c>
      <c r="S55" s="658"/>
      <c r="T55" s="658"/>
      <c r="U55" s="658"/>
      <c r="V55" s="658"/>
      <c r="W55" s="686">
        <f>(O55*'Electricity Conversions'!B20)+(R55*'Gas Metrics'!H13)</f>
        <v>-32512.535990658624</v>
      </c>
      <c r="X55" s="686">
        <f>W55*5</f>
        <v>-162562.67995329312</v>
      </c>
      <c r="Y55" s="753">
        <f>W55*25</f>
        <v>-812813.39976646565</v>
      </c>
      <c r="Z55" s="657"/>
      <c r="AA55" s="658"/>
      <c r="AB55" s="658"/>
      <c r="AC55" s="658"/>
      <c r="AD55" s="658"/>
      <c r="AE55" s="658"/>
      <c r="AF55" s="659"/>
      <c r="AG55" s="657"/>
      <c r="AH55" s="658"/>
      <c r="AI55" s="658"/>
      <c r="AJ55" s="658"/>
      <c r="AK55" s="658"/>
      <c r="AL55" s="658"/>
      <c r="AM55" s="658"/>
      <c r="AN55" s="658"/>
      <c r="AO55" s="658"/>
      <c r="AP55" s="658"/>
      <c r="AQ55" s="659"/>
      <c r="AR55" s="660">
        <v>2026</v>
      </c>
      <c r="AS55" s="653">
        <f t="shared" ref="AS55:AT55" si="64">(X55+I55)*$AU$69</f>
        <v>726.64174596000828</v>
      </c>
      <c r="AT55" s="653">
        <f t="shared" si="64"/>
        <v>3439.9479901570821</v>
      </c>
      <c r="AU55" s="653">
        <f t="shared" si="15"/>
        <v>156.21242490313995</v>
      </c>
      <c r="AV55" s="656">
        <f t="shared" si="16"/>
        <v>739.51520136402246</v>
      </c>
      <c r="AW55" s="661">
        <f>(872129*0.2)+(450000*0.7)+150000+2000000+1000000+(1250000*0.5)+(1936000*0.2)</f>
        <v>4651625.8</v>
      </c>
      <c r="AX55" s="662">
        <v>1000000</v>
      </c>
      <c r="AY55" s="663">
        <f t="shared" si="3"/>
        <v>0.21497859952535306</v>
      </c>
      <c r="AZ55" s="664">
        <f t="shared" si="4"/>
        <v>6401.5394461743581</v>
      </c>
      <c r="BA55" s="664">
        <f t="shared" si="5"/>
        <v>1352.2372469903498</v>
      </c>
      <c r="BB55" s="664">
        <f t="shared" si="6"/>
        <v>1376.1939849448677</v>
      </c>
      <c r="BC55" s="665">
        <f t="shared" si="7"/>
        <v>290.70206958400433</v>
      </c>
      <c r="BD55" s="577"/>
      <c r="BE55" s="578"/>
      <c r="BF55" s="578"/>
      <c r="BG55" s="578"/>
      <c r="BH55" s="578"/>
      <c r="BI55" s="578"/>
      <c r="BJ55" s="578"/>
      <c r="BK55" s="578"/>
      <c r="BL55" s="578"/>
      <c r="BM55" s="578"/>
      <c r="BN55" s="578"/>
      <c r="BO55" s="578"/>
      <c r="BP55" s="578"/>
      <c r="BQ55" s="578"/>
      <c r="BR55" s="578"/>
      <c r="BS55" s="578"/>
      <c r="BT55" s="578"/>
      <c r="BU55" s="578"/>
      <c r="BV55" s="578"/>
      <c r="BW55" s="578"/>
    </row>
    <row r="56" spans="1:75" ht="14.25" customHeight="1" x14ac:dyDescent="0.3">
      <c r="A56" s="668" t="s">
        <v>88</v>
      </c>
      <c r="B56" s="649">
        <v>3</v>
      </c>
      <c r="C56" s="650">
        <v>47</v>
      </c>
      <c r="D56" s="741" t="s">
        <v>585</v>
      </c>
      <c r="E56" s="652"/>
      <c r="F56" s="653"/>
      <c r="G56" s="653"/>
      <c r="H56" s="653"/>
      <c r="I56" s="653"/>
      <c r="J56" s="654"/>
      <c r="K56" s="655"/>
      <c r="L56" s="656"/>
      <c r="M56" s="655"/>
      <c r="N56" s="653"/>
      <c r="O56" s="653"/>
      <c r="P56" s="653"/>
      <c r="Q56" s="653"/>
      <c r="R56" s="653"/>
      <c r="S56" s="653"/>
      <c r="T56" s="653"/>
      <c r="U56" s="658"/>
      <c r="V56" s="658"/>
      <c r="W56" s="653"/>
      <c r="X56" s="653"/>
      <c r="Y56" s="656"/>
      <c r="Z56" s="657"/>
      <c r="AA56" s="658"/>
      <c r="AB56" s="658"/>
      <c r="AC56" s="658"/>
      <c r="AD56" s="658"/>
      <c r="AE56" s="658"/>
      <c r="AF56" s="659"/>
      <c r="AG56" s="655"/>
      <c r="AH56" s="653"/>
      <c r="AI56" s="653"/>
      <c r="AJ56" s="653"/>
      <c r="AK56" s="653"/>
      <c r="AL56" s="653"/>
      <c r="AM56" s="653">
        <f>'Project-Specific Calcs_Lifecycl'!H198</f>
        <v>265461846.33578396</v>
      </c>
      <c r="AN56" s="653">
        <f>'Project-Specific Calcs_Lifecycl'!H202</f>
        <v>310161024.65969932</v>
      </c>
      <c r="AO56" s="653"/>
      <c r="AP56" s="653">
        <f>(('Project-Specific Calcs_Lifecycl'!B74*'Electricity Conversions'!Q30)*'Electricity Conversions'!B20)+AM56</f>
        <v>293592610.07069635</v>
      </c>
      <c r="AQ56" s="656">
        <f>(('Project-Specific Calcs_Lifecycl'!B75*'Electricity Conversions'!Q30)*'Electricity Conversions'!B20)+AN56</f>
        <v>348711893.16915178</v>
      </c>
      <c r="AR56" s="660">
        <v>2025</v>
      </c>
      <c r="AS56" s="653">
        <f t="shared" ref="AS56:AT56" si="65">AP56*$AU$69</f>
        <v>133170.67200196718</v>
      </c>
      <c r="AT56" s="653">
        <f t="shared" si="65"/>
        <v>158172.22762259556</v>
      </c>
      <c r="AU56" s="653">
        <f t="shared" si="15"/>
        <v>125840.6533468339</v>
      </c>
      <c r="AV56" s="656">
        <f t="shared" si="16"/>
        <v>149466.06610994294</v>
      </c>
      <c r="AW56" s="661">
        <v>3134717</v>
      </c>
      <c r="AX56" s="662">
        <v>2962175</v>
      </c>
      <c r="AY56" s="663">
        <f t="shared" si="3"/>
        <v>0.94495771069605328</v>
      </c>
      <c r="AZ56" s="664">
        <f t="shared" si="4"/>
        <v>23.539094253077693</v>
      </c>
      <c r="BA56" s="664">
        <f t="shared" si="5"/>
        <v>19.818378024488243</v>
      </c>
      <c r="BB56" s="664">
        <f t="shared" si="6"/>
        <v>22.243448617246919</v>
      </c>
      <c r="BC56" s="665">
        <f t="shared" si="7"/>
        <v>18.72752912772938</v>
      </c>
      <c r="BD56" s="577"/>
      <c r="BE56" s="578"/>
      <c r="BF56" s="578"/>
      <c r="BG56" s="578"/>
      <c r="BH56" s="578"/>
      <c r="BI56" s="578"/>
      <c r="BJ56" s="578"/>
      <c r="BK56" s="578"/>
      <c r="BL56" s="578"/>
      <c r="BM56" s="578"/>
      <c r="BN56" s="578"/>
      <c r="BO56" s="578"/>
      <c r="BP56" s="578"/>
      <c r="BQ56" s="578"/>
      <c r="BR56" s="578"/>
      <c r="BS56" s="578"/>
      <c r="BT56" s="578"/>
      <c r="BU56" s="578"/>
      <c r="BV56" s="578"/>
      <c r="BW56" s="578"/>
    </row>
    <row r="57" spans="1:75" ht="14.25" customHeight="1" x14ac:dyDescent="0.3">
      <c r="A57" s="648" t="s">
        <v>96</v>
      </c>
      <c r="B57" s="649">
        <v>3</v>
      </c>
      <c r="C57" s="650">
        <v>48</v>
      </c>
      <c r="D57" s="666" t="s">
        <v>586</v>
      </c>
      <c r="E57" s="754">
        <f>'Solar PV Data'!K48</f>
        <v>2800</v>
      </c>
      <c r="F57" s="670"/>
      <c r="G57" s="653"/>
      <c r="H57" s="684"/>
      <c r="I57" s="653">
        <f>'Solar PV Data'!J48</f>
        <v>5434916.4230786627</v>
      </c>
      <c r="J57" s="654">
        <f>'Solar PV Data'!J69</f>
        <v>45018962.334513098</v>
      </c>
      <c r="K57" s="657"/>
      <c r="L57" s="659"/>
      <c r="M57" s="657"/>
      <c r="N57" s="658"/>
      <c r="O57" s="658"/>
      <c r="P57" s="658"/>
      <c r="Q57" s="658"/>
      <c r="R57" s="658"/>
      <c r="S57" s="658"/>
      <c r="T57" s="658"/>
      <c r="U57" s="658"/>
      <c r="V57" s="658"/>
      <c r="W57" s="658"/>
      <c r="X57" s="658"/>
      <c r="Y57" s="659"/>
      <c r="Z57" s="657"/>
      <c r="AA57" s="658"/>
      <c r="AB57" s="658"/>
      <c r="AC57" s="658"/>
      <c r="AD57" s="658"/>
      <c r="AE57" s="658"/>
      <c r="AF57" s="659"/>
      <c r="AG57" s="657"/>
      <c r="AH57" s="658"/>
      <c r="AI57" s="658"/>
      <c r="AJ57" s="658"/>
      <c r="AK57" s="658"/>
      <c r="AL57" s="658"/>
      <c r="AM57" s="658"/>
      <c r="AN57" s="658"/>
      <c r="AO57" s="658"/>
      <c r="AP57" s="658"/>
      <c r="AQ57" s="659"/>
      <c r="AR57" s="660">
        <v>2025</v>
      </c>
      <c r="AS57" s="653">
        <f>(I57*AU69)*0.33214</f>
        <v>818.79941311793948</v>
      </c>
      <c r="AT57" s="653">
        <f>(J57*$AU$69)*0.33214</f>
        <v>6782.3489947610597</v>
      </c>
      <c r="AU57" s="653">
        <f t="shared" si="15"/>
        <v>243.25591595898382</v>
      </c>
      <c r="AV57" s="656">
        <f t="shared" si="16"/>
        <v>2014.9581089605051</v>
      </c>
      <c r="AW57" s="661">
        <v>33660000</v>
      </c>
      <c r="AX57" s="662">
        <v>10000000</v>
      </c>
      <c r="AY57" s="663">
        <f t="shared" si="3"/>
        <v>0.29708853238265004</v>
      </c>
      <c r="AZ57" s="664">
        <f t="shared" si="4"/>
        <v>41108.96937727974</v>
      </c>
      <c r="BA57" s="664">
        <f t="shared" si="5"/>
        <v>4962.88233265499</v>
      </c>
      <c r="BB57" s="664">
        <f t="shared" si="6"/>
        <v>12213.003380059341</v>
      </c>
      <c r="BC57" s="665">
        <f t="shared" si="7"/>
        <v>1474.4154285962541</v>
      </c>
      <c r="BD57" s="577"/>
      <c r="BE57" s="578"/>
      <c r="BF57" s="578"/>
      <c r="BG57" s="578"/>
      <c r="BH57" s="578"/>
      <c r="BI57" s="578"/>
      <c r="BJ57" s="578"/>
      <c r="BK57" s="578"/>
      <c r="BL57" s="578"/>
      <c r="BM57" s="578"/>
      <c r="BN57" s="578"/>
      <c r="BO57" s="578"/>
      <c r="BP57" s="578"/>
      <c r="BQ57" s="578"/>
      <c r="BR57" s="578"/>
      <c r="BS57" s="578"/>
      <c r="BT57" s="578"/>
      <c r="BU57" s="578"/>
      <c r="BV57" s="578"/>
      <c r="BW57" s="578"/>
    </row>
    <row r="58" spans="1:75" ht="14.25" customHeight="1" x14ac:dyDescent="0.3">
      <c r="A58" s="668" t="s">
        <v>97</v>
      </c>
      <c r="B58" s="649">
        <v>4</v>
      </c>
      <c r="C58" s="650">
        <v>54</v>
      </c>
      <c r="D58" s="651" t="s">
        <v>587</v>
      </c>
      <c r="E58" s="652"/>
      <c r="F58" s="653"/>
      <c r="G58" s="653"/>
      <c r="H58" s="653"/>
      <c r="I58" s="653"/>
      <c r="J58" s="654"/>
      <c r="K58" s="655">
        <f>'EV Charging Metrics'!I100</f>
        <v>1178443.7501710991</v>
      </c>
      <c r="L58" s="656">
        <f>'EV Charging Metrics'!I105</f>
        <v>2846709.9704301157</v>
      </c>
      <c r="M58" s="655"/>
      <c r="N58" s="653"/>
      <c r="O58" s="653"/>
      <c r="P58" s="653"/>
      <c r="Q58" s="653"/>
      <c r="R58" s="653"/>
      <c r="S58" s="653"/>
      <c r="T58" s="653"/>
      <c r="U58" s="653"/>
      <c r="V58" s="653"/>
      <c r="W58" s="653"/>
      <c r="X58" s="653"/>
      <c r="Y58" s="656"/>
      <c r="Z58" s="657"/>
      <c r="AA58" s="658"/>
      <c r="AB58" s="658"/>
      <c r="AC58" s="658"/>
      <c r="AD58" s="658"/>
      <c r="AE58" s="658"/>
      <c r="AF58" s="659"/>
      <c r="AG58" s="657"/>
      <c r="AH58" s="658"/>
      <c r="AI58" s="658"/>
      <c r="AJ58" s="658"/>
      <c r="AK58" s="658"/>
      <c r="AL58" s="658"/>
      <c r="AM58" s="658"/>
      <c r="AN58" s="658"/>
      <c r="AO58" s="658"/>
      <c r="AP58" s="658"/>
      <c r="AQ58" s="659"/>
      <c r="AR58" s="660">
        <v>2026</v>
      </c>
      <c r="AS58" s="653">
        <f t="shared" ref="AS58:AT58" si="66">K58*$AU$69</f>
        <v>534.53030064010886</v>
      </c>
      <c r="AT58" s="653">
        <f t="shared" si="66"/>
        <v>1291.2391754873963</v>
      </c>
      <c r="AU58" s="653">
        <f t="shared" si="15"/>
        <v>267.26533144321212</v>
      </c>
      <c r="AV58" s="656">
        <f t="shared" si="16"/>
        <v>645.62002527421134</v>
      </c>
      <c r="AW58" s="661">
        <v>1475599</v>
      </c>
      <c r="AX58" s="662">
        <v>737800</v>
      </c>
      <c r="AY58" s="663">
        <f t="shared" si="3"/>
        <v>0.50000033884544515</v>
      </c>
      <c r="AZ58" s="664">
        <f t="shared" si="4"/>
        <v>2760.5525790267561</v>
      </c>
      <c r="BA58" s="664">
        <f t="shared" si="5"/>
        <v>1142.7774404714871</v>
      </c>
      <c r="BB58" s="664">
        <f t="shared" si="6"/>
        <v>1380.2772249140457</v>
      </c>
      <c r="BC58" s="665">
        <f t="shared" si="7"/>
        <v>571.38910746067404</v>
      </c>
      <c r="BD58" s="577"/>
      <c r="BE58" s="578"/>
      <c r="BF58" s="578"/>
      <c r="BG58" s="578"/>
      <c r="BH58" s="578"/>
      <c r="BI58" s="578"/>
      <c r="BJ58" s="578"/>
      <c r="BK58" s="578"/>
      <c r="BL58" s="578"/>
      <c r="BM58" s="578"/>
      <c r="BN58" s="578"/>
      <c r="BO58" s="578"/>
      <c r="BP58" s="578"/>
      <c r="BQ58" s="578"/>
      <c r="BR58" s="578"/>
      <c r="BS58" s="578"/>
      <c r="BT58" s="578"/>
      <c r="BU58" s="578"/>
      <c r="BV58" s="578"/>
      <c r="BW58" s="578"/>
    </row>
    <row r="59" spans="1:75" ht="14.25" customHeight="1" x14ac:dyDescent="0.3">
      <c r="A59" s="648" t="s">
        <v>98</v>
      </c>
      <c r="B59" s="649">
        <v>4</v>
      </c>
      <c r="C59" s="650">
        <v>56</v>
      </c>
      <c r="D59" s="669" t="s">
        <v>588</v>
      </c>
      <c r="E59" s="652">
        <v>680</v>
      </c>
      <c r="F59" s="670">
        <v>884000</v>
      </c>
      <c r="G59" s="684">
        <f>F59*'Electricity Conversions'!Q30</f>
        <v>913782.67638233781</v>
      </c>
      <c r="H59" s="653">
        <f>G59*'Electricity Conversions'!B20</f>
        <v>603312.21912396909</v>
      </c>
      <c r="I59" s="653">
        <f>'Solar PV Data'!BA18</f>
        <v>1288116.0664998458</v>
      </c>
      <c r="J59" s="654">
        <f>'Solar PV Data'!BA38</f>
        <v>9578935.6764500923</v>
      </c>
      <c r="K59" s="655">
        <f>'EV Charging Metrics'!G114</f>
        <v>6766251.567251212</v>
      </c>
      <c r="L59" s="656">
        <f>'EV Charging Metrics'!G120</f>
        <v>20332250.996641017</v>
      </c>
      <c r="M59" s="657"/>
      <c r="N59" s="658"/>
      <c r="O59" s="658"/>
      <c r="P59" s="658"/>
      <c r="Q59" s="658"/>
      <c r="R59" s="658"/>
      <c r="S59" s="658"/>
      <c r="T59" s="658"/>
      <c r="U59" s="658"/>
      <c r="V59" s="658"/>
      <c r="W59" s="658"/>
      <c r="X59" s="658"/>
      <c r="Y59" s="659"/>
      <c r="Z59" s="657"/>
      <c r="AA59" s="658"/>
      <c r="AB59" s="658"/>
      <c r="AC59" s="672"/>
      <c r="AD59" s="672"/>
      <c r="AE59" s="672"/>
      <c r="AF59" s="659"/>
      <c r="AG59" s="657"/>
      <c r="AH59" s="658"/>
      <c r="AI59" s="658"/>
      <c r="AJ59" s="658"/>
      <c r="AK59" s="658"/>
      <c r="AL59" s="658"/>
      <c r="AM59" s="658"/>
      <c r="AN59" s="658"/>
      <c r="AO59" s="658"/>
      <c r="AP59" s="658"/>
      <c r="AQ59" s="659"/>
      <c r="AR59" s="660">
        <v>2026</v>
      </c>
      <c r="AS59" s="653">
        <f t="shared" ref="AS59:AT59" si="67">(I59+K59)*$AU$69</f>
        <v>3653.3806149931424</v>
      </c>
      <c r="AT59" s="653">
        <f t="shared" si="67"/>
        <v>13567.415163047397</v>
      </c>
      <c r="AU59" s="653">
        <f t="shared" si="15"/>
        <v>2557.3664304951994</v>
      </c>
      <c r="AV59" s="656">
        <f t="shared" si="16"/>
        <v>9497.1906141331765</v>
      </c>
      <c r="AW59" s="661">
        <v>2600000</v>
      </c>
      <c r="AX59" s="662">
        <f>AW59*0.7</f>
        <v>1820000</v>
      </c>
      <c r="AY59" s="663">
        <f t="shared" si="3"/>
        <v>0.7</v>
      </c>
      <c r="AZ59" s="664">
        <f t="shared" si="4"/>
        <v>711.66962164572624</v>
      </c>
      <c r="BA59" s="664">
        <f t="shared" si="5"/>
        <v>191.6356187788397</v>
      </c>
      <c r="BB59" s="664">
        <f t="shared" si="6"/>
        <v>498.16873515200831</v>
      </c>
      <c r="BC59" s="665">
        <f t="shared" si="7"/>
        <v>134.14493314518776</v>
      </c>
      <c r="BD59" s="577"/>
      <c r="BE59" s="578"/>
      <c r="BF59" s="578"/>
      <c r="BG59" s="578"/>
      <c r="BH59" s="578"/>
      <c r="BI59" s="578"/>
      <c r="BJ59" s="578"/>
      <c r="BK59" s="578"/>
      <c r="BL59" s="578"/>
      <c r="BM59" s="578"/>
      <c r="BN59" s="578"/>
      <c r="BO59" s="578"/>
      <c r="BP59" s="578"/>
      <c r="BQ59" s="578"/>
      <c r="BR59" s="578"/>
      <c r="BS59" s="578"/>
      <c r="BT59" s="578"/>
      <c r="BU59" s="578"/>
      <c r="BV59" s="578"/>
      <c r="BW59" s="578"/>
    </row>
    <row r="60" spans="1:75" ht="14.25" customHeight="1" x14ac:dyDescent="0.3">
      <c r="A60" s="755" t="s">
        <v>99</v>
      </c>
      <c r="B60" s="756">
        <v>4</v>
      </c>
      <c r="C60" s="757">
        <v>55</v>
      </c>
      <c r="D60" s="758" t="s">
        <v>589</v>
      </c>
      <c r="E60" s="759">
        <f t="shared" ref="E60:H60" si="68">E59</f>
        <v>680</v>
      </c>
      <c r="F60" s="760">
        <f t="shared" si="68"/>
        <v>884000</v>
      </c>
      <c r="G60" s="760">
        <f t="shared" si="68"/>
        <v>913782.67638233781</v>
      </c>
      <c r="H60" s="760">
        <f t="shared" si="68"/>
        <v>603312.21912396909</v>
      </c>
      <c r="I60" s="760">
        <f>'Solar PV Data'!BA18</f>
        <v>1288116.0664998458</v>
      </c>
      <c r="J60" s="761">
        <f>'Solar PV Data'!BA38</f>
        <v>9578935.6764500923</v>
      </c>
      <c r="K60" s="762">
        <f>'EV Charging Metrics'!G114</f>
        <v>6766251.567251212</v>
      </c>
      <c r="L60" s="763">
        <f>'EV Charging Metrics'!G120</f>
        <v>20332250.996641017</v>
      </c>
      <c r="M60" s="764"/>
      <c r="N60" s="765"/>
      <c r="O60" s="765"/>
      <c r="P60" s="765"/>
      <c r="Q60" s="765"/>
      <c r="R60" s="765"/>
      <c r="S60" s="765"/>
      <c r="T60" s="765"/>
      <c r="U60" s="765"/>
      <c r="V60" s="765"/>
      <c r="W60" s="765"/>
      <c r="X60" s="765"/>
      <c r="Y60" s="766"/>
      <c r="Z60" s="764"/>
      <c r="AA60" s="765"/>
      <c r="AB60" s="765"/>
      <c r="AC60" s="765"/>
      <c r="AD60" s="765"/>
      <c r="AE60" s="765"/>
      <c r="AF60" s="766"/>
      <c r="AG60" s="764"/>
      <c r="AH60" s="765"/>
      <c r="AI60" s="765"/>
      <c r="AJ60" s="765"/>
      <c r="AK60" s="765"/>
      <c r="AL60" s="765"/>
      <c r="AM60" s="765"/>
      <c r="AN60" s="765"/>
      <c r="AO60" s="765"/>
      <c r="AP60" s="765"/>
      <c r="AQ60" s="766"/>
      <c r="AR60" s="767">
        <f t="shared" ref="AR60:AW60" si="69">AR59</f>
        <v>2026</v>
      </c>
      <c r="AS60" s="768">
        <f t="shared" si="69"/>
        <v>3653.3806149931424</v>
      </c>
      <c r="AT60" s="768">
        <f t="shared" si="69"/>
        <v>13567.415163047397</v>
      </c>
      <c r="AU60" s="768">
        <f t="shared" si="69"/>
        <v>2557.3664304951994</v>
      </c>
      <c r="AV60" s="769">
        <f t="shared" si="69"/>
        <v>9497.1906141331765</v>
      </c>
      <c r="AW60" s="770">
        <f t="shared" si="69"/>
        <v>2600000</v>
      </c>
      <c r="AX60" s="771">
        <f>AW60*0.35</f>
        <v>910000</v>
      </c>
      <c r="AY60" s="772">
        <f t="shared" si="3"/>
        <v>0.35</v>
      </c>
      <c r="AZ60" s="773">
        <f t="shared" si="4"/>
        <v>355.83481082286312</v>
      </c>
      <c r="BA60" s="773">
        <f t="shared" si="5"/>
        <v>95.81780938941985</v>
      </c>
      <c r="BB60" s="773">
        <f t="shared" si="6"/>
        <v>249.08436757600415</v>
      </c>
      <c r="BC60" s="774">
        <f t="shared" si="7"/>
        <v>67.072466572593882</v>
      </c>
      <c r="BD60" s="577"/>
      <c r="BE60" s="578"/>
      <c r="BF60" s="578"/>
      <c r="BG60" s="578"/>
      <c r="BH60" s="578"/>
      <c r="BI60" s="578"/>
      <c r="BJ60" s="578"/>
      <c r="BK60" s="578"/>
      <c r="BL60" s="578"/>
      <c r="BM60" s="578"/>
      <c r="BN60" s="578"/>
      <c r="BO60" s="578"/>
      <c r="BP60" s="578"/>
      <c r="BQ60" s="578"/>
      <c r="BR60" s="578"/>
      <c r="BS60" s="578"/>
      <c r="BT60" s="578"/>
      <c r="BU60" s="578"/>
      <c r="BV60" s="578"/>
      <c r="BW60" s="578"/>
    </row>
    <row r="61" spans="1:75" ht="14.25" customHeight="1" x14ac:dyDescent="0.3">
      <c r="A61" s="775" t="s">
        <v>100</v>
      </c>
      <c r="B61" s="776"/>
      <c r="C61" s="777"/>
      <c r="D61" s="778"/>
      <c r="E61" s="779">
        <f t="shared" ref="E61:L61" si="70">SUM(E5:E60)</f>
        <v>17962.985000000001</v>
      </c>
      <c r="F61" s="780">
        <f t="shared" si="70"/>
        <v>20597976.939999998</v>
      </c>
      <c r="G61" s="780">
        <f t="shared" si="70"/>
        <v>21291939.475446697</v>
      </c>
      <c r="H61" s="780">
        <f t="shared" si="70"/>
        <v>14057704.951511022</v>
      </c>
      <c r="I61" s="780">
        <f t="shared" si="70"/>
        <v>61694589.671238944</v>
      </c>
      <c r="J61" s="781">
        <f t="shared" si="70"/>
        <v>385524011.77118981</v>
      </c>
      <c r="K61" s="782">
        <f t="shared" si="70"/>
        <v>21979839.675349731</v>
      </c>
      <c r="L61" s="783">
        <f t="shared" si="70"/>
        <v>72866860.396096528</v>
      </c>
      <c r="M61" s="775"/>
      <c r="N61" s="784"/>
      <c r="O61" s="780">
        <f>SUM(O5:O60)</f>
        <v>4719297.3910691421</v>
      </c>
      <c r="P61" s="784"/>
      <c r="Q61" s="784"/>
      <c r="R61" s="780">
        <f>SUM(R5:R60)</f>
        <v>1781452.4878522835</v>
      </c>
      <c r="S61" s="784"/>
      <c r="T61" s="784"/>
      <c r="U61" s="780">
        <f t="shared" ref="U61:Y61" si="71">SUM(U5:U60)</f>
        <v>65764</v>
      </c>
      <c r="V61" s="780">
        <f t="shared" si="71"/>
        <v>15858</v>
      </c>
      <c r="W61" s="780">
        <f t="shared" si="71"/>
        <v>27846812.875899892</v>
      </c>
      <c r="X61" s="780">
        <f t="shared" si="71"/>
        <v>126756443.5423853</v>
      </c>
      <c r="Y61" s="783">
        <f t="shared" si="71"/>
        <v>686535475.16651535</v>
      </c>
      <c r="Z61" s="785"/>
      <c r="AA61" s="784"/>
      <c r="AB61" s="784"/>
      <c r="AC61" s="786">
        <f>SUM(AC5:AC60)</f>
        <v>-890884.35755063919</v>
      </c>
      <c r="AD61" s="784"/>
      <c r="AE61" s="786">
        <f t="shared" ref="AE61:AQ61" si="72">SUM(AE5:AE60)</f>
        <v>-1932590.5775037189</v>
      </c>
      <c r="AF61" s="786">
        <f t="shared" si="72"/>
        <v>-10086150.474998394</v>
      </c>
      <c r="AG61" s="786">
        <f t="shared" si="72"/>
        <v>875952.73680866079</v>
      </c>
      <c r="AH61" s="786">
        <f t="shared" si="72"/>
        <v>885784.74358538783</v>
      </c>
      <c r="AI61" s="780">
        <f t="shared" si="72"/>
        <v>1094622.7405247814</v>
      </c>
      <c r="AJ61" s="780">
        <f t="shared" si="72"/>
        <v>14520550.755353253</v>
      </c>
      <c r="AK61" s="780">
        <f t="shared" si="72"/>
        <v>0</v>
      </c>
      <c r="AL61" s="780">
        <f t="shared" si="72"/>
        <v>0</v>
      </c>
      <c r="AM61" s="780">
        <f t="shared" si="72"/>
        <v>265461846.33578396</v>
      </c>
      <c r="AN61" s="780">
        <f t="shared" si="72"/>
        <v>310161024.65969932</v>
      </c>
      <c r="AO61" s="780">
        <f t="shared" si="72"/>
        <v>15879360.281864181</v>
      </c>
      <c r="AP61" s="780">
        <f t="shared" si="72"/>
        <v>532078820.52079612</v>
      </c>
      <c r="AQ61" s="780">
        <f t="shared" si="72"/>
        <v>2659533789.194859</v>
      </c>
      <c r="AR61" s="776"/>
      <c r="AS61" s="787">
        <f t="shared" ref="AS61:AX61" si="73">SUM(AS5:AS60)</f>
        <v>336829.03872431762</v>
      </c>
      <c r="AT61" s="787">
        <f t="shared" si="73"/>
        <v>1719572.0242035303</v>
      </c>
      <c r="AU61" s="787">
        <f t="shared" si="73"/>
        <v>213641.35180882676</v>
      </c>
      <c r="AV61" s="787">
        <f t="shared" si="73"/>
        <v>938076.25519726006</v>
      </c>
      <c r="AW61" s="788">
        <f t="shared" si="73"/>
        <v>471714285.00000006</v>
      </c>
      <c r="AX61" s="788">
        <f t="shared" si="73"/>
        <v>190890460</v>
      </c>
      <c r="AY61" s="789">
        <f t="shared" si="3"/>
        <v>0.40467390127903374</v>
      </c>
      <c r="AZ61" s="790">
        <f t="shared" si="4"/>
        <v>893.50895032163533</v>
      </c>
      <c r="BA61" s="790">
        <f t="shared" si="5"/>
        <v>203.49141015178907</v>
      </c>
      <c r="BB61" s="790">
        <f t="shared" si="6"/>
        <v>566.72803723504649</v>
      </c>
      <c r="BC61" s="791">
        <f t="shared" si="7"/>
        <v>111.01044754924787</v>
      </c>
      <c r="BD61" s="712"/>
      <c r="BE61" s="713"/>
      <c r="BF61" s="713"/>
      <c r="BG61" s="713"/>
      <c r="BH61" s="713"/>
      <c r="BI61" s="713"/>
      <c r="BJ61" s="713"/>
      <c r="BK61" s="713"/>
      <c r="BL61" s="713"/>
      <c r="BM61" s="713"/>
      <c r="BN61" s="713"/>
      <c r="BO61" s="713"/>
      <c r="BP61" s="713"/>
      <c r="BQ61" s="713"/>
      <c r="BR61" s="713"/>
      <c r="BS61" s="713"/>
      <c r="BT61" s="713"/>
      <c r="BU61" s="713"/>
      <c r="BV61" s="713"/>
      <c r="BW61" s="713"/>
    </row>
    <row r="62" spans="1:75" ht="14.25" customHeight="1" x14ac:dyDescent="0.3">
      <c r="A62" s="792"/>
      <c r="B62" s="793"/>
      <c r="C62" s="794"/>
      <c r="D62" s="794"/>
      <c r="E62" s="794"/>
      <c r="F62" s="794"/>
      <c r="G62" s="794"/>
      <c r="H62" s="794"/>
      <c r="I62" s="794"/>
      <c r="J62" s="794"/>
      <c r="K62" s="794"/>
      <c r="L62" s="794"/>
      <c r="M62" s="794"/>
      <c r="N62" s="794"/>
      <c r="O62" s="794"/>
      <c r="P62" s="794"/>
      <c r="Q62" s="794"/>
      <c r="R62" s="794"/>
      <c r="S62" s="794"/>
      <c r="T62" s="794"/>
      <c r="U62" s="794"/>
      <c r="V62" s="794"/>
      <c r="W62" s="794"/>
      <c r="X62" s="794"/>
      <c r="Y62" s="794"/>
      <c r="Z62" s="794"/>
      <c r="AA62" s="794"/>
      <c r="AB62" s="794"/>
      <c r="AC62" s="794"/>
      <c r="AD62" s="794"/>
      <c r="AE62" s="794"/>
      <c r="AF62" s="794"/>
      <c r="AG62" s="794"/>
      <c r="AH62" s="794"/>
      <c r="AI62" s="794"/>
      <c r="AJ62" s="794"/>
      <c r="AK62" s="794"/>
      <c r="AL62" s="794"/>
      <c r="AM62" s="794"/>
      <c r="AN62" s="794"/>
      <c r="AO62" s="794"/>
      <c r="AP62" s="794"/>
      <c r="AQ62" s="794"/>
      <c r="AR62" s="795"/>
      <c r="AS62" s="794"/>
      <c r="AT62" s="794"/>
      <c r="AU62" s="794"/>
      <c r="AV62" s="794"/>
      <c r="AW62" s="794"/>
      <c r="AX62" s="794"/>
      <c r="AY62" s="796"/>
      <c r="AZ62" s="797"/>
      <c r="BA62" s="797"/>
      <c r="BB62" s="797"/>
      <c r="BC62" s="798"/>
      <c r="BD62" s="577"/>
      <c r="BE62" s="578"/>
      <c r="BF62" s="578"/>
      <c r="BG62" s="578"/>
      <c r="BH62" s="578"/>
      <c r="BI62" s="578"/>
      <c r="BJ62" s="578"/>
      <c r="BK62" s="578"/>
      <c r="BL62" s="578"/>
      <c r="BM62" s="578"/>
      <c r="BN62" s="578"/>
      <c r="BO62" s="578"/>
      <c r="BP62" s="578"/>
      <c r="BQ62" s="578"/>
      <c r="BR62" s="578"/>
      <c r="BS62" s="578"/>
      <c r="BT62" s="578"/>
      <c r="BU62" s="578"/>
      <c r="BV62" s="578"/>
      <c r="BW62" s="578"/>
    </row>
    <row r="63" spans="1:75" ht="14.25" customHeight="1" x14ac:dyDescent="0.3">
      <c r="A63" s="775" t="s">
        <v>101</v>
      </c>
      <c r="B63" s="776"/>
      <c r="C63" s="799"/>
      <c r="D63" s="799"/>
      <c r="E63" s="800">
        <f t="shared" ref="E63:AQ63" si="74">SUM(E5:E34)</f>
        <v>11681.135</v>
      </c>
      <c r="F63" s="800">
        <f t="shared" si="74"/>
        <v>16137323.939999999</v>
      </c>
      <c r="G63" s="800">
        <f t="shared" si="74"/>
        <v>16681003.461020332</v>
      </c>
      <c r="H63" s="800">
        <f t="shared" si="74"/>
        <v>11013399.001090219</v>
      </c>
      <c r="I63" s="800">
        <f t="shared" si="74"/>
        <v>43580346.85419888</v>
      </c>
      <c r="J63" s="800">
        <f t="shared" si="74"/>
        <v>251920333.77933681</v>
      </c>
      <c r="K63" s="800">
        <f t="shared" si="74"/>
        <v>7268892.7906762082</v>
      </c>
      <c r="L63" s="800">
        <f t="shared" si="74"/>
        <v>29355648.432384372</v>
      </c>
      <c r="M63" s="800">
        <f t="shared" si="74"/>
        <v>0</v>
      </c>
      <c r="N63" s="801">
        <f t="shared" si="74"/>
        <v>-7800.2308551822643</v>
      </c>
      <c r="O63" s="800">
        <f t="shared" si="74"/>
        <v>2538782.4458609782</v>
      </c>
      <c r="P63" s="800">
        <f t="shared" si="74"/>
        <v>0</v>
      </c>
      <c r="Q63" s="800">
        <f t="shared" si="74"/>
        <v>0</v>
      </c>
      <c r="R63" s="800">
        <f t="shared" si="74"/>
        <v>94880.922254616133</v>
      </c>
      <c r="S63" s="800">
        <f t="shared" si="74"/>
        <v>0</v>
      </c>
      <c r="T63" s="800">
        <f t="shared" si="74"/>
        <v>0</v>
      </c>
      <c r="U63" s="800">
        <f t="shared" si="74"/>
        <v>45261</v>
      </c>
      <c r="V63" s="800">
        <f t="shared" si="74"/>
        <v>1500</v>
      </c>
      <c r="W63" s="800">
        <f t="shared" si="74"/>
        <v>4034200.9393105786</v>
      </c>
      <c r="X63" s="800">
        <f t="shared" si="74"/>
        <v>12664105.564991148</v>
      </c>
      <c r="Y63" s="800">
        <f t="shared" si="74"/>
        <v>95030218.56500499</v>
      </c>
      <c r="Z63" s="801">
        <f t="shared" si="74"/>
        <v>-215051</v>
      </c>
      <c r="AA63" s="801">
        <f t="shared" si="74"/>
        <v>-657377</v>
      </c>
      <c r="AB63" s="800">
        <f t="shared" si="74"/>
        <v>0</v>
      </c>
      <c r="AC63" s="801">
        <f t="shared" si="74"/>
        <v>-901820.80632453645</v>
      </c>
      <c r="AD63" s="801">
        <f t="shared" si="74"/>
        <v>-595414.56188448658</v>
      </c>
      <c r="AE63" s="801">
        <f t="shared" si="74"/>
        <v>-2683536.8455427298</v>
      </c>
      <c r="AF63" s="801">
        <f t="shared" si="74"/>
        <v>-14591828.083232461</v>
      </c>
      <c r="AG63" s="800">
        <f t="shared" si="74"/>
        <v>759892</v>
      </c>
      <c r="AH63" s="800">
        <f t="shared" si="74"/>
        <v>809157.26695778489</v>
      </c>
      <c r="AI63" s="800">
        <f t="shared" si="74"/>
        <v>1069200</v>
      </c>
      <c r="AJ63" s="800">
        <f t="shared" si="74"/>
        <v>14183309.274372065</v>
      </c>
      <c r="AK63" s="800">
        <f t="shared" si="74"/>
        <v>0</v>
      </c>
      <c r="AL63" s="800">
        <f t="shared" si="74"/>
        <v>0</v>
      </c>
      <c r="AM63" s="800">
        <f t="shared" si="74"/>
        <v>0</v>
      </c>
      <c r="AN63" s="800">
        <f t="shared" si="74"/>
        <v>0</v>
      </c>
      <c r="AO63" s="800">
        <f t="shared" si="74"/>
        <v>15465491.32425539</v>
      </c>
      <c r="AP63" s="800">
        <f t="shared" si="74"/>
        <v>67546684.119103968</v>
      </c>
      <c r="AQ63" s="800">
        <f t="shared" si="74"/>
        <v>877177063.73887384</v>
      </c>
      <c r="AR63" s="800"/>
      <c r="AS63" s="800">
        <f t="shared" ref="AS63:AX63" si="75">SUM(AS5:AS34)</f>
        <v>60787.388203414055</v>
      </c>
      <c r="AT63" s="800">
        <f t="shared" si="75"/>
        <v>574068.49665135762</v>
      </c>
      <c r="AU63" s="800">
        <f t="shared" si="75"/>
        <v>46168.229146408929</v>
      </c>
      <c r="AV63" s="800">
        <f t="shared" si="75"/>
        <v>452943.14373354265</v>
      </c>
      <c r="AW63" s="802">
        <f t="shared" si="75"/>
        <v>148023559</v>
      </c>
      <c r="AX63" s="802">
        <f t="shared" si="75"/>
        <v>91419303</v>
      </c>
      <c r="AY63" s="803">
        <f t="shared" ref="AY63:AY66" si="76">AX63/AW63</f>
        <v>0.61759968222355743</v>
      </c>
      <c r="AZ63" s="804">
        <f t="shared" ref="AZ63:AZ66" si="77">AX63/AU63</f>
        <v>1980.1344927068922</v>
      </c>
      <c r="BA63" s="804">
        <f t="shared" ref="BA63:BA66" si="78">AX63/AV63</f>
        <v>201.83394817822906</v>
      </c>
      <c r="BB63" s="804">
        <f t="shared" ref="BB63:BB66" si="79">AX63/AS63</f>
        <v>1503.918916438419</v>
      </c>
      <c r="BC63" s="805">
        <f t="shared" ref="BC63:BC66" si="80">AX63/AT63</f>
        <v>159.24807498280231</v>
      </c>
      <c r="BD63" s="577"/>
      <c r="BE63" s="578"/>
      <c r="BF63" s="578"/>
      <c r="BG63" s="578"/>
      <c r="BH63" s="578"/>
      <c r="BI63" s="578"/>
      <c r="BJ63" s="578"/>
      <c r="BK63" s="578"/>
      <c r="BL63" s="578"/>
      <c r="BM63" s="578"/>
      <c r="BN63" s="578"/>
      <c r="BO63" s="578"/>
      <c r="BP63" s="578"/>
      <c r="BQ63" s="578"/>
      <c r="BR63" s="578"/>
      <c r="BS63" s="578"/>
      <c r="BT63" s="578"/>
      <c r="BU63" s="578"/>
      <c r="BV63" s="578"/>
      <c r="BW63" s="578"/>
    </row>
    <row r="64" spans="1:75" ht="14.25" customHeight="1" x14ac:dyDescent="0.3">
      <c r="A64" s="806" t="s">
        <v>102</v>
      </c>
      <c r="B64" s="807"/>
      <c r="C64" s="808"/>
      <c r="D64" s="799"/>
      <c r="E64" s="800">
        <f t="shared" ref="E64:AQ64" si="81">SUM(E35:E50)</f>
        <v>408.8</v>
      </c>
      <c r="F64" s="800">
        <f t="shared" si="81"/>
        <v>520557</v>
      </c>
      <c r="G64" s="800">
        <f t="shared" si="81"/>
        <v>538094.98718276084</v>
      </c>
      <c r="H64" s="800">
        <f t="shared" si="81"/>
        <v>355269.68195759726</v>
      </c>
      <c r="I64" s="800">
        <f t="shared" si="81"/>
        <v>1666698.1751015505</v>
      </c>
      <c r="J64" s="800">
        <f t="shared" si="81"/>
        <v>33513881.485530961</v>
      </c>
      <c r="K64" s="800">
        <f t="shared" si="81"/>
        <v>0</v>
      </c>
      <c r="L64" s="800">
        <f t="shared" si="81"/>
        <v>0</v>
      </c>
      <c r="M64" s="800">
        <f t="shared" si="81"/>
        <v>1251250</v>
      </c>
      <c r="N64" s="800">
        <f t="shared" si="81"/>
        <v>1409516</v>
      </c>
      <c r="O64" s="800">
        <f t="shared" si="81"/>
        <v>2493655.037162018</v>
      </c>
      <c r="P64" s="800">
        <f t="shared" si="81"/>
        <v>72283.770651117578</v>
      </c>
      <c r="Q64" s="800">
        <f t="shared" si="81"/>
        <v>0</v>
      </c>
      <c r="R64" s="800">
        <f t="shared" si="81"/>
        <v>1667842.5655976674</v>
      </c>
      <c r="S64" s="800">
        <f t="shared" si="81"/>
        <v>0</v>
      </c>
      <c r="T64" s="800">
        <f t="shared" si="81"/>
        <v>0</v>
      </c>
      <c r="U64" s="800">
        <f t="shared" si="81"/>
        <v>20503</v>
      </c>
      <c r="V64" s="800">
        <f t="shared" si="81"/>
        <v>14358</v>
      </c>
      <c r="W64" s="800">
        <f t="shared" si="81"/>
        <v>23770911.609788634</v>
      </c>
      <c r="X64" s="800">
        <f t="shared" si="81"/>
        <v>113883836.34339076</v>
      </c>
      <c r="Y64" s="800">
        <f t="shared" si="81"/>
        <v>590462748.4314934</v>
      </c>
      <c r="Z64" s="800">
        <f t="shared" si="81"/>
        <v>17479</v>
      </c>
      <c r="AA64" s="800">
        <f t="shared" si="81"/>
        <v>6899</v>
      </c>
      <c r="AB64" s="800">
        <f t="shared" si="81"/>
        <v>10580</v>
      </c>
      <c r="AC64" s="800">
        <f t="shared" si="81"/>
        <v>10936.448773897211</v>
      </c>
      <c r="AD64" s="800">
        <f t="shared" si="81"/>
        <v>187736.56700975276</v>
      </c>
      <c r="AE64" s="800">
        <f t="shared" si="81"/>
        <v>750946.26803901105</v>
      </c>
      <c r="AF64" s="800">
        <f t="shared" si="81"/>
        <v>4505677.6082340665</v>
      </c>
      <c r="AG64" s="801">
        <f t="shared" si="81"/>
        <v>116060.73680866077</v>
      </c>
      <c r="AH64" s="801">
        <f t="shared" si="81"/>
        <v>76627.47662760294</v>
      </c>
      <c r="AI64" s="800">
        <f t="shared" si="81"/>
        <v>25422.74052478134</v>
      </c>
      <c r="AJ64" s="800">
        <f t="shared" si="81"/>
        <v>337241.48098118755</v>
      </c>
      <c r="AK64" s="800">
        <f t="shared" si="81"/>
        <v>0</v>
      </c>
      <c r="AL64" s="800">
        <f t="shared" si="81"/>
        <v>0</v>
      </c>
      <c r="AM64" s="800">
        <f t="shared" si="81"/>
        <v>0</v>
      </c>
      <c r="AN64" s="800">
        <f t="shared" si="81"/>
        <v>0</v>
      </c>
      <c r="AO64" s="800">
        <f t="shared" si="81"/>
        <v>413868.95760879049</v>
      </c>
      <c r="AP64" s="800">
        <f t="shared" si="81"/>
        <v>170939526.3309958</v>
      </c>
      <c r="AQ64" s="800">
        <f t="shared" si="81"/>
        <v>1433644832.2868333</v>
      </c>
      <c r="AR64" s="799"/>
      <c r="AS64" s="800">
        <f t="shared" ref="AS64:AX64" si="82">SUM(AS35:AS50)</f>
        <v>130289.64841843912</v>
      </c>
      <c r="AT64" s="800">
        <f t="shared" si="82"/>
        <v>935360.24934736663</v>
      </c>
      <c r="AU64" s="800">
        <f t="shared" si="82"/>
        <v>32988.334297546244</v>
      </c>
      <c r="AV64" s="800">
        <f t="shared" si="82"/>
        <v>301409.65763099462</v>
      </c>
      <c r="AW64" s="802">
        <f t="shared" si="82"/>
        <v>270203915.19999999</v>
      </c>
      <c r="AX64" s="802">
        <f t="shared" si="82"/>
        <v>78511446</v>
      </c>
      <c r="AY64" s="803">
        <f t="shared" si="76"/>
        <v>0.29056368758345807</v>
      </c>
      <c r="AZ64" s="804">
        <f t="shared" si="77"/>
        <v>2379.9760634122067</v>
      </c>
      <c r="BA64" s="804">
        <f t="shared" si="78"/>
        <v>260.4808572395475</v>
      </c>
      <c r="BB64" s="804">
        <f t="shared" si="79"/>
        <v>602.59158692217898</v>
      </c>
      <c r="BC64" s="805">
        <f t="shared" si="80"/>
        <v>83.937120542358059</v>
      </c>
      <c r="BD64" s="577"/>
      <c r="BE64" s="578"/>
      <c r="BF64" s="578"/>
      <c r="BG64" s="578"/>
      <c r="BH64" s="578"/>
      <c r="BI64" s="578"/>
      <c r="BJ64" s="578"/>
      <c r="BK64" s="578"/>
      <c r="BL64" s="578"/>
      <c r="BM64" s="578"/>
      <c r="BN64" s="578"/>
      <c r="BO64" s="578"/>
      <c r="BP64" s="578"/>
      <c r="BQ64" s="578"/>
      <c r="BR64" s="578"/>
      <c r="BS64" s="578"/>
      <c r="BT64" s="578"/>
      <c r="BU64" s="578"/>
      <c r="BV64" s="578"/>
      <c r="BW64" s="578"/>
    </row>
    <row r="65" spans="1:75" ht="14.25" customHeight="1" x14ac:dyDescent="0.3">
      <c r="A65" s="775" t="s">
        <v>103</v>
      </c>
      <c r="B65" s="776"/>
      <c r="C65" s="799"/>
      <c r="D65" s="799"/>
      <c r="E65" s="800">
        <f t="shared" ref="E65:AQ65" si="83">SUM(E51:E57)</f>
        <v>4513.05</v>
      </c>
      <c r="F65" s="800">
        <f t="shared" si="83"/>
        <v>2172096</v>
      </c>
      <c r="G65" s="800">
        <f t="shared" si="83"/>
        <v>2245275.6744789258</v>
      </c>
      <c r="H65" s="800">
        <f t="shared" si="83"/>
        <v>1482411.8302152678</v>
      </c>
      <c r="I65" s="800">
        <f t="shared" si="83"/>
        <v>13871312.508938812</v>
      </c>
      <c r="J65" s="800">
        <f t="shared" si="83"/>
        <v>80931925.153421849</v>
      </c>
      <c r="K65" s="800">
        <f t="shared" si="83"/>
        <v>0</v>
      </c>
      <c r="L65" s="800">
        <f t="shared" si="83"/>
        <v>0</v>
      </c>
      <c r="M65" s="800">
        <f t="shared" si="83"/>
        <v>1712751</v>
      </c>
      <c r="N65" s="800">
        <f t="shared" si="83"/>
        <v>2015685</v>
      </c>
      <c r="O65" s="801">
        <f t="shared" si="83"/>
        <v>-313140.09195385408</v>
      </c>
      <c r="P65" s="800">
        <f t="shared" si="83"/>
        <v>20321</v>
      </c>
      <c r="Q65" s="800">
        <f t="shared" si="83"/>
        <v>1592</v>
      </c>
      <c r="R65" s="800">
        <f t="shared" si="83"/>
        <v>18729</v>
      </c>
      <c r="S65" s="800">
        <f t="shared" si="83"/>
        <v>0</v>
      </c>
      <c r="T65" s="800">
        <f t="shared" si="83"/>
        <v>0</v>
      </c>
      <c r="U65" s="800">
        <f t="shared" si="83"/>
        <v>0</v>
      </c>
      <c r="V65" s="800">
        <f t="shared" si="83"/>
        <v>0</v>
      </c>
      <c r="W65" s="800">
        <f t="shared" si="83"/>
        <v>41700.326800676674</v>
      </c>
      <c r="X65" s="800">
        <f t="shared" si="83"/>
        <v>208501.6340033834</v>
      </c>
      <c r="Y65" s="800">
        <f t="shared" si="83"/>
        <v>1042508.1700169167</v>
      </c>
      <c r="Z65" s="800">
        <f t="shared" si="83"/>
        <v>0</v>
      </c>
      <c r="AA65" s="800">
        <f t="shared" si="83"/>
        <v>0</v>
      </c>
      <c r="AB65" s="800">
        <f t="shared" si="83"/>
        <v>0</v>
      </c>
      <c r="AC65" s="800">
        <f t="shared" si="83"/>
        <v>0</v>
      </c>
      <c r="AD65" s="800">
        <f t="shared" si="83"/>
        <v>0</v>
      </c>
      <c r="AE65" s="800">
        <f t="shared" si="83"/>
        <v>0</v>
      </c>
      <c r="AF65" s="800">
        <f t="shared" si="83"/>
        <v>0</v>
      </c>
      <c r="AG65" s="800">
        <f t="shared" si="83"/>
        <v>0</v>
      </c>
      <c r="AH65" s="800">
        <f t="shared" si="83"/>
        <v>0</v>
      </c>
      <c r="AI65" s="800">
        <f t="shared" si="83"/>
        <v>0</v>
      </c>
      <c r="AJ65" s="800">
        <f t="shared" si="83"/>
        <v>0</v>
      </c>
      <c r="AK65" s="800">
        <f t="shared" si="83"/>
        <v>0</v>
      </c>
      <c r="AL65" s="800">
        <f t="shared" si="83"/>
        <v>0</v>
      </c>
      <c r="AM65" s="800">
        <f t="shared" si="83"/>
        <v>265461846.33578396</v>
      </c>
      <c r="AN65" s="800">
        <f t="shared" si="83"/>
        <v>310161024.65969932</v>
      </c>
      <c r="AO65" s="800">
        <f t="shared" si="83"/>
        <v>0</v>
      </c>
      <c r="AP65" s="800">
        <f t="shared" si="83"/>
        <v>293592610.07069635</v>
      </c>
      <c r="AQ65" s="800">
        <f t="shared" si="83"/>
        <v>348711893.16915178</v>
      </c>
      <c r="AR65" s="800"/>
      <c r="AS65" s="800">
        <f t="shared" ref="AS65:AX65" si="84">SUM(AS51:AS57)</f>
        <v>137910.71057183802</v>
      </c>
      <c r="AT65" s="800">
        <f t="shared" si="84"/>
        <v>181717.20870322341</v>
      </c>
      <c r="AU65" s="800">
        <f t="shared" si="84"/>
        <v>129102.79017243795</v>
      </c>
      <c r="AV65" s="800">
        <f t="shared" si="84"/>
        <v>164083.45257918217</v>
      </c>
      <c r="AW65" s="802">
        <f t="shared" si="84"/>
        <v>46811211.799999997</v>
      </c>
      <c r="AX65" s="802">
        <f t="shared" si="84"/>
        <v>17491911</v>
      </c>
      <c r="AY65" s="803">
        <f t="shared" si="76"/>
        <v>0.3736692627128273</v>
      </c>
      <c r="AZ65" s="804">
        <f t="shared" si="77"/>
        <v>135.48824914346687</v>
      </c>
      <c r="BA65" s="804">
        <f t="shared" si="78"/>
        <v>106.60374781886604</v>
      </c>
      <c r="BB65" s="804">
        <f t="shared" si="79"/>
        <v>126.83504368493861</v>
      </c>
      <c r="BC65" s="805">
        <f t="shared" si="80"/>
        <v>96.258968123197448</v>
      </c>
      <c r="BD65" s="577"/>
      <c r="BE65" s="578"/>
      <c r="BF65" s="578"/>
      <c r="BG65" s="578"/>
      <c r="BH65" s="578"/>
      <c r="BI65" s="578"/>
      <c r="BJ65" s="578"/>
      <c r="BK65" s="578"/>
      <c r="BL65" s="578"/>
      <c r="BM65" s="578"/>
      <c r="BN65" s="578"/>
      <c r="BO65" s="578"/>
      <c r="BP65" s="578"/>
      <c r="BQ65" s="578"/>
      <c r="BR65" s="578"/>
      <c r="BS65" s="578"/>
      <c r="BT65" s="578"/>
      <c r="BU65" s="578"/>
      <c r="BV65" s="578"/>
      <c r="BW65" s="578"/>
    </row>
    <row r="66" spans="1:75" ht="14.25" customHeight="1" x14ac:dyDescent="0.3">
      <c r="A66" s="775" t="s">
        <v>104</v>
      </c>
      <c r="B66" s="776"/>
      <c r="C66" s="799"/>
      <c r="D66" s="799"/>
      <c r="E66" s="800">
        <f t="shared" ref="E66:AQ66" si="85">SUM(E58:E60)</f>
        <v>1360</v>
      </c>
      <c r="F66" s="800">
        <f t="shared" si="85"/>
        <v>1768000</v>
      </c>
      <c r="G66" s="800">
        <f t="shared" si="85"/>
        <v>1827565.3527646756</v>
      </c>
      <c r="H66" s="800">
        <f t="shared" si="85"/>
        <v>1206624.4382479382</v>
      </c>
      <c r="I66" s="801">
        <f t="shared" si="85"/>
        <v>2576232.1329996916</v>
      </c>
      <c r="J66" s="801">
        <f t="shared" si="85"/>
        <v>19157871.352900185</v>
      </c>
      <c r="K66" s="800">
        <f t="shared" si="85"/>
        <v>14710946.884673523</v>
      </c>
      <c r="L66" s="800">
        <f t="shared" si="85"/>
        <v>43511211.963712156</v>
      </c>
      <c r="M66" s="800">
        <f t="shared" si="85"/>
        <v>0</v>
      </c>
      <c r="N66" s="800">
        <f t="shared" si="85"/>
        <v>0</v>
      </c>
      <c r="O66" s="800">
        <f t="shared" si="85"/>
        <v>0</v>
      </c>
      <c r="P66" s="800">
        <f t="shared" si="85"/>
        <v>0</v>
      </c>
      <c r="Q66" s="800">
        <f t="shared" si="85"/>
        <v>0</v>
      </c>
      <c r="R66" s="800">
        <f t="shared" si="85"/>
        <v>0</v>
      </c>
      <c r="S66" s="800">
        <f t="shared" si="85"/>
        <v>0</v>
      </c>
      <c r="T66" s="800">
        <f t="shared" si="85"/>
        <v>0</v>
      </c>
      <c r="U66" s="800">
        <f t="shared" si="85"/>
        <v>0</v>
      </c>
      <c r="V66" s="800">
        <f t="shared" si="85"/>
        <v>0</v>
      </c>
      <c r="W66" s="800">
        <f t="shared" si="85"/>
        <v>0</v>
      </c>
      <c r="X66" s="800">
        <f t="shared" si="85"/>
        <v>0</v>
      </c>
      <c r="Y66" s="800">
        <f t="shared" si="85"/>
        <v>0</v>
      </c>
      <c r="Z66" s="800">
        <f t="shared" si="85"/>
        <v>0</v>
      </c>
      <c r="AA66" s="800">
        <f t="shared" si="85"/>
        <v>0</v>
      </c>
      <c r="AB66" s="800">
        <f t="shared" si="85"/>
        <v>0</v>
      </c>
      <c r="AC66" s="800">
        <f t="shared" si="85"/>
        <v>0</v>
      </c>
      <c r="AD66" s="800">
        <f t="shared" si="85"/>
        <v>0</v>
      </c>
      <c r="AE66" s="800">
        <f t="shared" si="85"/>
        <v>0</v>
      </c>
      <c r="AF66" s="800">
        <f t="shared" si="85"/>
        <v>0</v>
      </c>
      <c r="AG66" s="800">
        <f t="shared" si="85"/>
        <v>0</v>
      </c>
      <c r="AH66" s="800">
        <f t="shared" si="85"/>
        <v>0</v>
      </c>
      <c r="AI66" s="800">
        <f t="shared" si="85"/>
        <v>0</v>
      </c>
      <c r="AJ66" s="800">
        <f t="shared" si="85"/>
        <v>0</v>
      </c>
      <c r="AK66" s="800">
        <f t="shared" si="85"/>
        <v>0</v>
      </c>
      <c r="AL66" s="800">
        <f t="shared" si="85"/>
        <v>0</v>
      </c>
      <c r="AM66" s="800">
        <f t="shared" si="85"/>
        <v>0</v>
      </c>
      <c r="AN66" s="800">
        <f t="shared" si="85"/>
        <v>0</v>
      </c>
      <c r="AO66" s="800">
        <f t="shared" si="85"/>
        <v>0</v>
      </c>
      <c r="AP66" s="800">
        <f t="shared" si="85"/>
        <v>0</v>
      </c>
      <c r="AQ66" s="800">
        <f t="shared" si="85"/>
        <v>0</v>
      </c>
      <c r="AR66" s="800"/>
      <c r="AS66" s="800">
        <f t="shared" ref="AS66:AX66" si="86">SUM(AS58:AS60)</f>
        <v>7841.291530626394</v>
      </c>
      <c r="AT66" s="800">
        <f t="shared" si="86"/>
        <v>28426.069501582191</v>
      </c>
      <c r="AU66" s="800">
        <f t="shared" si="86"/>
        <v>5381.9981924336116</v>
      </c>
      <c r="AV66" s="800">
        <f t="shared" si="86"/>
        <v>19640.001253540562</v>
      </c>
      <c r="AW66" s="802">
        <f t="shared" si="86"/>
        <v>6675599</v>
      </c>
      <c r="AX66" s="802">
        <f t="shared" si="86"/>
        <v>3467800</v>
      </c>
      <c r="AY66" s="803">
        <f t="shared" si="76"/>
        <v>0.51947398278416668</v>
      </c>
      <c r="AZ66" s="804">
        <f t="shared" si="77"/>
        <v>644.33317812616053</v>
      </c>
      <c r="BA66" s="804">
        <f t="shared" si="78"/>
        <v>176.56821683628198</v>
      </c>
      <c r="BB66" s="804">
        <f t="shared" si="79"/>
        <v>442.24857428849839</v>
      </c>
      <c r="BC66" s="805">
        <f t="shared" si="80"/>
        <v>121.99365092690647</v>
      </c>
      <c r="BD66" s="577"/>
      <c r="BE66" s="578"/>
      <c r="BF66" s="578"/>
      <c r="BG66" s="578"/>
      <c r="BH66" s="578"/>
      <c r="BI66" s="578"/>
      <c r="BJ66" s="578"/>
      <c r="BK66" s="578"/>
      <c r="BL66" s="578"/>
      <c r="BM66" s="578"/>
      <c r="BN66" s="578"/>
      <c r="BO66" s="578"/>
      <c r="BP66" s="578"/>
      <c r="BQ66" s="578"/>
      <c r="BR66" s="578"/>
      <c r="BS66" s="578"/>
      <c r="BT66" s="578"/>
      <c r="BU66" s="578"/>
      <c r="BV66" s="578"/>
      <c r="BW66" s="578"/>
    </row>
    <row r="67" spans="1:75" ht="14.25" customHeight="1" x14ac:dyDescent="0.3">
      <c r="A67" s="809"/>
      <c r="B67" s="810"/>
      <c r="C67" s="809"/>
      <c r="D67" s="809"/>
      <c r="E67" s="809"/>
      <c r="F67" s="809"/>
      <c r="G67" s="809"/>
      <c r="H67" s="809"/>
      <c r="I67" s="809"/>
      <c r="J67" s="809"/>
      <c r="K67" s="809"/>
      <c r="L67" s="809"/>
      <c r="M67" s="809"/>
      <c r="N67" s="809"/>
      <c r="O67" s="809"/>
      <c r="P67" s="809"/>
      <c r="Q67" s="809"/>
      <c r="R67" s="809"/>
      <c r="S67" s="809"/>
      <c r="T67" s="809"/>
      <c r="U67" s="809"/>
      <c r="V67" s="809"/>
      <c r="W67" s="809"/>
      <c r="X67" s="809"/>
      <c r="Y67" s="809"/>
      <c r="Z67" s="809"/>
      <c r="AA67" s="809"/>
      <c r="AB67" s="809"/>
      <c r="AC67" s="809"/>
      <c r="AD67" s="809"/>
      <c r="AE67" s="809"/>
      <c r="AF67" s="809"/>
      <c r="AG67" s="809"/>
      <c r="AH67" s="809"/>
      <c r="AI67" s="809"/>
      <c r="AJ67" s="809"/>
      <c r="AK67" s="809"/>
      <c r="AL67" s="809"/>
      <c r="AM67" s="809"/>
      <c r="AN67" s="809"/>
      <c r="AO67" s="809"/>
      <c r="AP67" s="809"/>
      <c r="AQ67" s="809"/>
      <c r="AR67" s="811"/>
      <c r="AS67" s="812"/>
      <c r="AT67" s="812"/>
      <c r="AU67" s="812"/>
      <c r="AV67" s="812"/>
      <c r="AW67" s="813"/>
      <c r="AX67" s="813"/>
      <c r="AY67" s="814"/>
      <c r="AZ67" s="809"/>
      <c r="BA67" s="809"/>
      <c r="BB67" s="809"/>
      <c r="BC67" s="809"/>
      <c r="BD67" s="578"/>
      <c r="BE67" s="578"/>
      <c r="BF67" s="578"/>
      <c r="BG67" s="578"/>
      <c r="BH67" s="578"/>
      <c r="BI67" s="578"/>
      <c r="BJ67" s="578"/>
      <c r="BK67" s="578"/>
      <c r="BL67" s="578"/>
      <c r="BM67" s="578"/>
      <c r="BN67" s="578"/>
      <c r="BO67" s="578"/>
      <c r="BP67" s="578"/>
      <c r="BQ67" s="578"/>
      <c r="BR67" s="578"/>
      <c r="BS67" s="578"/>
      <c r="BT67" s="578"/>
      <c r="BU67" s="578"/>
      <c r="BV67" s="578"/>
      <c r="BW67" s="578"/>
    </row>
    <row r="68" spans="1:75" ht="14.25" customHeight="1" x14ac:dyDescent="0.3">
      <c r="A68" s="578"/>
      <c r="B68" s="815"/>
      <c r="C68" s="578"/>
      <c r="D68" s="578"/>
      <c r="E68" s="578"/>
      <c r="F68" s="578"/>
      <c r="G68" s="578"/>
      <c r="H68" s="578"/>
      <c r="I68" s="578"/>
      <c r="J68" s="578"/>
      <c r="K68" s="578"/>
      <c r="L68" s="578"/>
      <c r="M68" s="578"/>
      <c r="N68" s="578"/>
      <c r="O68" s="578"/>
      <c r="P68" s="578"/>
      <c r="Q68" s="578"/>
      <c r="R68" s="578"/>
      <c r="S68" s="578"/>
      <c r="T68" s="578"/>
      <c r="U68" s="578"/>
      <c r="V68" s="578"/>
      <c r="W68" s="578"/>
      <c r="X68" s="578"/>
      <c r="Y68" s="578"/>
      <c r="Z68" s="578"/>
      <c r="AA68" s="578"/>
      <c r="AB68" s="578"/>
      <c r="AC68" s="578"/>
      <c r="AD68" s="578"/>
      <c r="AE68" s="578"/>
      <c r="AF68" s="578"/>
      <c r="AG68" s="578"/>
      <c r="AH68" s="578"/>
      <c r="AI68" s="578"/>
      <c r="AJ68" s="578"/>
      <c r="AK68" s="578"/>
      <c r="AL68" s="578"/>
      <c r="AM68" s="578"/>
      <c r="AN68" s="578"/>
      <c r="AO68" s="578"/>
      <c r="AP68" s="578"/>
      <c r="AQ68" s="578"/>
      <c r="AR68" s="816"/>
      <c r="AS68" s="578"/>
      <c r="AT68" s="578"/>
      <c r="AU68" s="817"/>
      <c r="AV68" s="578"/>
      <c r="AW68" s="578"/>
      <c r="AX68" s="578"/>
      <c r="AY68" s="818"/>
      <c r="AZ68" s="578"/>
      <c r="BA68" s="578"/>
      <c r="BB68" s="578"/>
      <c r="BC68" s="578"/>
      <c r="BD68" s="578"/>
      <c r="BE68" s="578"/>
      <c r="BF68" s="578"/>
      <c r="BG68" s="578"/>
      <c r="BH68" s="578"/>
      <c r="BI68" s="578"/>
      <c r="BJ68" s="578"/>
      <c r="BK68" s="578"/>
      <c r="BL68" s="578"/>
      <c r="BM68" s="578"/>
      <c r="BN68" s="578"/>
      <c r="BO68" s="578"/>
      <c r="BP68" s="578"/>
      <c r="BQ68" s="578"/>
      <c r="BR68" s="578"/>
      <c r="BS68" s="578"/>
      <c r="BT68" s="578"/>
      <c r="BU68" s="578"/>
      <c r="BV68" s="578"/>
      <c r="BW68" s="578"/>
    </row>
    <row r="69" spans="1:75" ht="14.25" customHeight="1" x14ac:dyDescent="0.3">
      <c r="A69" s="578"/>
      <c r="B69" s="815"/>
      <c r="C69" s="578"/>
      <c r="D69" s="578"/>
      <c r="E69" s="578"/>
      <c r="F69" s="578"/>
      <c r="G69" s="578"/>
      <c r="H69" s="578"/>
      <c r="I69" s="578"/>
      <c r="J69" s="578"/>
      <c r="K69" s="578"/>
      <c r="L69" s="578"/>
      <c r="M69" s="578"/>
      <c r="N69" s="578"/>
      <c r="O69" s="578"/>
      <c r="P69" s="578"/>
      <c r="Q69" s="578"/>
      <c r="R69" s="578"/>
      <c r="S69" s="578"/>
      <c r="T69" s="578"/>
      <c r="U69" s="578"/>
      <c r="V69" s="578"/>
      <c r="W69" s="578"/>
      <c r="X69" s="578"/>
      <c r="Y69" s="578"/>
      <c r="Z69" s="578"/>
      <c r="AA69" s="578"/>
      <c r="AB69" s="578"/>
      <c r="AC69" s="578"/>
      <c r="AD69" s="578"/>
      <c r="AE69" s="578"/>
      <c r="AF69" s="578"/>
      <c r="AG69" s="578"/>
      <c r="AH69" s="578"/>
      <c r="AI69" s="578"/>
      <c r="AJ69" s="578"/>
      <c r="AK69" s="578"/>
      <c r="AL69" s="578"/>
      <c r="AM69" s="578"/>
      <c r="AN69" s="578"/>
      <c r="AO69" s="578"/>
      <c r="AP69" s="578"/>
      <c r="AQ69" s="578"/>
      <c r="AR69" s="816"/>
      <c r="AT69" s="819" t="s">
        <v>105</v>
      </c>
      <c r="AU69" s="820">
        <v>4.5359000000000003E-4</v>
      </c>
      <c r="AV69" s="577"/>
      <c r="AW69" s="578"/>
      <c r="AX69" s="821"/>
      <c r="AY69" s="818"/>
      <c r="AZ69" s="578"/>
      <c r="BA69" s="578"/>
      <c r="BB69" s="578"/>
      <c r="BC69" s="578"/>
      <c r="BD69" s="578"/>
      <c r="BE69" s="578"/>
      <c r="BF69" s="578"/>
      <c r="BG69" s="578"/>
      <c r="BH69" s="578"/>
      <c r="BI69" s="578"/>
      <c r="BJ69" s="578"/>
      <c r="BK69" s="578"/>
      <c r="BL69" s="578"/>
      <c r="BM69" s="578"/>
      <c r="BN69" s="578"/>
      <c r="BO69" s="578"/>
      <c r="BP69" s="578"/>
      <c r="BQ69" s="578"/>
      <c r="BR69" s="578"/>
      <c r="BS69" s="578"/>
      <c r="BT69" s="578"/>
      <c r="BU69" s="578"/>
      <c r="BV69" s="578"/>
      <c r="BW69" s="578"/>
    </row>
    <row r="70" spans="1:75" ht="14.25" customHeight="1" x14ac:dyDescent="0.3">
      <c r="A70" s="578"/>
      <c r="B70" s="815"/>
      <c r="C70" s="578"/>
      <c r="D70" s="578"/>
      <c r="E70" s="578"/>
      <c r="F70" s="578"/>
      <c r="G70" s="578"/>
      <c r="H70" s="578"/>
      <c r="I70" s="578"/>
      <c r="J70" s="578"/>
      <c r="K70" s="578"/>
      <c r="L70" s="578"/>
      <c r="M70" s="578"/>
      <c r="N70" s="578"/>
      <c r="O70" s="578"/>
      <c r="P70" s="578"/>
      <c r="Q70" s="578"/>
      <c r="R70" s="578"/>
      <c r="S70" s="578"/>
      <c r="T70" s="578"/>
      <c r="U70" s="578"/>
      <c r="V70" s="578"/>
      <c r="W70" s="578"/>
      <c r="X70" s="578"/>
      <c r="Y70" s="578"/>
      <c r="Z70" s="578"/>
      <c r="AA70" s="578"/>
      <c r="AB70" s="578"/>
      <c r="AC70" s="578"/>
      <c r="AD70" s="578"/>
      <c r="AE70" s="578"/>
      <c r="AF70" s="578"/>
      <c r="AG70" s="578"/>
      <c r="AH70" s="578"/>
      <c r="AI70" s="578"/>
      <c r="AJ70" s="578"/>
      <c r="AK70" s="578"/>
      <c r="AL70" s="578"/>
      <c r="AM70" s="578"/>
      <c r="AN70" s="578"/>
      <c r="AO70" s="578"/>
      <c r="AP70" s="578"/>
      <c r="AQ70" s="578"/>
      <c r="AR70" s="816"/>
      <c r="AS70" s="578"/>
      <c r="AT70" s="578"/>
      <c r="AU70" s="809"/>
      <c r="AV70" s="578"/>
      <c r="AW70" s="578"/>
      <c r="AX70" s="578"/>
      <c r="AY70" s="818"/>
      <c r="AZ70" s="578"/>
      <c r="BA70" s="578"/>
      <c r="BB70" s="578"/>
      <c r="BC70" s="578"/>
      <c r="BD70" s="578"/>
      <c r="BE70" s="578"/>
      <c r="BF70" s="578"/>
      <c r="BG70" s="578"/>
      <c r="BH70" s="578"/>
      <c r="BI70" s="578"/>
      <c r="BJ70" s="578"/>
      <c r="BK70" s="578"/>
      <c r="BL70" s="578"/>
      <c r="BM70" s="578"/>
      <c r="BN70" s="578"/>
      <c r="BO70" s="578"/>
      <c r="BP70" s="578"/>
      <c r="BQ70" s="578"/>
      <c r="BR70" s="578"/>
      <c r="BS70" s="578"/>
      <c r="BT70" s="578"/>
      <c r="BU70" s="578"/>
      <c r="BV70" s="578"/>
      <c r="BW70" s="578"/>
    </row>
    <row r="71" spans="1:75" ht="14.25" customHeight="1" x14ac:dyDescent="0.3">
      <c r="A71" s="578"/>
      <c r="B71" s="815"/>
      <c r="C71" s="578"/>
      <c r="D71" s="578"/>
      <c r="E71" s="578"/>
      <c r="F71" s="578"/>
      <c r="G71" s="578"/>
      <c r="H71" s="578"/>
      <c r="I71" s="578"/>
      <c r="J71" s="578"/>
      <c r="K71" s="578"/>
      <c r="L71" s="578"/>
      <c r="M71" s="578"/>
      <c r="N71" s="578"/>
      <c r="O71" s="578"/>
      <c r="P71" s="578"/>
      <c r="Q71" s="578"/>
      <c r="R71" s="578"/>
      <c r="S71" s="578"/>
      <c r="T71" s="578"/>
      <c r="U71" s="578"/>
      <c r="V71" s="578"/>
      <c r="W71" s="578"/>
      <c r="X71" s="578"/>
      <c r="Y71" s="578"/>
      <c r="Z71" s="578"/>
      <c r="AA71" s="578"/>
      <c r="AB71" s="578"/>
      <c r="AC71" s="578"/>
      <c r="AD71" s="578"/>
      <c r="AE71" s="578"/>
      <c r="AF71" s="578"/>
      <c r="AG71" s="578"/>
      <c r="AH71" s="578"/>
      <c r="AI71" s="578"/>
      <c r="AJ71" s="578"/>
      <c r="AK71" s="578"/>
      <c r="AL71" s="578"/>
      <c r="AM71" s="578"/>
      <c r="AN71" s="578"/>
      <c r="AO71" s="578"/>
      <c r="AP71" s="578"/>
      <c r="AQ71" s="578"/>
      <c r="AR71" s="816"/>
      <c r="AS71" s="578"/>
      <c r="AT71" s="578"/>
      <c r="AU71" s="578"/>
      <c r="AV71" s="578"/>
      <c r="AW71" s="578"/>
      <c r="AX71" s="578"/>
      <c r="AY71" s="818"/>
      <c r="AZ71" s="578"/>
      <c r="BA71" s="578"/>
      <c r="BB71" s="578"/>
      <c r="BC71" s="578"/>
      <c r="BD71" s="578"/>
      <c r="BE71" s="578"/>
      <c r="BF71" s="578"/>
      <c r="BG71" s="578"/>
      <c r="BH71" s="578"/>
      <c r="BI71" s="578"/>
      <c r="BJ71" s="578"/>
      <c r="BK71" s="578"/>
      <c r="BL71" s="578"/>
      <c r="BM71" s="578"/>
      <c r="BN71" s="578"/>
      <c r="BO71" s="578"/>
      <c r="BP71" s="578"/>
      <c r="BQ71" s="578"/>
      <c r="BR71" s="578"/>
      <c r="BS71" s="578"/>
      <c r="BT71" s="578"/>
      <c r="BU71" s="578"/>
      <c r="BV71" s="578"/>
      <c r="BW71" s="578"/>
    </row>
    <row r="72" spans="1:75" ht="14.25" customHeight="1" x14ac:dyDescent="0.3">
      <c r="A72" s="578"/>
      <c r="B72" s="815"/>
      <c r="C72" s="578"/>
      <c r="D72" s="578"/>
      <c r="E72" s="578"/>
      <c r="F72" s="578"/>
      <c r="G72" s="578"/>
      <c r="H72" s="578"/>
      <c r="I72" s="578"/>
      <c r="J72" s="578"/>
      <c r="K72" s="578"/>
      <c r="L72" s="578"/>
      <c r="M72" s="578"/>
      <c r="N72" s="578"/>
      <c r="O72" s="578"/>
      <c r="P72" s="578"/>
      <c r="Q72" s="578"/>
      <c r="R72" s="578"/>
      <c r="S72" s="578"/>
      <c r="T72" s="578"/>
      <c r="U72" s="578"/>
      <c r="V72" s="578"/>
      <c r="W72" s="578"/>
      <c r="X72" s="578"/>
      <c r="Y72" s="578"/>
      <c r="Z72" s="578"/>
      <c r="AA72" s="578"/>
      <c r="AB72" s="578"/>
      <c r="AC72" s="578"/>
      <c r="AD72" s="578"/>
      <c r="AE72" s="578"/>
      <c r="AF72" s="578"/>
      <c r="AG72" s="578"/>
      <c r="AH72" s="578"/>
      <c r="AI72" s="578"/>
      <c r="AJ72" s="578"/>
      <c r="AK72" s="578"/>
      <c r="AL72" s="578"/>
      <c r="AM72" s="578"/>
      <c r="AN72" s="578"/>
      <c r="AO72" s="578"/>
      <c r="AP72" s="578"/>
      <c r="AQ72" s="578"/>
      <c r="AR72" s="816"/>
      <c r="AS72" s="578"/>
      <c r="AT72" s="822"/>
      <c r="AU72" s="578"/>
      <c r="AV72" s="578"/>
      <c r="AW72" s="578"/>
      <c r="AX72" s="578"/>
      <c r="AY72" s="818"/>
      <c r="AZ72" s="578"/>
      <c r="BA72" s="578"/>
      <c r="BB72" s="578"/>
      <c r="BC72" s="578"/>
      <c r="BD72" s="578"/>
      <c r="BE72" s="578"/>
      <c r="BF72" s="578"/>
      <c r="BG72" s="578"/>
      <c r="BH72" s="578"/>
      <c r="BI72" s="578"/>
      <c r="BJ72" s="578"/>
      <c r="BK72" s="578"/>
      <c r="BL72" s="578"/>
      <c r="BM72" s="578"/>
      <c r="BN72" s="578"/>
      <c r="BO72" s="578"/>
      <c r="BP72" s="578"/>
      <c r="BQ72" s="578"/>
      <c r="BR72" s="578"/>
      <c r="BS72" s="578"/>
      <c r="BT72" s="578"/>
      <c r="BU72" s="578"/>
      <c r="BV72" s="578"/>
      <c r="BW72" s="578"/>
    </row>
    <row r="73" spans="1:75" ht="14.25" customHeight="1" x14ac:dyDescent="0.3">
      <c r="A73" s="578"/>
      <c r="B73" s="815"/>
      <c r="C73" s="578"/>
      <c r="D73" s="578"/>
      <c r="E73" s="578"/>
      <c r="F73" s="578"/>
      <c r="G73" s="578"/>
      <c r="H73" s="578"/>
      <c r="I73" s="578"/>
      <c r="J73" s="578"/>
      <c r="K73" s="578"/>
      <c r="L73" s="578"/>
      <c r="M73" s="578"/>
      <c r="N73" s="578"/>
      <c r="O73" s="578"/>
      <c r="P73" s="578"/>
      <c r="Q73" s="578"/>
      <c r="R73" s="578"/>
      <c r="S73" s="578"/>
      <c r="T73" s="578"/>
      <c r="U73" s="578"/>
      <c r="V73" s="578"/>
      <c r="W73" s="578"/>
      <c r="X73" s="578"/>
      <c r="Y73" s="578"/>
      <c r="Z73" s="578"/>
      <c r="AA73" s="578"/>
      <c r="AB73" s="578"/>
      <c r="AC73" s="578"/>
      <c r="AD73" s="578"/>
      <c r="AE73" s="578"/>
      <c r="AF73" s="578"/>
      <c r="AG73" s="578"/>
      <c r="AH73" s="578"/>
      <c r="AI73" s="578"/>
      <c r="AJ73" s="578"/>
      <c r="AK73" s="578"/>
      <c r="AL73" s="578"/>
      <c r="AM73" s="578"/>
      <c r="AN73" s="578"/>
      <c r="AO73" s="578"/>
      <c r="AP73" s="578"/>
      <c r="AQ73" s="578"/>
      <c r="AR73" s="816"/>
      <c r="AS73" s="578"/>
      <c r="AT73" s="578"/>
      <c r="AU73" s="578"/>
      <c r="AV73" s="578"/>
      <c r="AW73" s="578"/>
      <c r="AX73" s="578"/>
      <c r="AY73" s="818"/>
      <c r="AZ73" s="578"/>
      <c r="BA73" s="578"/>
      <c r="BB73" s="578"/>
      <c r="BC73" s="578"/>
      <c r="BD73" s="578"/>
      <c r="BE73" s="578"/>
      <c r="BF73" s="578"/>
      <c r="BG73" s="578"/>
      <c r="BH73" s="578"/>
      <c r="BI73" s="578"/>
      <c r="BJ73" s="578"/>
      <c r="BK73" s="578"/>
      <c r="BL73" s="578"/>
      <c r="BM73" s="578"/>
      <c r="BN73" s="578"/>
      <c r="BO73" s="578"/>
      <c r="BP73" s="578"/>
      <c r="BQ73" s="578"/>
      <c r="BR73" s="578"/>
      <c r="BS73" s="578"/>
      <c r="BT73" s="578"/>
      <c r="BU73" s="578"/>
      <c r="BV73" s="578"/>
      <c r="BW73" s="578"/>
    </row>
    <row r="74" spans="1:75" ht="14.25" customHeight="1" x14ac:dyDescent="0.3">
      <c r="A74" s="578"/>
      <c r="B74" s="815"/>
      <c r="C74" s="578"/>
      <c r="D74" s="578"/>
      <c r="E74" s="578"/>
      <c r="F74" s="578"/>
      <c r="G74" s="578"/>
      <c r="H74" s="578"/>
      <c r="I74" s="578"/>
      <c r="J74" s="578"/>
      <c r="K74" s="578"/>
      <c r="L74" s="578"/>
      <c r="M74" s="578"/>
      <c r="N74" s="578"/>
      <c r="O74" s="578"/>
      <c r="P74" s="578"/>
      <c r="Q74" s="578"/>
      <c r="R74" s="578"/>
      <c r="S74" s="578"/>
      <c r="T74" s="578"/>
      <c r="U74" s="578"/>
      <c r="V74" s="578"/>
      <c r="W74" s="578"/>
      <c r="X74" s="578"/>
      <c r="Y74" s="578"/>
      <c r="Z74" s="578"/>
      <c r="AA74" s="578"/>
      <c r="AB74" s="578"/>
      <c r="AC74" s="578"/>
      <c r="AD74" s="578"/>
      <c r="AE74" s="578"/>
      <c r="AF74" s="578"/>
      <c r="AG74" s="578"/>
      <c r="AH74" s="578"/>
      <c r="AI74" s="578"/>
      <c r="AJ74" s="578"/>
      <c r="AK74" s="578"/>
      <c r="AL74" s="578"/>
      <c r="AM74" s="578"/>
      <c r="AN74" s="578"/>
      <c r="AO74" s="578"/>
      <c r="AP74" s="578"/>
      <c r="AQ74" s="578"/>
      <c r="AR74" s="816"/>
      <c r="AS74" s="578"/>
      <c r="AT74" s="578"/>
      <c r="AU74" s="578"/>
      <c r="AV74" s="578"/>
      <c r="AW74" s="578"/>
      <c r="AX74" s="578"/>
      <c r="AY74" s="818"/>
      <c r="AZ74" s="578"/>
      <c r="BA74" s="578"/>
      <c r="BB74" s="578"/>
      <c r="BC74" s="578"/>
      <c r="BD74" s="578"/>
      <c r="BE74" s="578"/>
      <c r="BF74" s="578"/>
      <c r="BG74" s="578"/>
      <c r="BH74" s="578"/>
      <c r="BI74" s="578"/>
      <c r="BJ74" s="578"/>
      <c r="BK74" s="578"/>
      <c r="BL74" s="578"/>
      <c r="BM74" s="578"/>
      <c r="BN74" s="578"/>
      <c r="BO74" s="578"/>
      <c r="BP74" s="578"/>
      <c r="BQ74" s="578"/>
      <c r="BR74" s="578"/>
      <c r="BS74" s="578"/>
      <c r="BT74" s="578"/>
      <c r="BU74" s="578"/>
      <c r="BV74" s="578"/>
      <c r="BW74" s="578"/>
    </row>
    <row r="75" spans="1:75" ht="14.25" customHeight="1" x14ac:dyDescent="0.3">
      <c r="A75" s="578"/>
      <c r="B75" s="815"/>
      <c r="C75" s="578"/>
      <c r="D75" s="578"/>
      <c r="E75" s="578"/>
      <c r="F75" s="578"/>
      <c r="G75" s="578"/>
      <c r="H75" s="578"/>
      <c r="I75" s="578"/>
      <c r="J75" s="578"/>
      <c r="K75" s="578"/>
      <c r="L75" s="578"/>
      <c r="M75" s="578"/>
      <c r="N75" s="578"/>
      <c r="O75" s="578"/>
      <c r="P75" s="578"/>
      <c r="Q75" s="578"/>
      <c r="R75" s="578"/>
      <c r="S75" s="578"/>
      <c r="T75" s="578"/>
      <c r="U75" s="578"/>
      <c r="V75" s="578"/>
      <c r="W75" s="578"/>
      <c r="X75" s="578"/>
      <c r="Y75" s="578"/>
      <c r="Z75" s="578"/>
      <c r="AA75" s="578"/>
      <c r="AB75" s="578"/>
      <c r="AC75" s="578"/>
      <c r="AD75" s="578"/>
      <c r="AE75" s="578"/>
      <c r="AF75" s="578"/>
      <c r="AG75" s="578"/>
      <c r="AH75" s="578"/>
      <c r="AI75" s="578"/>
      <c r="AJ75" s="578"/>
      <c r="AK75" s="578"/>
      <c r="AL75" s="578"/>
      <c r="AM75" s="578"/>
      <c r="AN75" s="578"/>
      <c r="AO75" s="578"/>
      <c r="AP75" s="578"/>
      <c r="AQ75" s="578"/>
      <c r="AR75" s="816"/>
      <c r="AS75" s="578"/>
      <c r="AT75" s="578"/>
      <c r="AU75" s="578"/>
      <c r="AV75" s="578"/>
      <c r="AW75" s="578"/>
      <c r="AX75" s="578"/>
      <c r="AY75" s="818"/>
      <c r="AZ75" s="578"/>
      <c r="BA75" s="578"/>
      <c r="BB75" s="578"/>
      <c r="BC75" s="578"/>
      <c r="BD75" s="578"/>
      <c r="BE75" s="578"/>
      <c r="BF75" s="578"/>
      <c r="BG75" s="578"/>
      <c r="BH75" s="578"/>
      <c r="BI75" s="578"/>
      <c r="BJ75" s="578"/>
      <c r="BK75" s="578"/>
      <c r="BL75" s="578"/>
      <c r="BM75" s="578"/>
      <c r="BN75" s="578"/>
      <c r="BO75" s="578"/>
      <c r="BP75" s="578"/>
      <c r="BQ75" s="578"/>
      <c r="BR75" s="578"/>
      <c r="BS75" s="578"/>
      <c r="BT75" s="578"/>
      <c r="BU75" s="578"/>
      <c r="BV75" s="578"/>
      <c r="BW75" s="578"/>
    </row>
    <row r="76" spans="1:75" ht="14.25" customHeight="1" x14ac:dyDescent="0.3">
      <c r="A76" s="578"/>
      <c r="B76" s="815"/>
      <c r="C76" s="578"/>
      <c r="D76" s="578"/>
      <c r="E76" s="578"/>
      <c r="F76" s="578"/>
      <c r="G76" s="578"/>
      <c r="H76" s="578"/>
      <c r="I76" s="578"/>
      <c r="J76" s="578"/>
      <c r="K76" s="578"/>
      <c r="L76" s="578"/>
      <c r="M76" s="578"/>
      <c r="N76" s="578"/>
      <c r="O76" s="578"/>
      <c r="P76" s="578"/>
      <c r="Q76" s="578"/>
      <c r="R76" s="578"/>
      <c r="S76" s="578"/>
      <c r="T76" s="578"/>
      <c r="U76" s="578"/>
      <c r="V76" s="578"/>
      <c r="W76" s="578"/>
      <c r="X76" s="578"/>
      <c r="Y76" s="578"/>
      <c r="Z76" s="578"/>
      <c r="AA76" s="578"/>
      <c r="AB76" s="578"/>
      <c r="AC76" s="578"/>
      <c r="AD76" s="578"/>
      <c r="AE76" s="578"/>
      <c r="AF76" s="578"/>
      <c r="AG76" s="578"/>
      <c r="AH76" s="578"/>
      <c r="AI76" s="578"/>
      <c r="AJ76" s="578"/>
      <c r="AK76" s="578"/>
      <c r="AL76" s="578"/>
      <c r="AM76" s="578"/>
      <c r="AN76" s="578"/>
      <c r="AO76" s="578"/>
      <c r="AP76" s="578"/>
      <c r="AQ76" s="578"/>
      <c r="AR76" s="816"/>
      <c r="AS76" s="578"/>
      <c r="AT76" s="578"/>
      <c r="AU76" s="578"/>
      <c r="AV76" s="578"/>
      <c r="AW76" s="578"/>
      <c r="AX76" s="578"/>
      <c r="AY76" s="818"/>
      <c r="AZ76" s="578"/>
      <c r="BA76" s="578"/>
      <c r="BB76" s="578"/>
      <c r="BC76" s="578"/>
      <c r="BD76" s="578"/>
      <c r="BE76" s="578"/>
      <c r="BF76" s="578"/>
      <c r="BG76" s="578"/>
      <c r="BH76" s="578"/>
      <c r="BI76" s="578"/>
      <c r="BJ76" s="578"/>
      <c r="BK76" s="578"/>
      <c r="BL76" s="578"/>
      <c r="BM76" s="578"/>
      <c r="BN76" s="578"/>
      <c r="BO76" s="578"/>
      <c r="BP76" s="578"/>
      <c r="BQ76" s="578"/>
      <c r="BR76" s="578"/>
      <c r="BS76" s="578"/>
      <c r="BT76" s="578"/>
      <c r="BU76" s="578"/>
      <c r="BV76" s="578"/>
      <c r="BW76" s="578"/>
    </row>
    <row r="77" spans="1:75" ht="14.25" customHeight="1" x14ac:dyDescent="0.3">
      <c r="A77" s="578"/>
      <c r="B77" s="815"/>
      <c r="C77" s="578"/>
      <c r="D77" s="578"/>
      <c r="E77" s="578"/>
      <c r="F77" s="578"/>
      <c r="G77" s="578"/>
      <c r="H77" s="578"/>
      <c r="I77" s="578"/>
      <c r="J77" s="578"/>
      <c r="K77" s="578"/>
      <c r="L77" s="578"/>
      <c r="M77" s="578"/>
      <c r="N77" s="578"/>
      <c r="O77" s="578"/>
      <c r="P77" s="578"/>
      <c r="Q77" s="578"/>
      <c r="R77" s="578"/>
      <c r="S77" s="578"/>
      <c r="T77" s="578"/>
      <c r="U77" s="578"/>
      <c r="V77" s="578"/>
      <c r="W77" s="578"/>
      <c r="X77" s="578"/>
      <c r="Y77" s="578"/>
      <c r="Z77" s="578"/>
      <c r="AA77" s="578"/>
      <c r="AB77" s="578"/>
      <c r="AC77" s="578"/>
      <c r="AD77" s="578"/>
      <c r="AE77" s="578"/>
      <c r="AF77" s="578"/>
      <c r="AG77" s="578"/>
      <c r="AH77" s="578"/>
      <c r="AI77" s="578"/>
      <c r="AJ77" s="578"/>
      <c r="AK77" s="578"/>
      <c r="AL77" s="578"/>
      <c r="AM77" s="578"/>
      <c r="AN77" s="578"/>
      <c r="AO77" s="578"/>
      <c r="AP77" s="578"/>
      <c r="AQ77" s="578"/>
      <c r="AR77" s="816"/>
      <c r="AS77" s="578"/>
      <c r="AT77" s="578"/>
      <c r="AU77" s="578"/>
      <c r="AV77" s="578"/>
      <c r="AW77" s="578"/>
      <c r="AX77" s="578"/>
      <c r="AY77" s="818"/>
      <c r="AZ77" s="578"/>
      <c r="BA77" s="578"/>
      <c r="BB77" s="578"/>
      <c r="BC77" s="578"/>
      <c r="BD77" s="578"/>
      <c r="BE77" s="578"/>
      <c r="BF77" s="578"/>
      <c r="BG77" s="578"/>
      <c r="BH77" s="578"/>
      <c r="BI77" s="578"/>
      <c r="BJ77" s="578"/>
      <c r="BK77" s="578"/>
      <c r="BL77" s="578"/>
      <c r="BM77" s="578"/>
      <c r="BN77" s="578"/>
      <c r="BO77" s="578"/>
      <c r="BP77" s="578"/>
      <c r="BQ77" s="578"/>
      <c r="BR77" s="578"/>
      <c r="BS77" s="578"/>
      <c r="BT77" s="578"/>
      <c r="BU77" s="578"/>
      <c r="BV77" s="578"/>
      <c r="BW77" s="578"/>
    </row>
    <row r="78" spans="1:75" ht="14.25" customHeight="1" x14ac:dyDescent="0.3">
      <c r="A78" s="578"/>
      <c r="B78" s="815"/>
      <c r="C78" s="578"/>
      <c r="D78" s="578"/>
      <c r="E78" s="578"/>
      <c r="F78" s="578"/>
      <c r="G78" s="578"/>
      <c r="H78" s="578"/>
      <c r="I78" s="578"/>
      <c r="J78" s="578"/>
      <c r="K78" s="578"/>
      <c r="L78" s="578"/>
      <c r="M78" s="578"/>
      <c r="N78" s="578"/>
      <c r="O78" s="578"/>
      <c r="P78" s="578"/>
      <c r="Q78" s="578"/>
      <c r="R78" s="578"/>
      <c r="S78" s="578"/>
      <c r="T78" s="578"/>
      <c r="U78" s="578"/>
      <c r="V78" s="578"/>
      <c r="W78" s="578"/>
      <c r="X78" s="578"/>
      <c r="Y78" s="578"/>
      <c r="Z78" s="578"/>
      <c r="AA78" s="578"/>
      <c r="AB78" s="578"/>
      <c r="AC78" s="578"/>
      <c r="AD78" s="578"/>
      <c r="AE78" s="578"/>
      <c r="AF78" s="578"/>
      <c r="AG78" s="578"/>
      <c r="AH78" s="578"/>
      <c r="AI78" s="578"/>
      <c r="AJ78" s="578"/>
      <c r="AK78" s="578"/>
      <c r="AL78" s="578"/>
      <c r="AM78" s="578"/>
      <c r="AN78" s="578"/>
      <c r="AO78" s="578"/>
      <c r="AP78" s="578"/>
      <c r="AQ78" s="578"/>
      <c r="AR78" s="816"/>
      <c r="AS78" s="578"/>
      <c r="AT78" s="578"/>
      <c r="AU78" s="578"/>
      <c r="AV78" s="578"/>
      <c r="AW78" s="578"/>
      <c r="AX78" s="578"/>
      <c r="AY78" s="818"/>
      <c r="AZ78" s="578"/>
      <c r="BA78" s="578"/>
      <c r="BB78" s="578"/>
      <c r="BC78" s="578"/>
      <c r="BD78" s="578"/>
      <c r="BE78" s="578"/>
      <c r="BF78" s="578"/>
      <c r="BG78" s="578"/>
      <c r="BH78" s="578"/>
      <c r="BI78" s="578"/>
      <c r="BJ78" s="578"/>
      <c r="BK78" s="578"/>
      <c r="BL78" s="578"/>
      <c r="BM78" s="578"/>
      <c r="BN78" s="578"/>
      <c r="BO78" s="578"/>
      <c r="BP78" s="578"/>
      <c r="BQ78" s="578"/>
      <c r="BR78" s="578"/>
      <c r="BS78" s="578"/>
      <c r="BT78" s="578"/>
      <c r="BU78" s="578"/>
      <c r="BV78" s="578"/>
      <c r="BW78" s="578"/>
    </row>
    <row r="79" spans="1:75" ht="14.25" customHeight="1" x14ac:dyDescent="0.3">
      <c r="A79" s="578"/>
      <c r="B79" s="815"/>
      <c r="C79" s="578"/>
      <c r="D79" s="578"/>
      <c r="E79" s="578"/>
      <c r="F79" s="578"/>
      <c r="G79" s="578"/>
      <c r="H79" s="578"/>
      <c r="I79" s="578"/>
      <c r="J79" s="578"/>
      <c r="K79" s="578"/>
      <c r="L79" s="578"/>
      <c r="M79" s="578"/>
      <c r="N79" s="578"/>
      <c r="O79" s="578"/>
      <c r="P79" s="578"/>
      <c r="Q79" s="578"/>
      <c r="R79" s="578"/>
      <c r="S79" s="578"/>
      <c r="T79" s="578"/>
      <c r="U79" s="578"/>
      <c r="V79" s="578"/>
      <c r="W79" s="578"/>
      <c r="X79" s="578"/>
      <c r="Y79" s="578"/>
      <c r="Z79" s="578"/>
      <c r="AA79" s="578"/>
      <c r="AB79" s="578"/>
      <c r="AC79" s="578"/>
      <c r="AD79" s="578"/>
      <c r="AE79" s="578"/>
      <c r="AF79" s="578"/>
      <c r="AG79" s="578"/>
      <c r="AH79" s="578"/>
      <c r="AI79" s="578"/>
      <c r="AJ79" s="578"/>
      <c r="AK79" s="578"/>
      <c r="AL79" s="578"/>
      <c r="AM79" s="578"/>
      <c r="AN79" s="578"/>
      <c r="AO79" s="578"/>
      <c r="AP79" s="578"/>
      <c r="AQ79" s="578"/>
      <c r="AR79" s="816"/>
      <c r="AS79" s="578"/>
      <c r="AT79" s="578"/>
      <c r="AU79" s="578"/>
      <c r="AV79" s="578"/>
      <c r="AW79" s="578"/>
      <c r="AX79" s="578"/>
      <c r="AY79" s="818"/>
      <c r="AZ79" s="578"/>
      <c r="BA79" s="578"/>
      <c r="BB79" s="578"/>
      <c r="BC79" s="578"/>
      <c r="BD79" s="578"/>
      <c r="BE79" s="578"/>
      <c r="BF79" s="578"/>
      <c r="BG79" s="578"/>
      <c r="BH79" s="578"/>
      <c r="BI79" s="578"/>
      <c r="BJ79" s="578"/>
      <c r="BK79" s="578"/>
      <c r="BL79" s="578"/>
      <c r="BM79" s="578"/>
      <c r="BN79" s="578"/>
      <c r="BO79" s="578"/>
      <c r="BP79" s="578"/>
      <c r="BQ79" s="578"/>
      <c r="BR79" s="578"/>
      <c r="BS79" s="578"/>
      <c r="BT79" s="578"/>
      <c r="BU79" s="578"/>
      <c r="BV79" s="578"/>
      <c r="BW79" s="578"/>
    </row>
    <row r="80" spans="1:75" ht="14.25" customHeight="1" x14ac:dyDescent="0.3">
      <c r="A80" s="578"/>
      <c r="B80" s="815"/>
      <c r="C80" s="578"/>
      <c r="D80" s="578"/>
      <c r="E80" s="578"/>
      <c r="F80" s="578"/>
      <c r="G80" s="578"/>
      <c r="H80" s="578"/>
      <c r="I80" s="578"/>
      <c r="J80" s="578"/>
      <c r="K80" s="578"/>
      <c r="L80" s="578"/>
      <c r="M80" s="578"/>
      <c r="N80" s="578"/>
      <c r="O80" s="578"/>
      <c r="P80" s="578"/>
      <c r="Q80" s="578"/>
      <c r="R80" s="578"/>
      <c r="S80" s="578"/>
      <c r="T80" s="578"/>
      <c r="U80" s="578"/>
      <c r="V80" s="578"/>
      <c r="W80" s="578"/>
      <c r="X80" s="578"/>
      <c r="Y80" s="578"/>
      <c r="Z80" s="578"/>
      <c r="AA80" s="578"/>
      <c r="AB80" s="578"/>
      <c r="AC80" s="578"/>
      <c r="AD80" s="578"/>
      <c r="AE80" s="578"/>
      <c r="AF80" s="578"/>
      <c r="AG80" s="578"/>
      <c r="AH80" s="578"/>
      <c r="AI80" s="578"/>
      <c r="AJ80" s="578"/>
      <c r="AK80" s="578"/>
      <c r="AL80" s="578"/>
      <c r="AM80" s="578"/>
      <c r="AN80" s="578"/>
      <c r="AO80" s="578"/>
      <c r="AP80" s="578"/>
      <c r="AQ80" s="578"/>
      <c r="AR80" s="816"/>
      <c r="AS80" s="578"/>
      <c r="AT80" s="578"/>
      <c r="AU80" s="578"/>
      <c r="AV80" s="578"/>
      <c r="AW80" s="578"/>
      <c r="AX80" s="578"/>
      <c r="AY80" s="818"/>
      <c r="AZ80" s="578"/>
      <c r="BA80" s="578"/>
      <c r="BB80" s="578"/>
      <c r="BC80" s="578"/>
      <c r="BD80" s="578"/>
      <c r="BE80" s="578"/>
      <c r="BF80" s="578"/>
      <c r="BG80" s="578"/>
      <c r="BH80" s="578"/>
      <c r="BI80" s="578"/>
      <c r="BJ80" s="578"/>
      <c r="BK80" s="578"/>
      <c r="BL80" s="578"/>
      <c r="BM80" s="578"/>
      <c r="BN80" s="578"/>
      <c r="BO80" s="578"/>
      <c r="BP80" s="578"/>
      <c r="BQ80" s="578"/>
      <c r="BR80" s="578"/>
      <c r="BS80" s="578"/>
      <c r="BT80" s="578"/>
      <c r="BU80" s="578"/>
      <c r="BV80" s="578"/>
      <c r="BW80" s="578"/>
    </row>
    <row r="81" spans="1:75" ht="14.25" customHeight="1" x14ac:dyDescent="0.3">
      <c r="A81" s="578"/>
      <c r="B81" s="815"/>
      <c r="C81" s="578"/>
      <c r="D81" s="578"/>
      <c r="E81" s="578"/>
      <c r="F81" s="578"/>
      <c r="G81" s="578"/>
      <c r="H81" s="578"/>
      <c r="I81" s="578"/>
      <c r="J81" s="578"/>
      <c r="K81" s="578"/>
      <c r="L81" s="578"/>
      <c r="M81" s="578"/>
      <c r="N81" s="578"/>
      <c r="O81" s="578"/>
      <c r="P81" s="578"/>
      <c r="Q81" s="578"/>
      <c r="R81" s="578"/>
      <c r="S81" s="578"/>
      <c r="T81" s="578"/>
      <c r="U81" s="578"/>
      <c r="V81" s="578"/>
      <c r="W81" s="578"/>
      <c r="X81" s="578"/>
      <c r="Y81" s="578"/>
      <c r="Z81" s="578"/>
      <c r="AA81" s="578"/>
      <c r="AB81" s="578"/>
      <c r="AC81" s="578"/>
      <c r="AD81" s="578"/>
      <c r="AE81" s="578"/>
      <c r="AF81" s="578"/>
      <c r="AG81" s="578"/>
      <c r="AH81" s="578"/>
      <c r="AI81" s="578"/>
      <c r="AJ81" s="578"/>
      <c r="AK81" s="578"/>
      <c r="AL81" s="578"/>
      <c r="AM81" s="578"/>
      <c r="AN81" s="578"/>
      <c r="AO81" s="578"/>
      <c r="AP81" s="578"/>
      <c r="AQ81" s="578"/>
      <c r="AR81" s="816"/>
      <c r="AS81" s="578"/>
      <c r="AT81" s="578"/>
      <c r="AU81" s="578"/>
      <c r="AV81" s="578"/>
      <c r="AW81" s="578"/>
      <c r="AX81" s="578"/>
      <c r="AY81" s="818"/>
      <c r="AZ81" s="578"/>
      <c r="BA81" s="578"/>
      <c r="BB81" s="578"/>
      <c r="BC81" s="578"/>
      <c r="BD81" s="578"/>
      <c r="BE81" s="578"/>
      <c r="BF81" s="578"/>
      <c r="BG81" s="578"/>
      <c r="BH81" s="578"/>
      <c r="BI81" s="578"/>
      <c r="BJ81" s="578"/>
      <c r="BK81" s="578"/>
      <c r="BL81" s="578"/>
      <c r="BM81" s="578"/>
      <c r="BN81" s="578"/>
      <c r="BO81" s="578"/>
      <c r="BP81" s="578"/>
      <c r="BQ81" s="578"/>
      <c r="BR81" s="578"/>
      <c r="BS81" s="578"/>
      <c r="BT81" s="578"/>
      <c r="BU81" s="578"/>
      <c r="BV81" s="578"/>
      <c r="BW81" s="578"/>
    </row>
    <row r="82" spans="1:75" ht="14.25" customHeight="1" x14ac:dyDescent="0.3">
      <c r="A82" s="578"/>
      <c r="B82" s="815"/>
      <c r="C82" s="578"/>
      <c r="D82" s="578"/>
      <c r="E82" s="578"/>
      <c r="F82" s="578"/>
      <c r="G82" s="578"/>
      <c r="H82" s="578"/>
      <c r="I82" s="578"/>
      <c r="J82" s="578"/>
      <c r="K82" s="578"/>
      <c r="L82" s="578"/>
      <c r="M82" s="578"/>
      <c r="N82" s="578"/>
      <c r="O82" s="578"/>
      <c r="P82" s="578"/>
      <c r="Q82" s="578"/>
      <c r="R82" s="578"/>
      <c r="S82" s="578"/>
      <c r="T82" s="578"/>
      <c r="U82" s="578"/>
      <c r="V82" s="578"/>
      <c r="W82" s="578"/>
      <c r="X82" s="578"/>
      <c r="Y82" s="578"/>
      <c r="Z82" s="578"/>
      <c r="AA82" s="578"/>
      <c r="AB82" s="578"/>
      <c r="AC82" s="578"/>
      <c r="AD82" s="578"/>
      <c r="AE82" s="578"/>
      <c r="AF82" s="578"/>
      <c r="AG82" s="578"/>
      <c r="AH82" s="578"/>
      <c r="AI82" s="578"/>
      <c r="AJ82" s="578"/>
      <c r="AK82" s="578"/>
      <c r="AL82" s="578"/>
      <c r="AM82" s="578"/>
      <c r="AN82" s="578"/>
      <c r="AO82" s="578"/>
      <c r="AP82" s="578"/>
      <c r="AQ82" s="578"/>
      <c r="AR82" s="816"/>
      <c r="AS82" s="578"/>
      <c r="AT82" s="578"/>
      <c r="AU82" s="578"/>
      <c r="AV82" s="578"/>
      <c r="AW82" s="578"/>
      <c r="AX82" s="578"/>
      <c r="AY82" s="818"/>
      <c r="AZ82" s="578"/>
      <c r="BA82" s="578"/>
      <c r="BB82" s="578"/>
      <c r="BC82" s="578"/>
      <c r="BD82" s="578"/>
      <c r="BE82" s="578"/>
      <c r="BF82" s="578"/>
      <c r="BG82" s="578"/>
      <c r="BH82" s="578"/>
      <c r="BI82" s="578"/>
      <c r="BJ82" s="578"/>
      <c r="BK82" s="578"/>
      <c r="BL82" s="578"/>
      <c r="BM82" s="578"/>
      <c r="BN82" s="578"/>
      <c r="BO82" s="578"/>
      <c r="BP82" s="578"/>
      <c r="BQ82" s="578"/>
      <c r="BR82" s="578"/>
      <c r="BS82" s="578"/>
      <c r="BT82" s="578"/>
      <c r="BU82" s="578"/>
      <c r="BV82" s="578"/>
      <c r="BW82" s="578"/>
    </row>
    <row r="83" spans="1:75" ht="14.25" customHeight="1" x14ac:dyDescent="0.3">
      <c r="A83" s="578"/>
      <c r="B83" s="815"/>
      <c r="C83" s="578"/>
      <c r="D83" s="578"/>
      <c r="E83" s="578"/>
      <c r="F83" s="578"/>
      <c r="G83" s="578"/>
      <c r="H83" s="578"/>
      <c r="I83" s="578"/>
      <c r="J83" s="578"/>
      <c r="K83" s="578"/>
      <c r="L83" s="578"/>
      <c r="M83" s="578"/>
      <c r="N83" s="578"/>
      <c r="O83" s="578"/>
      <c r="P83" s="578"/>
      <c r="Q83" s="578"/>
      <c r="R83" s="578"/>
      <c r="S83" s="578"/>
      <c r="T83" s="578"/>
      <c r="U83" s="578"/>
      <c r="V83" s="578"/>
      <c r="W83" s="578"/>
      <c r="X83" s="578"/>
      <c r="Y83" s="578"/>
      <c r="Z83" s="578"/>
      <c r="AA83" s="578"/>
      <c r="AB83" s="578"/>
      <c r="AC83" s="578"/>
      <c r="AD83" s="578"/>
      <c r="AE83" s="578"/>
      <c r="AF83" s="578"/>
      <c r="AG83" s="578"/>
      <c r="AH83" s="578"/>
      <c r="AI83" s="578"/>
      <c r="AJ83" s="578"/>
      <c r="AK83" s="578"/>
      <c r="AL83" s="578"/>
      <c r="AM83" s="578"/>
      <c r="AN83" s="578"/>
      <c r="AO83" s="578"/>
      <c r="AP83" s="578"/>
      <c r="AQ83" s="578"/>
      <c r="AR83" s="816"/>
      <c r="AS83" s="578"/>
      <c r="AT83" s="578"/>
      <c r="AU83" s="578"/>
      <c r="AV83" s="578"/>
      <c r="AW83" s="578"/>
      <c r="AX83" s="578"/>
      <c r="AY83" s="818"/>
      <c r="AZ83" s="578"/>
      <c r="BA83" s="578"/>
      <c r="BB83" s="578"/>
      <c r="BC83" s="578"/>
      <c r="BD83" s="578"/>
      <c r="BE83" s="578"/>
      <c r="BF83" s="578"/>
      <c r="BG83" s="578"/>
      <c r="BH83" s="578"/>
      <c r="BI83" s="578"/>
      <c r="BJ83" s="578"/>
      <c r="BK83" s="578"/>
      <c r="BL83" s="578"/>
      <c r="BM83" s="578"/>
      <c r="BN83" s="578"/>
      <c r="BO83" s="578"/>
      <c r="BP83" s="578"/>
      <c r="BQ83" s="578"/>
      <c r="BR83" s="578"/>
      <c r="BS83" s="578"/>
      <c r="BT83" s="578"/>
      <c r="BU83" s="578"/>
      <c r="BV83" s="578"/>
      <c r="BW83" s="578"/>
    </row>
    <row r="84" spans="1:75" ht="14.25" customHeight="1" x14ac:dyDescent="0.3">
      <c r="A84" s="578"/>
      <c r="B84" s="815"/>
      <c r="C84" s="578"/>
      <c r="D84" s="578"/>
      <c r="E84" s="578"/>
      <c r="F84" s="578"/>
      <c r="G84" s="578"/>
      <c r="H84" s="578"/>
      <c r="I84" s="578"/>
      <c r="J84" s="578"/>
      <c r="K84" s="578"/>
      <c r="L84" s="578"/>
      <c r="M84" s="578"/>
      <c r="N84" s="578"/>
      <c r="O84" s="578"/>
      <c r="P84" s="578"/>
      <c r="Q84" s="578"/>
      <c r="R84" s="578"/>
      <c r="S84" s="578"/>
      <c r="T84" s="578"/>
      <c r="U84" s="578"/>
      <c r="V84" s="578"/>
      <c r="W84" s="578"/>
      <c r="X84" s="578"/>
      <c r="Y84" s="578"/>
      <c r="Z84" s="578"/>
      <c r="AA84" s="578"/>
      <c r="AB84" s="578"/>
      <c r="AC84" s="578"/>
      <c r="AD84" s="578"/>
      <c r="AE84" s="578"/>
      <c r="AF84" s="578"/>
      <c r="AG84" s="578"/>
      <c r="AH84" s="578"/>
      <c r="AI84" s="578"/>
      <c r="AJ84" s="578"/>
      <c r="AK84" s="578"/>
      <c r="AL84" s="578"/>
      <c r="AM84" s="578"/>
      <c r="AN84" s="578"/>
      <c r="AO84" s="578"/>
      <c r="AP84" s="578"/>
      <c r="AQ84" s="578"/>
      <c r="AR84" s="816"/>
      <c r="AS84" s="578"/>
      <c r="AT84" s="578"/>
      <c r="AU84" s="578"/>
      <c r="AV84" s="578"/>
      <c r="AW84" s="578"/>
      <c r="AX84" s="578"/>
      <c r="AY84" s="818"/>
      <c r="AZ84" s="578"/>
      <c r="BA84" s="578"/>
      <c r="BB84" s="578"/>
      <c r="BC84" s="578"/>
      <c r="BD84" s="578"/>
      <c r="BE84" s="578"/>
      <c r="BF84" s="578"/>
      <c r="BG84" s="578"/>
      <c r="BH84" s="578"/>
      <c r="BI84" s="578"/>
      <c r="BJ84" s="578"/>
      <c r="BK84" s="578"/>
      <c r="BL84" s="578"/>
      <c r="BM84" s="578"/>
      <c r="BN84" s="578"/>
      <c r="BO84" s="578"/>
      <c r="BP84" s="578"/>
      <c r="BQ84" s="578"/>
      <c r="BR84" s="578"/>
      <c r="BS84" s="578"/>
      <c r="BT84" s="578"/>
      <c r="BU84" s="578"/>
      <c r="BV84" s="578"/>
      <c r="BW84" s="578"/>
    </row>
    <row r="85" spans="1:75" ht="14.25" customHeight="1" x14ac:dyDescent="0.3">
      <c r="A85" s="578"/>
      <c r="B85" s="815"/>
      <c r="C85" s="578"/>
      <c r="D85" s="578"/>
      <c r="E85" s="578"/>
      <c r="F85" s="578"/>
      <c r="G85" s="578"/>
      <c r="H85" s="578"/>
      <c r="I85" s="578"/>
      <c r="J85" s="578"/>
      <c r="K85" s="578"/>
      <c r="L85" s="578"/>
      <c r="M85" s="578"/>
      <c r="N85" s="578"/>
      <c r="O85" s="578"/>
      <c r="P85" s="578"/>
      <c r="Q85" s="578"/>
      <c r="R85" s="578"/>
      <c r="S85" s="578"/>
      <c r="T85" s="578"/>
      <c r="U85" s="578"/>
      <c r="V85" s="578"/>
      <c r="W85" s="578"/>
      <c r="X85" s="578"/>
      <c r="Y85" s="578"/>
      <c r="Z85" s="578"/>
      <c r="AA85" s="578"/>
      <c r="AB85" s="578"/>
      <c r="AC85" s="578"/>
      <c r="AD85" s="578"/>
      <c r="AE85" s="578"/>
      <c r="AF85" s="578"/>
      <c r="AG85" s="578"/>
      <c r="AH85" s="578"/>
      <c r="AI85" s="578"/>
      <c r="AJ85" s="578"/>
      <c r="AK85" s="578"/>
      <c r="AL85" s="578"/>
      <c r="AM85" s="578"/>
      <c r="AN85" s="578"/>
      <c r="AO85" s="578"/>
      <c r="AP85" s="578"/>
      <c r="AQ85" s="578"/>
      <c r="AR85" s="816"/>
      <c r="AS85" s="578"/>
      <c r="AT85" s="578"/>
      <c r="AU85" s="578"/>
      <c r="AV85" s="578"/>
      <c r="AW85" s="578"/>
      <c r="AX85" s="578"/>
      <c r="AY85" s="818"/>
      <c r="AZ85" s="578"/>
      <c r="BA85" s="578"/>
      <c r="BB85" s="578"/>
      <c r="BC85" s="578"/>
      <c r="BD85" s="578"/>
      <c r="BE85" s="578"/>
      <c r="BF85" s="578"/>
      <c r="BG85" s="578"/>
      <c r="BH85" s="578"/>
      <c r="BI85" s="578"/>
      <c r="BJ85" s="578"/>
      <c r="BK85" s="578"/>
      <c r="BL85" s="578"/>
      <c r="BM85" s="578"/>
      <c r="BN85" s="578"/>
      <c r="BO85" s="578"/>
      <c r="BP85" s="578"/>
      <c r="BQ85" s="578"/>
      <c r="BR85" s="578"/>
      <c r="BS85" s="578"/>
      <c r="BT85" s="578"/>
      <c r="BU85" s="578"/>
      <c r="BV85" s="578"/>
      <c r="BW85" s="578"/>
    </row>
    <row r="86" spans="1:75" ht="14.25" customHeight="1" x14ac:dyDescent="0.3">
      <c r="A86" s="578"/>
      <c r="B86" s="815"/>
      <c r="C86" s="578"/>
      <c r="D86" s="578"/>
      <c r="E86" s="578"/>
      <c r="F86" s="578"/>
      <c r="G86" s="578"/>
      <c r="H86" s="578"/>
      <c r="I86" s="578"/>
      <c r="J86" s="578"/>
      <c r="K86" s="578"/>
      <c r="L86" s="578"/>
      <c r="M86" s="578"/>
      <c r="N86" s="578"/>
      <c r="O86" s="578"/>
      <c r="P86" s="578"/>
      <c r="Q86" s="578"/>
      <c r="R86" s="578"/>
      <c r="S86" s="578"/>
      <c r="T86" s="578"/>
      <c r="U86" s="578"/>
      <c r="V86" s="578"/>
      <c r="W86" s="578"/>
      <c r="X86" s="578"/>
      <c r="Y86" s="578"/>
      <c r="Z86" s="578"/>
      <c r="AA86" s="578"/>
      <c r="AB86" s="578"/>
      <c r="AC86" s="578"/>
      <c r="AD86" s="578"/>
      <c r="AE86" s="578"/>
      <c r="AF86" s="578"/>
      <c r="AG86" s="578"/>
      <c r="AH86" s="578"/>
      <c r="AI86" s="578"/>
      <c r="AJ86" s="578"/>
      <c r="AK86" s="578"/>
      <c r="AL86" s="578"/>
      <c r="AM86" s="578"/>
      <c r="AN86" s="578"/>
      <c r="AO86" s="578"/>
      <c r="AP86" s="578"/>
      <c r="AQ86" s="578"/>
      <c r="AR86" s="816"/>
      <c r="AS86" s="578"/>
      <c r="AT86" s="578"/>
      <c r="AU86" s="578"/>
      <c r="AV86" s="578"/>
      <c r="AW86" s="578"/>
      <c r="AX86" s="578"/>
      <c r="AY86" s="818"/>
      <c r="AZ86" s="578"/>
      <c r="BA86" s="578"/>
      <c r="BB86" s="578"/>
      <c r="BC86" s="578"/>
      <c r="BD86" s="578"/>
      <c r="BE86" s="578"/>
      <c r="BF86" s="578"/>
      <c r="BG86" s="578"/>
      <c r="BH86" s="578"/>
      <c r="BI86" s="578"/>
      <c r="BJ86" s="578"/>
      <c r="BK86" s="578"/>
      <c r="BL86" s="578"/>
      <c r="BM86" s="578"/>
      <c r="BN86" s="578"/>
      <c r="BO86" s="578"/>
      <c r="BP86" s="578"/>
      <c r="BQ86" s="578"/>
      <c r="BR86" s="578"/>
      <c r="BS86" s="578"/>
      <c r="BT86" s="578"/>
      <c r="BU86" s="578"/>
      <c r="BV86" s="578"/>
      <c r="BW86" s="578"/>
    </row>
    <row r="87" spans="1:75" ht="14.25" customHeight="1" x14ac:dyDescent="0.3">
      <c r="A87" s="578"/>
      <c r="B87" s="815"/>
      <c r="C87" s="578"/>
      <c r="D87" s="578"/>
      <c r="E87" s="578"/>
      <c r="F87" s="578"/>
      <c r="G87" s="578"/>
      <c r="H87" s="578"/>
      <c r="I87" s="578"/>
      <c r="J87" s="578"/>
      <c r="K87" s="578"/>
      <c r="L87" s="578"/>
      <c r="M87" s="578"/>
      <c r="N87" s="578"/>
      <c r="O87" s="578"/>
      <c r="P87" s="578"/>
      <c r="Q87" s="578"/>
      <c r="R87" s="578"/>
      <c r="S87" s="578"/>
      <c r="T87" s="578"/>
      <c r="U87" s="578"/>
      <c r="V87" s="578"/>
      <c r="W87" s="578"/>
      <c r="X87" s="578"/>
      <c r="Y87" s="578"/>
      <c r="Z87" s="578"/>
      <c r="AA87" s="578"/>
      <c r="AB87" s="578"/>
      <c r="AC87" s="578"/>
      <c r="AD87" s="578"/>
      <c r="AE87" s="578"/>
      <c r="AF87" s="578"/>
      <c r="AG87" s="578"/>
      <c r="AH87" s="578"/>
      <c r="AI87" s="578"/>
      <c r="AJ87" s="578"/>
      <c r="AK87" s="578"/>
      <c r="AL87" s="578"/>
      <c r="AM87" s="578"/>
      <c r="AN87" s="578"/>
      <c r="AO87" s="578"/>
      <c r="AP87" s="578"/>
      <c r="AQ87" s="578"/>
      <c r="AR87" s="816"/>
      <c r="AS87" s="578"/>
      <c r="AT87" s="578"/>
      <c r="AU87" s="578"/>
      <c r="AV87" s="578"/>
      <c r="AW87" s="578"/>
      <c r="AX87" s="578"/>
      <c r="AY87" s="818"/>
      <c r="AZ87" s="578"/>
      <c r="BA87" s="578"/>
      <c r="BB87" s="578"/>
      <c r="BC87" s="578"/>
      <c r="BD87" s="578"/>
      <c r="BE87" s="578"/>
      <c r="BF87" s="578"/>
      <c r="BG87" s="578"/>
      <c r="BH87" s="578"/>
      <c r="BI87" s="578"/>
      <c r="BJ87" s="578"/>
      <c r="BK87" s="578"/>
      <c r="BL87" s="578"/>
      <c r="BM87" s="578"/>
      <c r="BN87" s="578"/>
      <c r="BO87" s="578"/>
      <c r="BP87" s="578"/>
      <c r="BQ87" s="578"/>
      <c r="BR87" s="578"/>
      <c r="BS87" s="578"/>
      <c r="BT87" s="578"/>
      <c r="BU87" s="578"/>
      <c r="BV87" s="578"/>
      <c r="BW87" s="578"/>
    </row>
    <row r="88" spans="1:75" ht="14.25" customHeight="1" x14ac:dyDescent="0.3">
      <c r="A88" s="578"/>
      <c r="B88" s="815"/>
      <c r="C88" s="578"/>
      <c r="D88" s="578"/>
      <c r="E88" s="578"/>
      <c r="F88" s="578"/>
      <c r="G88" s="578"/>
      <c r="H88" s="578"/>
      <c r="I88" s="578"/>
      <c r="J88" s="578"/>
      <c r="K88" s="578"/>
      <c r="L88" s="578"/>
      <c r="M88" s="578"/>
      <c r="N88" s="578"/>
      <c r="O88" s="578"/>
      <c r="P88" s="578"/>
      <c r="Q88" s="578"/>
      <c r="R88" s="578"/>
      <c r="S88" s="578"/>
      <c r="T88" s="578"/>
      <c r="U88" s="578"/>
      <c r="V88" s="578"/>
      <c r="W88" s="578"/>
      <c r="X88" s="578"/>
      <c r="Y88" s="578"/>
      <c r="Z88" s="578"/>
      <c r="AA88" s="578"/>
      <c r="AB88" s="578"/>
      <c r="AC88" s="578"/>
      <c r="AD88" s="578"/>
      <c r="AE88" s="578"/>
      <c r="AF88" s="578"/>
      <c r="AG88" s="578"/>
      <c r="AH88" s="578"/>
      <c r="AI88" s="578"/>
      <c r="AJ88" s="578"/>
      <c r="AK88" s="578"/>
      <c r="AL88" s="578"/>
      <c r="AM88" s="578"/>
      <c r="AN88" s="578"/>
      <c r="AO88" s="578"/>
      <c r="AP88" s="578"/>
      <c r="AQ88" s="578"/>
      <c r="AR88" s="816"/>
      <c r="AS88" s="578"/>
      <c r="AT88" s="578"/>
      <c r="AU88" s="578"/>
      <c r="AV88" s="578"/>
      <c r="AW88" s="578"/>
      <c r="AX88" s="578"/>
      <c r="AY88" s="818"/>
      <c r="AZ88" s="578"/>
      <c r="BA88" s="578"/>
      <c r="BB88" s="578"/>
      <c r="BC88" s="578"/>
      <c r="BD88" s="578"/>
      <c r="BE88" s="578"/>
      <c r="BF88" s="578"/>
      <c r="BG88" s="578"/>
      <c r="BH88" s="578"/>
      <c r="BI88" s="578"/>
      <c r="BJ88" s="578"/>
      <c r="BK88" s="578"/>
      <c r="BL88" s="578"/>
      <c r="BM88" s="578"/>
      <c r="BN88" s="578"/>
      <c r="BO88" s="578"/>
      <c r="BP88" s="578"/>
      <c r="BQ88" s="578"/>
      <c r="BR88" s="578"/>
      <c r="BS88" s="578"/>
      <c r="BT88" s="578"/>
      <c r="BU88" s="578"/>
      <c r="BV88" s="578"/>
      <c r="BW88" s="578"/>
    </row>
    <row r="89" spans="1:75" ht="14.25" customHeight="1" x14ac:dyDescent="0.3">
      <c r="A89" s="578"/>
      <c r="B89" s="815"/>
      <c r="C89" s="578"/>
      <c r="D89" s="578"/>
      <c r="E89" s="578"/>
      <c r="F89" s="578"/>
      <c r="G89" s="578"/>
      <c r="H89" s="578"/>
      <c r="I89" s="578"/>
      <c r="J89" s="578"/>
      <c r="K89" s="578"/>
      <c r="L89" s="578"/>
      <c r="M89" s="578"/>
      <c r="N89" s="578"/>
      <c r="O89" s="578"/>
      <c r="P89" s="578"/>
      <c r="Q89" s="578"/>
      <c r="R89" s="578"/>
      <c r="S89" s="578"/>
      <c r="T89" s="578"/>
      <c r="U89" s="578"/>
      <c r="V89" s="578"/>
      <c r="W89" s="578"/>
      <c r="X89" s="578"/>
      <c r="Y89" s="578"/>
      <c r="Z89" s="578"/>
      <c r="AA89" s="578"/>
      <c r="AB89" s="578"/>
      <c r="AC89" s="578"/>
      <c r="AD89" s="578"/>
      <c r="AE89" s="578"/>
      <c r="AF89" s="578"/>
      <c r="AG89" s="578"/>
      <c r="AH89" s="578"/>
      <c r="AI89" s="578"/>
      <c r="AJ89" s="578"/>
      <c r="AK89" s="578"/>
      <c r="AL89" s="578"/>
      <c r="AM89" s="578"/>
      <c r="AN89" s="578"/>
      <c r="AO89" s="578"/>
      <c r="AP89" s="578"/>
      <c r="AQ89" s="578"/>
      <c r="AR89" s="816"/>
      <c r="AS89" s="578"/>
      <c r="AT89" s="578"/>
      <c r="AU89" s="578"/>
      <c r="AV89" s="578"/>
      <c r="AW89" s="578"/>
      <c r="AX89" s="578"/>
      <c r="AY89" s="818"/>
      <c r="AZ89" s="578"/>
      <c r="BA89" s="578"/>
      <c r="BB89" s="578"/>
      <c r="BC89" s="578"/>
      <c r="BD89" s="578"/>
      <c r="BE89" s="578"/>
      <c r="BF89" s="578"/>
      <c r="BG89" s="578"/>
      <c r="BH89" s="578"/>
      <c r="BI89" s="578"/>
      <c r="BJ89" s="578"/>
      <c r="BK89" s="578"/>
      <c r="BL89" s="578"/>
      <c r="BM89" s="578"/>
      <c r="BN89" s="578"/>
      <c r="BO89" s="578"/>
      <c r="BP89" s="578"/>
      <c r="BQ89" s="578"/>
      <c r="BR89" s="578"/>
      <c r="BS89" s="578"/>
      <c r="BT89" s="578"/>
      <c r="BU89" s="578"/>
      <c r="BV89" s="578"/>
      <c r="BW89" s="578"/>
    </row>
    <row r="90" spans="1:75" ht="14.25" customHeight="1" x14ac:dyDescent="0.3">
      <c r="A90" s="578"/>
      <c r="B90" s="815"/>
      <c r="C90" s="578"/>
      <c r="D90" s="578"/>
      <c r="E90" s="578"/>
      <c r="F90" s="578"/>
      <c r="G90" s="578"/>
      <c r="H90" s="578"/>
      <c r="I90" s="578"/>
      <c r="J90" s="578"/>
      <c r="K90" s="578"/>
      <c r="L90" s="578"/>
      <c r="M90" s="578"/>
      <c r="N90" s="578"/>
      <c r="O90" s="578"/>
      <c r="P90" s="578"/>
      <c r="Q90" s="578"/>
      <c r="R90" s="578"/>
      <c r="S90" s="578"/>
      <c r="T90" s="578"/>
      <c r="U90" s="578"/>
      <c r="V90" s="578"/>
      <c r="W90" s="578"/>
      <c r="X90" s="578"/>
      <c r="Y90" s="578"/>
      <c r="Z90" s="578"/>
      <c r="AA90" s="578"/>
      <c r="AB90" s="578"/>
      <c r="AC90" s="578"/>
      <c r="AD90" s="578"/>
      <c r="AE90" s="578"/>
      <c r="AF90" s="578"/>
      <c r="AG90" s="578"/>
      <c r="AH90" s="578"/>
      <c r="AI90" s="578"/>
      <c r="AJ90" s="578"/>
      <c r="AK90" s="578"/>
      <c r="AL90" s="578"/>
      <c r="AM90" s="578"/>
      <c r="AN90" s="578"/>
      <c r="AO90" s="578"/>
      <c r="AP90" s="578"/>
      <c r="AQ90" s="578"/>
      <c r="AR90" s="816"/>
      <c r="AS90" s="578"/>
      <c r="AT90" s="578"/>
      <c r="AU90" s="578"/>
      <c r="AV90" s="578"/>
      <c r="AW90" s="578"/>
      <c r="AX90" s="578"/>
      <c r="AY90" s="818"/>
      <c r="AZ90" s="578"/>
      <c r="BA90" s="578"/>
      <c r="BB90" s="578"/>
      <c r="BC90" s="578"/>
      <c r="BD90" s="578"/>
      <c r="BE90" s="578"/>
      <c r="BF90" s="578"/>
      <c r="BG90" s="578"/>
      <c r="BH90" s="578"/>
      <c r="BI90" s="578"/>
      <c r="BJ90" s="578"/>
      <c r="BK90" s="578"/>
      <c r="BL90" s="578"/>
      <c r="BM90" s="578"/>
      <c r="BN90" s="578"/>
      <c r="BO90" s="578"/>
      <c r="BP90" s="578"/>
      <c r="BQ90" s="578"/>
      <c r="BR90" s="578"/>
      <c r="BS90" s="578"/>
      <c r="BT90" s="578"/>
      <c r="BU90" s="578"/>
      <c r="BV90" s="578"/>
      <c r="BW90" s="578"/>
    </row>
    <row r="91" spans="1:75" ht="14.25" customHeight="1" x14ac:dyDescent="0.3">
      <c r="A91" s="578"/>
      <c r="B91" s="815"/>
      <c r="C91" s="578"/>
      <c r="D91" s="578"/>
      <c r="E91" s="578"/>
      <c r="F91" s="578"/>
      <c r="G91" s="578"/>
      <c r="H91" s="578"/>
      <c r="I91" s="578"/>
      <c r="J91" s="578"/>
      <c r="K91" s="578"/>
      <c r="L91" s="578"/>
      <c r="M91" s="578"/>
      <c r="N91" s="578"/>
      <c r="O91" s="578"/>
      <c r="P91" s="578"/>
      <c r="Q91" s="578"/>
      <c r="R91" s="578"/>
      <c r="S91" s="578"/>
      <c r="T91" s="578"/>
      <c r="U91" s="578"/>
      <c r="V91" s="578"/>
      <c r="W91" s="578"/>
      <c r="X91" s="578"/>
      <c r="Y91" s="578"/>
      <c r="Z91" s="578"/>
      <c r="AA91" s="578"/>
      <c r="AB91" s="578"/>
      <c r="AC91" s="578"/>
      <c r="AD91" s="578"/>
      <c r="AE91" s="578"/>
      <c r="AF91" s="578"/>
      <c r="AG91" s="578"/>
      <c r="AH91" s="578"/>
      <c r="AI91" s="578"/>
      <c r="AJ91" s="578"/>
      <c r="AK91" s="578"/>
      <c r="AL91" s="578"/>
      <c r="AM91" s="578"/>
      <c r="AN91" s="578"/>
      <c r="AO91" s="578"/>
      <c r="AP91" s="578"/>
      <c r="AQ91" s="578"/>
      <c r="AR91" s="816"/>
      <c r="AS91" s="578"/>
      <c r="AT91" s="578"/>
      <c r="AU91" s="578"/>
      <c r="AV91" s="578"/>
      <c r="AW91" s="578"/>
      <c r="AX91" s="578"/>
      <c r="AY91" s="818"/>
      <c r="AZ91" s="578"/>
      <c r="BA91" s="578"/>
      <c r="BB91" s="578"/>
      <c r="BC91" s="578"/>
      <c r="BD91" s="578"/>
      <c r="BE91" s="578"/>
      <c r="BF91" s="578"/>
      <c r="BG91" s="578"/>
      <c r="BH91" s="578"/>
      <c r="BI91" s="578"/>
      <c r="BJ91" s="578"/>
      <c r="BK91" s="578"/>
      <c r="BL91" s="578"/>
      <c r="BM91" s="578"/>
      <c r="BN91" s="578"/>
      <c r="BO91" s="578"/>
      <c r="BP91" s="578"/>
      <c r="BQ91" s="578"/>
      <c r="BR91" s="578"/>
      <c r="BS91" s="578"/>
      <c r="BT91" s="578"/>
      <c r="BU91" s="578"/>
      <c r="BV91" s="578"/>
      <c r="BW91" s="578"/>
    </row>
    <row r="92" spans="1:75" ht="14.25" customHeight="1" x14ac:dyDescent="0.3">
      <c r="A92" s="578"/>
      <c r="B92" s="815"/>
      <c r="C92" s="578"/>
      <c r="D92" s="578"/>
      <c r="E92" s="578"/>
      <c r="F92" s="578"/>
      <c r="G92" s="578"/>
      <c r="H92" s="578"/>
      <c r="I92" s="578"/>
      <c r="J92" s="578"/>
      <c r="K92" s="578"/>
      <c r="L92" s="578"/>
      <c r="M92" s="578"/>
      <c r="N92" s="578"/>
      <c r="O92" s="578"/>
      <c r="P92" s="578"/>
      <c r="Q92" s="578"/>
      <c r="R92" s="578"/>
      <c r="S92" s="578"/>
      <c r="T92" s="578"/>
      <c r="U92" s="578"/>
      <c r="V92" s="578"/>
      <c r="W92" s="578"/>
      <c r="X92" s="578"/>
      <c r="Y92" s="578"/>
      <c r="Z92" s="578"/>
      <c r="AA92" s="578"/>
      <c r="AB92" s="578"/>
      <c r="AC92" s="578"/>
      <c r="AD92" s="578"/>
      <c r="AE92" s="578"/>
      <c r="AF92" s="578"/>
      <c r="AG92" s="578"/>
      <c r="AH92" s="578"/>
      <c r="AI92" s="578"/>
      <c r="AJ92" s="578"/>
      <c r="AK92" s="578"/>
      <c r="AL92" s="578"/>
      <c r="AM92" s="578"/>
      <c r="AN92" s="578"/>
      <c r="AO92" s="578"/>
      <c r="AP92" s="578"/>
      <c r="AQ92" s="578"/>
      <c r="AR92" s="816"/>
      <c r="AS92" s="578"/>
      <c r="AT92" s="578"/>
      <c r="AU92" s="578"/>
      <c r="AV92" s="578"/>
      <c r="AW92" s="578"/>
      <c r="AX92" s="578"/>
      <c r="AY92" s="818"/>
      <c r="AZ92" s="578"/>
      <c r="BA92" s="578"/>
      <c r="BB92" s="578"/>
      <c r="BC92" s="578"/>
      <c r="BD92" s="578"/>
      <c r="BE92" s="578"/>
      <c r="BF92" s="578"/>
      <c r="BG92" s="578"/>
      <c r="BH92" s="578"/>
      <c r="BI92" s="578"/>
      <c r="BJ92" s="578"/>
      <c r="BK92" s="578"/>
      <c r="BL92" s="578"/>
      <c r="BM92" s="578"/>
      <c r="BN92" s="578"/>
      <c r="BO92" s="578"/>
      <c r="BP92" s="578"/>
      <c r="BQ92" s="578"/>
      <c r="BR92" s="578"/>
      <c r="BS92" s="578"/>
      <c r="BT92" s="578"/>
      <c r="BU92" s="578"/>
      <c r="BV92" s="578"/>
      <c r="BW92" s="578"/>
    </row>
    <row r="93" spans="1:75" ht="14.25" customHeight="1" x14ac:dyDescent="0.3">
      <c r="A93" s="578"/>
      <c r="B93" s="815"/>
      <c r="C93" s="578"/>
      <c r="D93" s="578"/>
      <c r="E93" s="578"/>
      <c r="F93" s="578"/>
      <c r="G93" s="578"/>
      <c r="H93" s="578"/>
      <c r="I93" s="578"/>
      <c r="J93" s="578"/>
      <c r="K93" s="578"/>
      <c r="L93" s="578"/>
      <c r="M93" s="578"/>
      <c r="N93" s="578"/>
      <c r="O93" s="578"/>
      <c r="P93" s="578"/>
      <c r="Q93" s="578"/>
      <c r="R93" s="578"/>
      <c r="S93" s="578"/>
      <c r="T93" s="578"/>
      <c r="U93" s="578"/>
      <c r="V93" s="578"/>
      <c r="W93" s="578"/>
      <c r="X93" s="578"/>
      <c r="Y93" s="578"/>
      <c r="Z93" s="578"/>
      <c r="AA93" s="578"/>
      <c r="AB93" s="578"/>
      <c r="AC93" s="578"/>
      <c r="AD93" s="578"/>
      <c r="AE93" s="578"/>
      <c r="AF93" s="578"/>
      <c r="AG93" s="578"/>
      <c r="AH93" s="578"/>
      <c r="AI93" s="578"/>
      <c r="AJ93" s="578"/>
      <c r="AK93" s="578"/>
      <c r="AL93" s="578"/>
      <c r="AM93" s="578"/>
      <c r="AN93" s="578"/>
      <c r="AO93" s="578"/>
      <c r="AP93" s="578"/>
      <c r="AQ93" s="578"/>
      <c r="AR93" s="816"/>
      <c r="AS93" s="578"/>
      <c r="AT93" s="578"/>
      <c r="AU93" s="578"/>
      <c r="AV93" s="578"/>
      <c r="AW93" s="578"/>
      <c r="AX93" s="578"/>
      <c r="AY93" s="818"/>
      <c r="AZ93" s="578"/>
      <c r="BA93" s="578"/>
      <c r="BB93" s="578"/>
      <c r="BC93" s="578"/>
      <c r="BD93" s="578"/>
      <c r="BE93" s="578"/>
      <c r="BF93" s="578"/>
      <c r="BG93" s="578"/>
      <c r="BH93" s="578"/>
      <c r="BI93" s="578"/>
      <c r="BJ93" s="578"/>
      <c r="BK93" s="578"/>
      <c r="BL93" s="578"/>
      <c r="BM93" s="578"/>
      <c r="BN93" s="578"/>
      <c r="BO93" s="578"/>
      <c r="BP93" s="578"/>
      <c r="BQ93" s="578"/>
      <c r="BR93" s="578"/>
      <c r="BS93" s="578"/>
      <c r="BT93" s="578"/>
      <c r="BU93" s="578"/>
      <c r="BV93" s="578"/>
      <c r="BW93" s="578"/>
    </row>
    <row r="94" spans="1:75" ht="14.25" customHeight="1" x14ac:dyDescent="0.3">
      <c r="A94" s="578"/>
      <c r="B94" s="815"/>
      <c r="C94" s="578"/>
      <c r="D94" s="578"/>
      <c r="E94" s="578"/>
      <c r="F94" s="578"/>
      <c r="G94" s="578"/>
      <c r="H94" s="578"/>
      <c r="I94" s="578"/>
      <c r="J94" s="578"/>
      <c r="K94" s="578"/>
      <c r="L94" s="578"/>
      <c r="M94" s="578"/>
      <c r="N94" s="578"/>
      <c r="O94" s="578"/>
      <c r="P94" s="578"/>
      <c r="Q94" s="578"/>
      <c r="R94" s="578"/>
      <c r="S94" s="578"/>
      <c r="T94" s="578"/>
      <c r="U94" s="578"/>
      <c r="V94" s="578"/>
      <c r="W94" s="578"/>
      <c r="X94" s="578"/>
      <c r="Y94" s="578"/>
      <c r="Z94" s="578"/>
      <c r="AA94" s="578"/>
      <c r="AB94" s="578"/>
      <c r="AC94" s="578"/>
      <c r="AD94" s="578"/>
      <c r="AE94" s="578"/>
      <c r="AF94" s="578"/>
      <c r="AG94" s="578"/>
      <c r="AH94" s="578"/>
      <c r="AI94" s="578"/>
      <c r="AJ94" s="578"/>
      <c r="AK94" s="578"/>
      <c r="AL94" s="578"/>
      <c r="AM94" s="578"/>
      <c r="AN94" s="578"/>
      <c r="AO94" s="578"/>
      <c r="AP94" s="578"/>
      <c r="AQ94" s="578"/>
      <c r="AR94" s="816"/>
      <c r="AS94" s="578"/>
      <c r="AT94" s="578"/>
      <c r="AU94" s="578"/>
      <c r="AV94" s="578"/>
      <c r="AW94" s="578"/>
      <c r="AX94" s="578"/>
      <c r="AY94" s="818"/>
      <c r="AZ94" s="578"/>
      <c r="BA94" s="578"/>
      <c r="BB94" s="578"/>
      <c r="BC94" s="578"/>
      <c r="BD94" s="578"/>
      <c r="BE94" s="578"/>
      <c r="BF94" s="578"/>
      <c r="BG94" s="578"/>
      <c r="BH94" s="578"/>
      <c r="BI94" s="578"/>
      <c r="BJ94" s="578"/>
      <c r="BK94" s="578"/>
      <c r="BL94" s="578"/>
      <c r="BM94" s="578"/>
      <c r="BN94" s="578"/>
      <c r="BO94" s="578"/>
      <c r="BP94" s="578"/>
      <c r="BQ94" s="578"/>
      <c r="BR94" s="578"/>
      <c r="BS94" s="578"/>
      <c r="BT94" s="578"/>
      <c r="BU94" s="578"/>
      <c r="BV94" s="578"/>
      <c r="BW94" s="578"/>
    </row>
    <row r="95" spans="1:75" ht="14.25" customHeight="1" x14ac:dyDescent="0.3">
      <c r="A95" s="578"/>
      <c r="B95" s="815"/>
      <c r="C95" s="578"/>
      <c r="D95" s="578"/>
      <c r="E95" s="578"/>
      <c r="F95" s="578"/>
      <c r="G95" s="578"/>
      <c r="H95" s="578"/>
      <c r="I95" s="578"/>
      <c r="J95" s="578"/>
      <c r="K95" s="578"/>
      <c r="L95" s="578"/>
      <c r="M95" s="578"/>
      <c r="N95" s="578"/>
      <c r="O95" s="578"/>
      <c r="P95" s="578"/>
      <c r="Q95" s="578"/>
      <c r="R95" s="578"/>
      <c r="S95" s="578"/>
      <c r="T95" s="578"/>
      <c r="U95" s="578"/>
      <c r="V95" s="578"/>
      <c r="W95" s="578"/>
      <c r="X95" s="578"/>
      <c r="Y95" s="578"/>
      <c r="Z95" s="578"/>
      <c r="AA95" s="578"/>
      <c r="AB95" s="578"/>
      <c r="AC95" s="578"/>
      <c r="AD95" s="578"/>
      <c r="AE95" s="578"/>
      <c r="AF95" s="578"/>
      <c r="AG95" s="578"/>
      <c r="AH95" s="578"/>
      <c r="AI95" s="578"/>
      <c r="AJ95" s="578"/>
      <c r="AK95" s="578"/>
      <c r="AL95" s="578"/>
      <c r="AM95" s="578"/>
      <c r="AN95" s="578"/>
      <c r="AO95" s="578"/>
      <c r="AP95" s="578"/>
      <c r="AQ95" s="578"/>
      <c r="AR95" s="816"/>
      <c r="AS95" s="578"/>
      <c r="AT95" s="578"/>
      <c r="AU95" s="578"/>
      <c r="AV95" s="578"/>
      <c r="AW95" s="578"/>
      <c r="AX95" s="578"/>
      <c r="AY95" s="818"/>
      <c r="AZ95" s="578"/>
      <c r="BA95" s="578"/>
      <c r="BB95" s="578"/>
      <c r="BC95" s="578"/>
      <c r="BD95" s="578"/>
      <c r="BE95" s="578"/>
      <c r="BF95" s="578"/>
      <c r="BG95" s="578"/>
      <c r="BH95" s="578"/>
      <c r="BI95" s="578"/>
      <c r="BJ95" s="578"/>
      <c r="BK95" s="578"/>
      <c r="BL95" s="578"/>
      <c r="BM95" s="578"/>
      <c r="BN95" s="578"/>
      <c r="BO95" s="578"/>
      <c r="BP95" s="578"/>
      <c r="BQ95" s="578"/>
      <c r="BR95" s="578"/>
      <c r="BS95" s="578"/>
      <c r="BT95" s="578"/>
      <c r="BU95" s="578"/>
      <c r="BV95" s="578"/>
      <c r="BW95" s="578"/>
    </row>
    <row r="96" spans="1:75" ht="14.25" customHeight="1" x14ac:dyDescent="0.3">
      <c r="A96" s="578"/>
      <c r="B96" s="815"/>
      <c r="C96" s="578"/>
      <c r="D96" s="578"/>
      <c r="E96" s="578"/>
      <c r="F96" s="578"/>
      <c r="G96" s="578"/>
      <c r="H96" s="578"/>
      <c r="I96" s="578"/>
      <c r="J96" s="578"/>
      <c r="K96" s="578"/>
      <c r="L96" s="578"/>
      <c r="M96" s="578"/>
      <c r="N96" s="578"/>
      <c r="O96" s="578"/>
      <c r="P96" s="578"/>
      <c r="Q96" s="578"/>
      <c r="R96" s="578"/>
      <c r="S96" s="578"/>
      <c r="T96" s="578"/>
      <c r="U96" s="578"/>
      <c r="V96" s="578"/>
      <c r="W96" s="578"/>
      <c r="X96" s="578"/>
      <c r="Y96" s="578"/>
      <c r="Z96" s="578"/>
      <c r="AA96" s="578"/>
      <c r="AB96" s="578"/>
      <c r="AC96" s="578"/>
      <c r="AD96" s="578"/>
      <c r="AE96" s="578"/>
      <c r="AF96" s="578"/>
      <c r="AG96" s="578"/>
      <c r="AH96" s="578"/>
      <c r="AI96" s="578"/>
      <c r="AJ96" s="578"/>
      <c r="AK96" s="578"/>
      <c r="AL96" s="578"/>
      <c r="AM96" s="578"/>
      <c r="AN96" s="578"/>
      <c r="AO96" s="578"/>
      <c r="AP96" s="578"/>
      <c r="AQ96" s="578"/>
      <c r="AR96" s="816"/>
      <c r="AS96" s="578"/>
      <c r="AT96" s="578"/>
      <c r="AU96" s="578"/>
      <c r="AV96" s="578"/>
      <c r="AW96" s="578"/>
      <c r="AX96" s="578"/>
      <c r="AY96" s="818"/>
      <c r="AZ96" s="578"/>
      <c r="BA96" s="578"/>
      <c r="BB96" s="578"/>
      <c r="BC96" s="578"/>
      <c r="BD96" s="578"/>
      <c r="BE96" s="578"/>
      <c r="BF96" s="578"/>
      <c r="BG96" s="578"/>
      <c r="BH96" s="578"/>
      <c r="BI96" s="578"/>
      <c r="BJ96" s="578"/>
      <c r="BK96" s="578"/>
      <c r="BL96" s="578"/>
      <c r="BM96" s="578"/>
      <c r="BN96" s="578"/>
      <c r="BO96" s="578"/>
      <c r="BP96" s="578"/>
      <c r="BQ96" s="578"/>
      <c r="BR96" s="578"/>
      <c r="BS96" s="578"/>
      <c r="BT96" s="578"/>
      <c r="BU96" s="578"/>
      <c r="BV96" s="578"/>
      <c r="BW96" s="578"/>
    </row>
    <row r="97" spans="1:75" ht="14.25" customHeight="1" x14ac:dyDescent="0.3">
      <c r="A97" s="578"/>
      <c r="B97" s="815"/>
      <c r="C97" s="578"/>
      <c r="D97" s="578"/>
      <c r="E97" s="578"/>
      <c r="F97" s="578"/>
      <c r="G97" s="578"/>
      <c r="H97" s="578"/>
      <c r="I97" s="578"/>
      <c r="J97" s="578"/>
      <c r="K97" s="578"/>
      <c r="L97" s="578"/>
      <c r="M97" s="578"/>
      <c r="N97" s="578"/>
      <c r="O97" s="578"/>
      <c r="P97" s="578"/>
      <c r="Q97" s="578"/>
      <c r="R97" s="578"/>
      <c r="S97" s="578"/>
      <c r="T97" s="578"/>
      <c r="U97" s="578"/>
      <c r="V97" s="578"/>
      <c r="W97" s="578"/>
      <c r="X97" s="578"/>
      <c r="Y97" s="578"/>
      <c r="Z97" s="578"/>
      <c r="AA97" s="578"/>
      <c r="AB97" s="578"/>
      <c r="AC97" s="578"/>
      <c r="AD97" s="578"/>
      <c r="AE97" s="578"/>
      <c r="AF97" s="578"/>
      <c r="AG97" s="578"/>
      <c r="AH97" s="578"/>
      <c r="AI97" s="578"/>
      <c r="AJ97" s="578"/>
      <c r="AK97" s="578"/>
      <c r="AL97" s="578"/>
      <c r="AM97" s="578"/>
      <c r="AN97" s="578"/>
      <c r="AO97" s="578"/>
      <c r="AP97" s="578"/>
      <c r="AQ97" s="578"/>
      <c r="AR97" s="816"/>
      <c r="AS97" s="578"/>
      <c r="AT97" s="578"/>
      <c r="AU97" s="578"/>
      <c r="AV97" s="578"/>
      <c r="AW97" s="578"/>
      <c r="AX97" s="578"/>
      <c r="AY97" s="818"/>
      <c r="AZ97" s="578"/>
      <c r="BA97" s="578"/>
      <c r="BB97" s="578"/>
      <c r="BC97" s="578"/>
      <c r="BD97" s="578"/>
      <c r="BE97" s="578"/>
      <c r="BF97" s="578"/>
      <c r="BG97" s="578"/>
      <c r="BH97" s="578"/>
      <c r="BI97" s="578"/>
      <c r="BJ97" s="578"/>
      <c r="BK97" s="578"/>
      <c r="BL97" s="578"/>
      <c r="BM97" s="578"/>
      <c r="BN97" s="578"/>
      <c r="BO97" s="578"/>
      <c r="BP97" s="578"/>
      <c r="BQ97" s="578"/>
      <c r="BR97" s="578"/>
      <c r="BS97" s="578"/>
      <c r="BT97" s="578"/>
      <c r="BU97" s="578"/>
      <c r="BV97" s="578"/>
      <c r="BW97" s="578"/>
    </row>
    <row r="98" spans="1:75" ht="14.25" customHeight="1" x14ac:dyDescent="0.3">
      <c r="A98" s="578"/>
      <c r="B98" s="815"/>
      <c r="C98" s="578"/>
      <c r="D98" s="578"/>
      <c r="E98" s="578"/>
      <c r="F98" s="578"/>
      <c r="G98" s="578"/>
      <c r="H98" s="578"/>
      <c r="I98" s="578"/>
      <c r="J98" s="578"/>
      <c r="K98" s="578"/>
      <c r="L98" s="578"/>
      <c r="M98" s="578"/>
      <c r="N98" s="578"/>
      <c r="O98" s="578"/>
      <c r="P98" s="578"/>
      <c r="Q98" s="578"/>
      <c r="R98" s="578"/>
      <c r="S98" s="578"/>
      <c r="T98" s="578"/>
      <c r="U98" s="578"/>
      <c r="V98" s="578"/>
      <c r="W98" s="578"/>
      <c r="X98" s="578"/>
      <c r="Y98" s="578"/>
      <c r="Z98" s="578"/>
      <c r="AA98" s="578"/>
      <c r="AB98" s="578"/>
      <c r="AC98" s="578"/>
      <c r="AD98" s="578"/>
      <c r="AE98" s="578"/>
      <c r="AF98" s="578"/>
      <c r="AG98" s="578"/>
      <c r="AH98" s="578"/>
      <c r="AI98" s="578"/>
      <c r="AJ98" s="578"/>
      <c r="AK98" s="578"/>
      <c r="AL98" s="578"/>
      <c r="AM98" s="578"/>
      <c r="AN98" s="578"/>
      <c r="AO98" s="578"/>
      <c r="AP98" s="578"/>
      <c r="AQ98" s="578"/>
      <c r="AR98" s="816"/>
      <c r="AS98" s="578"/>
      <c r="AT98" s="578"/>
      <c r="AU98" s="578"/>
      <c r="AV98" s="578"/>
      <c r="AW98" s="578"/>
      <c r="AX98" s="578"/>
      <c r="AY98" s="818"/>
      <c r="AZ98" s="578"/>
      <c r="BA98" s="578"/>
      <c r="BB98" s="578"/>
      <c r="BC98" s="578"/>
      <c r="BD98" s="578"/>
      <c r="BE98" s="578"/>
      <c r="BF98" s="578"/>
      <c r="BG98" s="578"/>
      <c r="BH98" s="578"/>
      <c r="BI98" s="578"/>
      <c r="BJ98" s="578"/>
      <c r="BK98" s="578"/>
      <c r="BL98" s="578"/>
      <c r="BM98" s="578"/>
      <c r="BN98" s="578"/>
      <c r="BO98" s="578"/>
      <c r="BP98" s="578"/>
      <c r="BQ98" s="578"/>
      <c r="BR98" s="578"/>
      <c r="BS98" s="578"/>
      <c r="BT98" s="578"/>
      <c r="BU98" s="578"/>
      <c r="BV98" s="578"/>
      <c r="BW98" s="578"/>
    </row>
    <row r="99" spans="1:75" ht="14.25" customHeight="1" x14ac:dyDescent="0.3">
      <c r="A99" s="578"/>
      <c r="B99" s="815"/>
      <c r="C99" s="578"/>
      <c r="D99" s="578"/>
      <c r="E99" s="578"/>
      <c r="F99" s="578"/>
      <c r="G99" s="578"/>
      <c r="H99" s="578"/>
      <c r="I99" s="578"/>
      <c r="J99" s="578"/>
      <c r="K99" s="578"/>
      <c r="L99" s="578"/>
      <c r="M99" s="578"/>
      <c r="N99" s="578"/>
      <c r="O99" s="578"/>
      <c r="P99" s="578"/>
      <c r="Q99" s="578"/>
      <c r="R99" s="578"/>
      <c r="S99" s="578"/>
      <c r="T99" s="578"/>
      <c r="U99" s="578"/>
      <c r="V99" s="578"/>
      <c r="W99" s="578"/>
      <c r="X99" s="578"/>
      <c r="Y99" s="578"/>
      <c r="Z99" s="578"/>
      <c r="AA99" s="578"/>
      <c r="AB99" s="578"/>
      <c r="AC99" s="578"/>
      <c r="AD99" s="578"/>
      <c r="AE99" s="578"/>
      <c r="AF99" s="578"/>
      <c r="AG99" s="578"/>
      <c r="AH99" s="578"/>
      <c r="AI99" s="578"/>
      <c r="AJ99" s="578"/>
      <c r="AK99" s="578"/>
      <c r="AL99" s="578"/>
      <c r="AM99" s="578"/>
      <c r="AN99" s="578"/>
      <c r="AO99" s="578"/>
      <c r="AP99" s="578"/>
      <c r="AQ99" s="578"/>
      <c r="AR99" s="816"/>
      <c r="AS99" s="578"/>
      <c r="AT99" s="578"/>
      <c r="AU99" s="578"/>
      <c r="AV99" s="578"/>
      <c r="AW99" s="578"/>
      <c r="AX99" s="578"/>
      <c r="AY99" s="818"/>
      <c r="AZ99" s="578"/>
      <c r="BA99" s="578"/>
      <c r="BB99" s="578"/>
      <c r="BC99" s="578"/>
      <c r="BD99" s="578"/>
      <c r="BE99" s="578"/>
      <c r="BF99" s="578"/>
      <c r="BG99" s="578"/>
      <c r="BH99" s="578"/>
      <c r="BI99" s="578"/>
      <c r="BJ99" s="578"/>
      <c r="BK99" s="578"/>
      <c r="BL99" s="578"/>
      <c r="BM99" s="578"/>
      <c r="BN99" s="578"/>
      <c r="BO99" s="578"/>
      <c r="BP99" s="578"/>
      <c r="BQ99" s="578"/>
      <c r="BR99" s="578"/>
      <c r="BS99" s="578"/>
      <c r="BT99" s="578"/>
      <c r="BU99" s="578"/>
      <c r="BV99" s="578"/>
      <c r="BW99" s="578"/>
    </row>
    <row r="100" spans="1:75" ht="14.25" customHeight="1" x14ac:dyDescent="0.3">
      <c r="A100" s="578"/>
      <c r="B100" s="815"/>
      <c r="C100" s="578"/>
      <c r="D100" s="578"/>
      <c r="E100" s="578"/>
      <c r="F100" s="578"/>
      <c r="G100" s="578"/>
      <c r="H100" s="578"/>
      <c r="I100" s="578"/>
      <c r="J100" s="578"/>
      <c r="K100" s="578"/>
      <c r="L100" s="578"/>
      <c r="M100" s="578"/>
      <c r="N100" s="578"/>
      <c r="O100" s="578"/>
      <c r="P100" s="578"/>
      <c r="Q100" s="578"/>
      <c r="R100" s="578"/>
      <c r="S100" s="578"/>
      <c r="T100" s="578"/>
      <c r="U100" s="578"/>
      <c r="V100" s="578"/>
      <c r="W100" s="578"/>
      <c r="X100" s="578"/>
      <c r="Y100" s="578"/>
      <c r="Z100" s="578"/>
      <c r="AA100" s="578"/>
      <c r="AB100" s="578"/>
      <c r="AC100" s="578"/>
      <c r="AD100" s="578"/>
      <c r="AE100" s="578"/>
      <c r="AF100" s="578"/>
      <c r="AG100" s="578"/>
      <c r="AH100" s="578"/>
      <c r="AI100" s="578"/>
      <c r="AJ100" s="578"/>
      <c r="AK100" s="578"/>
      <c r="AL100" s="578"/>
      <c r="AM100" s="578"/>
      <c r="AN100" s="578"/>
      <c r="AO100" s="578"/>
      <c r="AP100" s="578"/>
      <c r="AQ100" s="578"/>
      <c r="AR100" s="816"/>
      <c r="AS100" s="578"/>
      <c r="AT100" s="578"/>
      <c r="AU100" s="578"/>
      <c r="AV100" s="578"/>
      <c r="AW100" s="578"/>
      <c r="AX100" s="578"/>
      <c r="AY100" s="818"/>
      <c r="AZ100" s="578"/>
      <c r="BA100" s="578"/>
      <c r="BB100" s="578"/>
      <c r="BC100" s="578"/>
      <c r="BD100" s="578"/>
      <c r="BE100" s="578"/>
      <c r="BF100" s="578"/>
      <c r="BG100" s="578"/>
      <c r="BH100" s="578"/>
      <c r="BI100" s="578"/>
      <c r="BJ100" s="578"/>
      <c r="BK100" s="578"/>
      <c r="BL100" s="578"/>
      <c r="BM100" s="578"/>
      <c r="BN100" s="578"/>
      <c r="BO100" s="578"/>
      <c r="BP100" s="578"/>
      <c r="BQ100" s="578"/>
      <c r="BR100" s="578"/>
      <c r="BS100" s="578"/>
      <c r="BT100" s="578"/>
      <c r="BU100" s="578"/>
      <c r="BV100" s="578"/>
      <c r="BW100" s="578"/>
    </row>
    <row r="101" spans="1:75" ht="14.25" customHeight="1" x14ac:dyDescent="0.3">
      <c r="A101" s="578"/>
      <c r="B101" s="815"/>
      <c r="C101" s="578"/>
      <c r="D101" s="578"/>
      <c r="E101" s="578"/>
      <c r="F101" s="578"/>
      <c r="G101" s="578"/>
      <c r="H101" s="578"/>
      <c r="I101" s="578"/>
      <c r="J101" s="578"/>
      <c r="K101" s="578"/>
      <c r="L101" s="578"/>
      <c r="M101" s="578"/>
      <c r="N101" s="578"/>
      <c r="O101" s="578"/>
      <c r="P101" s="578"/>
      <c r="Q101" s="578"/>
      <c r="R101" s="578"/>
      <c r="S101" s="578"/>
      <c r="T101" s="578"/>
      <c r="U101" s="578"/>
      <c r="V101" s="578"/>
      <c r="W101" s="578"/>
      <c r="X101" s="578"/>
      <c r="Y101" s="578"/>
      <c r="Z101" s="578"/>
      <c r="AA101" s="578"/>
      <c r="AB101" s="578"/>
      <c r="AC101" s="578"/>
      <c r="AD101" s="578"/>
      <c r="AE101" s="578"/>
      <c r="AF101" s="578"/>
      <c r="AG101" s="578"/>
      <c r="AH101" s="578"/>
      <c r="AI101" s="578"/>
      <c r="AJ101" s="578"/>
      <c r="AK101" s="578"/>
      <c r="AL101" s="578"/>
      <c r="AM101" s="578"/>
      <c r="AN101" s="578"/>
      <c r="AO101" s="578"/>
      <c r="AP101" s="578"/>
      <c r="AQ101" s="578"/>
      <c r="AR101" s="816"/>
      <c r="AS101" s="578"/>
      <c r="AT101" s="578"/>
      <c r="AU101" s="578"/>
      <c r="AV101" s="578"/>
      <c r="AW101" s="578"/>
      <c r="AX101" s="578"/>
      <c r="AY101" s="818"/>
      <c r="AZ101" s="578"/>
      <c r="BA101" s="578"/>
      <c r="BB101" s="578"/>
      <c r="BC101" s="578"/>
      <c r="BD101" s="578"/>
      <c r="BE101" s="578"/>
      <c r="BF101" s="578"/>
      <c r="BG101" s="578"/>
      <c r="BH101" s="578"/>
      <c r="BI101" s="578"/>
      <c r="BJ101" s="578"/>
      <c r="BK101" s="578"/>
      <c r="BL101" s="578"/>
      <c r="BM101" s="578"/>
      <c r="BN101" s="578"/>
      <c r="BO101" s="578"/>
      <c r="BP101" s="578"/>
      <c r="BQ101" s="578"/>
      <c r="BR101" s="578"/>
      <c r="BS101" s="578"/>
      <c r="BT101" s="578"/>
      <c r="BU101" s="578"/>
      <c r="BV101" s="578"/>
      <c r="BW101" s="578"/>
    </row>
    <row r="102" spans="1:75" ht="14.25" customHeight="1" x14ac:dyDescent="0.3">
      <c r="A102" s="578"/>
      <c r="B102" s="815"/>
      <c r="C102" s="578"/>
      <c r="D102" s="578"/>
      <c r="E102" s="578"/>
      <c r="F102" s="578"/>
      <c r="G102" s="578"/>
      <c r="H102" s="578"/>
      <c r="I102" s="578"/>
      <c r="J102" s="578"/>
      <c r="K102" s="578"/>
      <c r="L102" s="578"/>
      <c r="M102" s="578"/>
      <c r="N102" s="578"/>
      <c r="O102" s="578"/>
      <c r="P102" s="578"/>
      <c r="Q102" s="578"/>
      <c r="R102" s="578"/>
      <c r="S102" s="578"/>
      <c r="T102" s="578"/>
      <c r="U102" s="578"/>
      <c r="V102" s="578"/>
      <c r="W102" s="578"/>
      <c r="X102" s="578"/>
      <c r="Y102" s="578"/>
      <c r="Z102" s="578"/>
      <c r="AA102" s="578"/>
      <c r="AB102" s="578"/>
      <c r="AC102" s="578"/>
      <c r="AD102" s="578"/>
      <c r="AE102" s="578"/>
      <c r="AF102" s="578"/>
      <c r="AG102" s="578"/>
      <c r="AH102" s="578"/>
      <c r="AI102" s="578"/>
      <c r="AJ102" s="578"/>
      <c r="AK102" s="578"/>
      <c r="AL102" s="578"/>
      <c r="AM102" s="578"/>
      <c r="AN102" s="578"/>
      <c r="AO102" s="578"/>
      <c r="AP102" s="578"/>
      <c r="AQ102" s="578"/>
      <c r="AR102" s="816"/>
      <c r="AS102" s="578"/>
      <c r="AT102" s="578"/>
      <c r="AU102" s="578"/>
      <c r="AV102" s="578"/>
      <c r="AW102" s="578"/>
      <c r="AX102" s="578"/>
      <c r="AY102" s="818"/>
      <c r="AZ102" s="578"/>
      <c r="BA102" s="578"/>
      <c r="BB102" s="578"/>
      <c r="BC102" s="578"/>
      <c r="BD102" s="578"/>
      <c r="BE102" s="578"/>
      <c r="BF102" s="578"/>
      <c r="BG102" s="578"/>
      <c r="BH102" s="578"/>
      <c r="BI102" s="578"/>
      <c r="BJ102" s="578"/>
      <c r="BK102" s="578"/>
      <c r="BL102" s="578"/>
      <c r="BM102" s="578"/>
      <c r="BN102" s="578"/>
      <c r="BO102" s="578"/>
      <c r="BP102" s="578"/>
      <c r="BQ102" s="578"/>
      <c r="BR102" s="578"/>
      <c r="BS102" s="578"/>
      <c r="BT102" s="578"/>
      <c r="BU102" s="578"/>
      <c r="BV102" s="578"/>
      <c r="BW102" s="578"/>
    </row>
    <row r="103" spans="1:75" ht="14.25" customHeight="1" x14ac:dyDescent="0.3">
      <c r="A103" s="578"/>
      <c r="B103" s="815"/>
      <c r="C103" s="578"/>
      <c r="D103" s="578"/>
      <c r="E103" s="578"/>
      <c r="F103" s="578"/>
      <c r="G103" s="578"/>
      <c r="H103" s="578"/>
      <c r="I103" s="578"/>
      <c r="J103" s="578"/>
      <c r="K103" s="578"/>
      <c r="L103" s="578"/>
      <c r="M103" s="578"/>
      <c r="N103" s="578"/>
      <c r="O103" s="578"/>
      <c r="P103" s="578"/>
      <c r="Q103" s="578"/>
      <c r="R103" s="578"/>
      <c r="S103" s="578"/>
      <c r="T103" s="578"/>
      <c r="U103" s="578"/>
      <c r="V103" s="578"/>
      <c r="W103" s="578"/>
      <c r="X103" s="578"/>
      <c r="Y103" s="578"/>
      <c r="Z103" s="578"/>
      <c r="AA103" s="578"/>
      <c r="AB103" s="578"/>
      <c r="AC103" s="578"/>
      <c r="AD103" s="578"/>
      <c r="AE103" s="578"/>
      <c r="AF103" s="578"/>
      <c r="AG103" s="578"/>
      <c r="AH103" s="578"/>
      <c r="AI103" s="578"/>
      <c r="AJ103" s="578"/>
      <c r="AK103" s="578"/>
      <c r="AL103" s="578"/>
      <c r="AM103" s="578"/>
      <c r="AN103" s="578"/>
      <c r="AO103" s="578"/>
      <c r="AP103" s="578"/>
      <c r="AQ103" s="578"/>
      <c r="AR103" s="816"/>
      <c r="AS103" s="578"/>
      <c r="AT103" s="578"/>
      <c r="AU103" s="578"/>
      <c r="AV103" s="578"/>
      <c r="AW103" s="578"/>
      <c r="AX103" s="578"/>
      <c r="AY103" s="818"/>
      <c r="AZ103" s="578"/>
      <c r="BA103" s="578"/>
      <c r="BB103" s="578"/>
      <c r="BC103" s="578"/>
      <c r="BD103" s="578"/>
      <c r="BE103" s="578"/>
      <c r="BF103" s="578"/>
      <c r="BG103" s="578"/>
      <c r="BH103" s="578"/>
      <c r="BI103" s="578"/>
      <c r="BJ103" s="578"/>
      <c r="BK103" s="578"/>
      <c r="BL103" s="578"/>
      <c r="BM103" s="578"/>
      <c r="BN103" s="578"/>
      <c r="BO103" s="578"/>
      <c r="BP103" s="578"/>
      <c r="BQ103" s="578"/>
      <c r="BR103" s="578"/>
      <c r="BS103" s="578"/>
      <c r="BT103" s="578"/>
      <c r="BU103" s="578"/>
      <c r="BV103" s="578"/>
      <c r="BW103" s="578"/>
    </row>
    <row r="104" spans="1:75" ht="14.25" customHeight="1" x14ac:dyDescent="0.3">
      <c r="A104" s="578"/>
      <c r="B104" s="815"/>
      <c r="C104" s="578"/>
      <c r="D104" s="578"/>
      <c r="E104" s="578"/>
      <c r="F104" s="578"/>
      <c r="G104" s="578"/>
      <c r="H104" s="578"/>
      <c r="I104" s="578"/>
      <c r="J104" s="578"/>
      <c r="K104" s="578"/>
      <c r="L104" s="578"/>
      <c r="M104" s="578"/>
      <c r="N104" s="578"/>
      <c r="O104" s="578"/>
      <c r="P104" s="578"/>
      <c r="Q104" s="578"/>
      <c r="R104" s="578"/>
      <c r="S104" s="578"/>
      <c r="T104" s="578"/>
      <c r="U104" s="578"/>
      <c r="V104" s="578"/>
      <c r="W104" s="578"/>
      <c r="X104" s="578"/>
      <c r="Y104" s="578"/>
      <c r="Z104" s="578"/>
      <c r="AA104" s="578"/>
      <c r="AB104" s="578"/>
      <c r="AC104" s="578"/>
      <c r="AD104" s="578"/>
      <c r="AE104" s="578"/>
      <c r="AF104" s="578"/>
      <c r="AG104" s="578"/>
      <c r="AH104" s="578"/>
      <c r="AI104" s="578"/>
      <c r="AJ104" s="578"/>
      <c r="AK104" s="578"/>
      <c r="AL104" s="578"/>
      <c r="AM104" s="578"/>
      <c r="AN104" s="578"/>
      <c r="AO104" s="578"/>
      <c r="AP104" s="578"/>
      <c r="AQ104" s="578"/>
      <c r="AR104" s="816"/>
      <c r="AS104" s="578"/>
      <c r="AT104" s="578"/>
      <c r="AU104" s="578"/>
      <c r="AV104" s="578"/>
      <c r="AW104" s="578"/>
      <c r="AX104" s="578"/>
      <c r="AY104" s="818"/>
      <c r="AZ104" s="578"/>
      <c r="BA104" s="578"/>
      <c r="BB104" s="578"/>
      <c r="BC104" s="578"/>
      <c r="BD104" s="578"/>
      <c r="BE104" s="578"/>
      <c r="BF104" s="578"/>
      <c r="BG104" s="578"/>
      <c r="BH104" s="578"/>
      <c r="BI104" s="578"/>
      <c r="BJ104" s="578"/>
      <c r="BK104" s="578"/>
      <c r="BL104" s="578"/>
      <c r="BM104" s="578"/>
      <c r="BN104" s="578"/>
      <c r="BO104" s="578"/>
      <c r="BP104" s="578"/>
      <c r="BQ104" s="578"/>
      <c r="BR104" s="578"/>
      <c r="BS104" s="578"/>
      <c r="BT104" s="578"/>
      <c r="BU104" s="578"/>
      <c r="BV104" s="578"/>
      <c r="BW104" s="578"/>
    </row>
    <row r="105" spans="1:75" ht="14.25" customHeight="1" x14ac:dyDescent="0.3">
      <c r="A105" s="578"/>
      <c r="B105" s="815"/>
      <c r="C105" s="578"/>
      <c r="D105" s="578"/>
      <c r="E105" s="578"/>
      <c r="F105" s="578"/>
      <c r="G105" s="578"/>
      <c r="H105" s="578"/>
      <c r="I105" s="578"/>
      <c r="J105" s="578"/>
      <c r="K105" s="578"/>
      <c r="L105" s="578"/>
      <c r="M105" s="578"/>
      <c r="N105" s="578"/>
      <c r="O105" s="578"/>
      <c r="P105" s="578"/>
      <c r="Q105" s="578"/>
      <c r="R105" s="578"/>
      <c r="S105" s="578"/>
      <c r="T105" s="578"/>
      <c r="U105" s="578"/>
      <c r="V105" s="578"/>
      <c r="W105" s="578"/>
      <c r="X105" s="578"/>
      <c r="Y105" s="578"/>
      <c r="Z105" s="578"/>
      <c r="AA105" s="578"/>
      <c r="AB105" s="578"/>
      <c r="AC105" s="578"/>
      <c r="AD105" s="578"/>
      <c r="AE105" s="578"/>
      <c r="AF105" s="578"/>
      <c r="AG105" s="578"/>
      <c r="AH105" s="578"/>
      <c r="AI105" s="578"/>
      <c r="AJ105" s="578"/>
      <c r="AK105" s="578"/>
      <c r="AL105" s="578"/>
      <c r="AM105" s="578"/>
      <c r="AN105" s="578"/>
      <c r="AO105" s="578"/>
      <c r="AP105" s="578"/>
      <c r="AQ105" s="578"/>
      <c r="AR105" s="816"/>
      <c r="AS105" s="578"/>
      <c r="AT105" s="578"/>
      <c r="AU105" s="578"/>
      <c r="AV105" s="578"/>
      <c r="AW105" s="578"/>
      <c r="AX105" s="578"/>
      <c r="AY105" s="818"/>
      <c r="AZ105" s="578"/>
      <c r="BA105" s="578"/>
      <c r="BB105" s="578"/>
      <c r="BC105" s="578"/>
      <c r="BD105" s="578"/>
      <c r="BE105" s="578"/>
      <c r="BF105" s="578"/>
      <c r="BG105" s="578"/>
      <c r="BH105" s="578"/>
      <c r="BI105" s="578"/>
      <c r="BJ105" s="578"/>
      <c r="BK105" s="578"/>
      <c r="BL105" s="578"/>
      <c r="BM105" s="578"/>
      <c r="BN105" s="578"/>
      <c r="BO105" s="578"/>
      <c r="BP105" s="578"/>
      <c r="BQ105" s="578"/>
      <c r="BR105" s="578"/>
      <c r="BS105" s="578"/>
      <c r="BT105" s="578"/>
      <c r="BU105" s="578"/>
      <c r="BV105" s="578"/>
      <c r="BW105" s="578"/>
    </row>
    <row r="106" spans="1:75" ht="14.25" customHeight="1" x14ac:dyDescent="0.3">
      <c r="A106" s="578"/>
      <c r="B106" s="815"/>
      <c r="C106" s="578"/>
      <c r="D106" s="578"/>
      <c r="E106" s="578"/>
      <c r="F106" s="578"/>
      <c r="G106" s="578"/>
      <c r="H106" s="578"/>
      <c r="I106" s="578"/>
      <c r="J106" s="578"/>
      <c r="K106" s="578"/>
      <c r="L106" s="578"/>
      <c r="M106" s="578"/>
      <c r="N106" s="578"/>
      <c r="O106" s="578"/>
      <c r="P106" s="578"/>
      <c r="Q106" s="578"/>
      <c r="R106" s="578"/>
      <c r="S106" s="578"/>
      <c r="T106" s="578"/>
      <c r="U106" s="578"/>
      <c r="V106" s="578"/>
      <c r="W106" s="578"/>
      <c r="X106" s="578"/>
      <c r="Y106" s="578"/>
      <c r="Z106" s="578"/>
      <c r="AA106" s="578"/>
      <c r="AB106" s="578"/>
      <c r="AC106" s="578"/>
      <c r="AD106" s="578"/>
      <c r="AE106" s="578"/>
      <c r="AF106" s="578"/>
      <c r="AG106" s="578"/>
      <c r="AH106" s="578"/>
      <c r="AI106" s="578"/>
      <c r="AJ106" s="578"/>
      <c r="AK106" s="578"/>
      <c r="AL106" s="578"/>
      <c r="AM106" s="578"/>
      <c r="AN106" s="578"/>
      <c r="AO106" s="578"/>
      <c r="AP106" s="578"/>
      <c r="AQ106" s="578"/>
      <c r="AR106" s="816"/>
      <c r="AS106" s="578"/>
      <c r="AT106" s="578"/>
      <c r="AU106" s="578"/>
      <c r="AV106" s="578"/>
      <c r="AW106" s="578"/>
      <c r="AX106" s="578"/>
      <c r="AY106" s="818"/>
      <c r="AZ106" s="578"/>
      <c r="BA106" s="578"/>
      <c r="BB106" s="578"/>
      <c r="BC106" s="578"/>
      <c r="BD106" s="578"/>
      <c r="BE106" s="578"/>
      <c r="BF106" s="578"/>
      <c r="BG106" s="578"/>
      <c r="BH106" s="578"/>
      <c r="BI106" s="578"/>
      <c r="BJ106" s="578"/>
      <c r="BK106" s="578"/>
      <c r="BL106" s="578"/>
      <c r="BM106" s="578"/>
      <c r="BN106" s="578"/>
      <c r="BO106" s="578"/>
      <c r="BP106" s="578"/>
      <c r="BQ106" s="578"/>
      <c r="BR106" s="578"/>
      <c r="BS106" s="578"/>
      <c r="BT106" s="578"/>
      <c r="BU106" s="578"/>
      <c r="BV106" s="578"/>
      <c r="BW106" s="578"/>
    </row>
    <row r="107" spans="1:75" ht="14.25" customHeight="1" x14ac:dyDescent="0.3">
      <c r="A107" s="578"/>
      <c r="B107" s="815"/>
      <c r="C107" s="578"/>
      <c r="D107" s="578"/>
      <c r="E107" s="578"/>
      <c r="F107" s="578"/>
      <c r="G107" s="578"/>
      <c r="H107" s="578"/>
      <c r="I107" s="578"/>
      <c r="J107" s="578"/>
      <c r="K107" s="578"/>
      <c r="L107" s="578"/>
      <c r="M107" s="578"/>
      <c r="N107" s="578"/>
      <c r="O107" s="578"/>
      <c r="P107" s="578"/>
      <c r="Q107" s="578"/>
      <c r="R107" s="578"/>
      <c r="S107" s="578"/>
      <c r="T107" s="578"/>
      <c r="U107" s="578"/>
      <c r="V107" s="578"/>
      <c r="W107" s="578"/>
      <c r="X107" s="578"/>
      <c r="Y107" s="578"/>
      <c r="Z107" s="578"/>
      <c r="AA107" s="578"/>
      <c r="AB107" s="578"/>
      <c r="AC107" s="578"/>
      <c r="AD107" s="578"/>
      <c r="AE107" s="578"/>
      <c r="AF107" s="578"/>
      <c r="AG107" s="578"/>
      <c r="AH107" s="578"/>
      <c r="AI107" s="578"/>
      <c r="AJ107" s="578"/>
      <c r="AK107" s="578"/>
      <c r="AL107" s="578"/>
      <c r="AM107" s="578"/>
      <c r="AN107" s="578"/>
      <c r="AO107" s="578"/>
      <c r="AP107" s="578"/>
      <c r="AQ107" s="578"/>
      <c r="AR107" s="816"/>
      <c r="AS107" s="578"/>
      <c r="AT107" s="578"/>
      <c r="AU107" s="578"/>
      <c r="AV107" s="578"/>
      <c r="AW107" s="578"/>
      <c r="AX107" s="578"/>
      <c r="AY107" s="818"/>
      <c r="AZ107" s="578"/>
      <c r="BA107" s="578"/>
      <c r="BB107" s="578"/>
      <c r="BC107" s="578"/>
      <c r="BD107" s="578"/>
      <c r="BE107" s="578"/>
      <c r="BF107" s="578"/>
      <c r="BG107" s="578"/>
      <c r="BH107" s="578"/>
      <c r="BI107" s="578"/>
      <c r="BJ107" s="578"/>
      <c r="BK107" s="578"/>
      <c r="BL107" s="578"/>
      <c r="BM107" s="578"/>
      <c r="BN107" s="578"/>
      <c r="BO107" s="578"/>
      <c r="BP107" s="578"/>
      <c r="BQ107" s="578"/>
      <c r="BR107" s="578"/>
      <c r="BS107" s="578"/>
      <c r="BT107" s="578"/>
      <c r="BU107" s="578"/>
      <c r="BV107" s="578"/>
      <c r="BW107" s="578"/>
    </row>
    <row r="108" spans="1:75" ht="14.25" customHeight="1" x14ac:dyDescent="0.3">
      <c r="A108" s="578"/>
      <c r="B108" s="815"/>
      <c r="C108" s="578"/>
      <c r="D108" s="578"/>
      <c r="E108" s="578"/>
      <c r="F108" s="578"/>
      <c r="G108" s="578"/>
      <c r="H108" s="578"/>
      <c r="I108" s="578"/>
      <c r="J108" s="578"/>
      <c r="K108" s="578"/>
      <c r="L108" s="578"/>
      <c r="M108" s="578"/>
      <c r="N108" s="578"/>
      <c r="O108" s="578"/>
      <c r="P108" s="578"/>
      <c r="Q108" s="578"/>
      <c r="R108" s="578"/>
      <c r="S108" s="578"/>
      <c r="T108" s="578"/>
      <c r="U108" s="578"/>
      <c r="V108" s="578"/>
      <c r="W108" s="578"/>
      <c r="X108" s="578"/>
      <c r="Y108" s="578"/>
      <c r="Z108" s="578"/>
      <c r="AA108" s="578"/>
      <c r="AB108" s="578"/>
      <c r="AC108" s="578"/>
      <c r="AD108" s="578"/>
      <c r="AE108" s="578"/>
      <c r="AF108" s="578"/>
      <c r="AG108" s="578"/>
      <c r="AH108" s="578"/>
      <c r="AI108" s="578"/>
      <c r="AJ108" s="578"/>
      <c r="AK108" s="578"/>
      <c r="AL108" s="578"/>
      <c r="AM108" s="578"/>
      <c r="AN108" s="578"/>
      <c r="AO108" s="578"/>
      <c r="AP108" s="578"/>
      <c r="AQ108" s="578"/>
      <c r="AR108" s="816"/>
      <c r="AS108" s="578"/>
      <c r="AT108" s="578"/>
      <c r="AU108" s="578"/>
      <c r="AV108" s="578"/>
      <c r="AW108" s="578"/>
      <c r="AX108" s="578"/>
      <c r="AY108" s="818"/>
      <c r="AZ108" s="578"/>
      <c r="BA108" s="578"/>
      <c r="BB108" s="578"/>
      <c r="BC108" s="578"/>
      <c r="BD108" s="578"/>
      <c r="BE108" s="578"/>
      <c r="BF108" s="578"/>
      <c r="BG108" s="578"/>
      <c r="BH108" s="578"/>
      <c r="BI108" s="578"/>
      <c r="BJ108" s="578"/>
      <c r="BK108" s="578"/>
      <c r="BL108" s="578"/>
      <c r="BM108" s="578"/>
      <c r="BN108" s="578"/>
      <c r="BO108" s="578"/>
      <c r="BP108" s="578"/>
      <c r="BQ108" s="578"/>
      <c r="BR108" s="578"/>
      <c r="BS108" s="578"/>
      <c r="BT108" s="578"/>
      <c r="BU108" s="578"/>
      <c r="BV108" s="578"/>
      <c r="BW108" s="578"/>
    </row>
    <row r="109" spans="1:75" ht="14.25" customHeight="1" x14ac:dyDescent="0.3">
      <c r="A109" s="578"/>
      <c r="B109" s="815"/>
      <c r="C109" s="578"/>
      <c r="D109" s="578"/>
      <c r="E109" s="578"/>
      <c r="F109" s="578"/>
      <c r="G109" s="578"/>
      <c r="H109" s="578"/>
      <c r="I109" s="578"/>
      <c r="J109" s="578"/>
      <c r="K109" s="578"/>
      <c r="L109" s="578"/>
      <c r="M109" s="578"/>
      <c r="N109" s="578"/>
      <c r="O109" s="578"/>
      <c r="P109" s="578"/>
      <c r="Q109" s="578"/>
      <c r="R109" s="578"/>
      <c r="S109" s="578"/>
      <c r="T109" s="578"/>
      <c r="U109" s="578"/>
      <c r="V109" s="578"/>
      <c r="W109" s="578"/>
      <c r="X109" s="578"/>
      <c r="Y109" s="578"/>
      <c r="Z109" s="578"/>
      <c r="AA109" s="578"/>
      <c r="AB109" s="578"/>
      <c r="AC109" s="578"/>
      <c r="AD109" s="578"/>
      <c r="AE109" s="578"/>
      <c r="AF109" s="578"/>
      <c r="AG109" s="578"/>
      <c r="AH109" s="578"/>
      <c r="AI109" s="578"/>
      <c r="AJ109" s="578"/>
      <c r="AK109" s="578"/>
      <c r="AL109" s="578"/>
      <c r="AM109" s="578"/>
      <c r="AN109" s="578"/>
      <c r="AO109" s="578"/>
      <c r="AP109" s="578"/>
      <c r="AQ109" s="578"/>
      <c r="AR109" s="816"/>
      <c r="AS109" s="578"/>
      <c r="AT109" s="578"/>
      <c r="AU109" s="578"/>
      <c r="AV109" s="578"/>
      <c r="AW109" s="578"/>
      <c r="AX109" s="578"/>
      <c r="AY109" s="818"/>
      <c r="AZ109" s="578"/>
      <c r="BA109" s="578"/>
      <c r="BB109" s="578"/>
      <c r="BC109" s="578"/>
      <c r="BD109" s="578"/>
      <c r="BE109" s="578"/>
      <c r="BF109" s="578"/>
      <c r="BG109" s="578"/>
      <c r="BH109" s="578"/>
      <c r="BI109" s="578"/>
      <c r="BJ109" s="578"/>
      <c r="BK109" s="578"/>
      <c r="BL109" s="578"/>
      <c r="BM109" s="578"/>
      <c r="BN109" s="578"/>
      <c r="BO109" s="578"/>
      <c r="BP109" s="578"/>
      <c r="BQ109" s="578"/>
      <c r="BR109" s="578"/>
      <c r="BS109" s="578"/>
      <c r="BT109" s="578"/>
      <c r="BU109" s="578"/>
      <c r="BV109" s="578"/>
      <c r="BW109" s="578"/>
    </row>
    <row r="110" spans="1:75" ht="14.25" customHeight="1" x14ac:dyDescent="0.3">
      <c r="A110" s="578"/>
      <c r="B110" s="815"/>
      <c r="C110" s="578"/>
      <c r="D110" s="578"/>
      <c r="E110" s="578"/>
      <c r="F110" s="578"/>
      <c r="G110" s="578"/>
      <c r="H110" s="578"/>
      <c r="I110" s="578"/>
      <c r="J110" s="578"/>
      <c r="K110" s="578"/>
      <c r="L110" s="578"/>
      <c r="M110" s="578"/>
      <c r="N110" s="578"/>
      <c r="O110" s="578"/>
      <c r="P110" s="578"/>
      <c r="Q110" s="578"/>
      <c r="R110" s="578"/>
      <c r="S110" s="578"/>
      <c r="T110" s="578"/>
      <c r="U110" s="578"/>
      <c r="V110" s="578"/>
      <c r="W110" s="578"/>
      <c r="X110" s="578"/>
      <c r="Y110" s="578"/>
      <c r="Z110" s="578"/>
      <c r="AA110" s="578"/>
      <c r="AB110" s="578"/>
      <c r="AC110" s="578"/>
      <c r="AD110" s="578"/>
      <c r="AE110" s="578"/>
      <c r="AF110" s="578"/>
      <c r="AG110" s="578"/>
      <c r="AH110" s="578"/>
      <c r="AI110" s="578"/>
      <c r="AJ110" s="578"/>
      <c r="AK110" s="578"/>
      <c r="AL110" s="578"/>
      <c r="AM110" s="578"/>
      <c r="AN110" s="578"/>
      <c r="AO110" s="578"/>
      <c r="AP110" s="578"/>
      <c r="AQ110" s="578"/>
      <c r="AR110" s="816"/>
      <c r="AS110" s="578"/>
      <c r="AT110" s="578"/>
      <c r="AU110" s="578"/>
      <c r="AV110" s="578"/>
      <c r="AW110" s="578"/>
      <c r="AX110" s="578"/>
      <c r="AY110" s="818"/>
      <c r="AZ110" s="578"/>
      <c r="BA110" s="578"/>
      <c r="BB110" s="578"/>
      <c r="BC110" s="578"/>
      <c r="BD110" s="578"/>
      <c r="BE110" s="578"/>
      <c r="BF110" s="578"/>
      <c r="BG110" s="578"/>
      <c r="BH110" s="578"/>
      <c r="BI110" s="578"/>
      <c r="BJ110" s="578"/>
      <c r="BK110" s="578"/>
      <c r="BL110" s="578"/>
      <c r="BM110" s="578"/>
      <c r="BN110" s="578"/>
      <c r="BO110" s="578"/>
      <c r="BP110" s="578"/>
      <c r="BQ110" s="578"/>
      <c r="BR110" s="578"/>
      <c r="BS110" s="578"/>
      <c r="BT110" s="578"/>
      <c r="BU110" s="578"/>
      <c r="BV110" s="578"/>
      <c r="BW110" s="578"/>
    </row>
    <row r="111" spans="1:75" ht="14.25" customHeight="1" x14ac:dyDescent="0.3">
      <c r="A111" s="578"/>
      <c r="B111" s="815"/>
      <c r="C111" s="578"/>
      <c r="D111" s="578"/>
      <c r="E111" s="578"/>
      <c r="F111" s="578"/>
      <c r="G111" s="578"/>
      <c r="H111" s="578"/>
      <c r="I111" s="578"/>
      <c r="J111" s="578"/>
      <c r="K111" s="578"/>
      <c r="L111" s="578"/>
      <c r="M111" s="578"/>
      <c r="N111" s="578"/>
      <c r="O111" s="578"/>
      <c r="P111" s="578"/>
      <c r="Q111" s="578"/>
      <c r="R111" s="578"/>
      <c r="S111" s="578"/>
      <c r="T111" s="578"/>
      <c r="U111" s="578"/>
      <c r="V111" s="578"/>
      <c r="W111" s="578"/>
      <c r="X111" s="578"/>
      <c r="Y111" s="578"/>
      <c r="Z111" s="578"/>
      <c r="AA111" s="578"/>
      <c r="AB111" s="578"/>
      <c r="AC111" s="578"/>
      <c r="AD111" s="578"/>
      <c r="AE111" s="578"/>
      <c r="AF111" s="578"/>
      <c r="AG111" s="578"/>
      <c r="AH111" s="578"/>
      <c r="AI111" s="578"/>
      <c r="AJ111" s="578"/>
      <c r="AK111" s="578"/>
      <c r="AL111" s="578"/>
      <c r="AM111" s="578"/>
      <c r="AN111" s="578"/>
      <c r="AO111" s="578"/>
      <c r="AP111" s="578"/>
      <c r="AQ111" s="578"/>
      <c r="AR111" s="816"/>
      <c r="AS111" s="578"/>
      <c r="AT111" s="578"/>
      <c r="AU111" s="578"/>
      <c r="AV111" s="578"/>
      <c r="AW111" s="578"/>
      <c r="AX111" s="578"/>
      <c r="AY111" s="818"/>
      <c r="AZ111" s="578"/>
      <c r="BA111" s="578"/>
      <c r="BB111" s="578"/>
      <c r="BC111" s="578"/>
      <c r="BD111" s="578"/>
      <c r="BE111" s="578"/>
      <c r="BF111" s="578"/>
      <c r="BG111" s="578"/>
      <c r="BH111" s="578"/>
      <c r="BI111" s="578"/>
      <c r="BJ111" s="578"/>
      <c r="BK111" s="578"/>
      <c r="BL111" s="578"/>
      <c r="BM111" s="578"/>
      <c r="BN111" s="578"/>
      <c r="BO111" s="578"/>
      <c r="BP111" s="578"/>
      <c r="BQ111" s="578"/>
      <c r="BR111" s="578"/>
      <c r="BS111" s="578"/>
      <c r="BT111" s="578"/>
      <c r="BU111" s="578"/>
      <c r="BV111" s="578"/>
      <c r="BW111" s="578"/>
    </row>
    <row r="112" spans="1:75" ht="14.25" customHeight="1" x14ac:dyDescent="0.3">
      <c r="A112" s="578"/>
      <c r="B112" s="815"/>
      <c r="C112" s="578"/>
      <c r="D112" s="578"/>
      <c r="E112" s="578"/>
      <c r="F112" s="578"/>
      <c r="G112" s="578"/>
      <c r="H112" s="578"/>
      <c r="I112" s="578"/>
      <c r="J112" s="578"/>
      <c r="K112" s="578"/>
      <c r="L112" s="578"/>
      <c r="M112" s="578"/>
      <c r="N112" s="578"/>
      <c r="O112" s="578"/>
      <c r="P112" s="578"/>
      <c r="Q112" s="578"/>
      <c r="R112" s="578"/>
      <c r="S112" s="578"/>
      <c r="T112" s="578"/>
      <c r="U112" s="578"/>
      <c r="V112" s="578"/>
      <c r="W112" s="578"/>
      <c r="X112" s="578"/>
      <c r="Y112" s="578"/>
      <c r="Z112" s="578"/>
      <c r="AA112" s="578"/>
      <c r="AB112" s="578"/>
      <c r="AC112" s="578"/>
      <c r="AD112" s="578"/>
      <c r="AE112" s="578"/>
      <c r="AF112" s="578"/>
      <c r="AG112" s="578"/>
      <c r="AH112" s="578"/>
      <c r="AI112" s="578"/>
      <c r="AJ112" s="578"/>
      <c r="AK112" s="578"/>
      <c r="AL112" s="578"/>
      <c r="AM112" s="578"/>
      <c r="AN112" s="578"/>
      <c r="AO112" s="578"/>
      <c r="AP112" s="578"/>
      <c r="AQ112" s="578"/>
      <c r="AR112" s="816"/>
      <c r="AS112" s="578"/>
      <c r="AT112" s="578"/>
      <c r="AU112" s="578"/>
      <c r="AV112" s="578"/>
      <c r="AW112" s="578"/>
      <c r="AX112" s="578"/>
      <c r="AY112" s="818"/>
      <c r="AZ112" s="578"/>
      <c r="BA112" s="578"/>
      <c r="BB112" s="578"/>
      <c r="BC112" s="578"/>
      <c r="BD112" s="578"/>
      <c r="BE112" s="578"/>
      <c r="BF112" s="578"/>
      <c r="BG112" s="578"/>
      <c r="BH112" s="578"/>
      <c r="BI112" s="578"/>
      <c r="BJ112" s="578"/>
      <c r="BK112" s="578"/>
      <c r="BL112" s="578"/>
      <c r="BM112" s="578"/>
      <c r="BN112" s="578"/>
      <c r="BO112" s="578"/>
      <c r="BP112" s="578"/>
      <c r="BQ112" s="578"/>
      <c r="BR112" s="578"/>
      <c r="BS112" s="578"/>
      <c r="BT112" s="578"/>
      <c r="BU112" s="578"/>
      <c r="BV112" s="578"/>
      <c r="BW112" s="578"/>
    </row>
    <row r="113" spans="1:75" ht="14.25" customHeight="1" x14ac:dyDescent="0.3">
      <c r="A113" s="578"/>
      <c r="B113" s="815"/>
      <c r="C113" s="578"/>
      <c r="D113" s="578"/>
      <c r="E113" s="578"/>
      <c r="F113" s="578"/>
      <c r="G113" s="578"/>
      <c r="H113" s="578"/>
      <c r="I113" s="578"/>
      <c r="J113" s="578"/>
      <c r="K113" s="578"/>
      <c r="L113" s="578"/>
      <c r="M113" s="578"/>
      <c r="N113" s="578"/>
      <c r="O113" s="578"/>
      <c r="P113" s="578"/>
      <c r="Q113" s="578"/>
      <c r="R113" s="578"/>
      <c r="S113" s="578"/>
      <c r="T113" s="578"/>
      <c r="U113" s="578"/>
      <c r="V113" s="578"/>
      <c r="W113" s="578"/>
      <c r="X113" s="578"/>
      <c r="Y113" s="578"/>
      <c r="Z113" s="578"/>
      <c r="AA113" s="578"/>
      <c r="AB113" s="578"/>
      <c r="AC113" s="578"/>
      <c r="AD113" s="578"/>
      <c r="AE113" s="578"/>
      <c r="AF113" s="578"/>
      <c r="AG113" s="578"/>
      <c r="AH113" s="578"/>
      <c r="AI113" s="578"/>
      <c r="AJ113" s="578"/>
      <c r="AK113" s="578"/>
      <c r="AL113" s="578"/>
      <c r="AM113" s="578"/>
      <c r="AN113" s="578"/>
      <c r="AO113" s="578"/>
      <c r="AP113" s="578"/>
      <c r="AQ113" s="578"/>
      <c r="AR113" s="816"/>
      <c r="AS113" s="578"/>
      <c r="AT113" s="578"/>
      <c r="AU113" s="578"/>
      <c r="AV113" s="578"/>
      <c r="AW113" s="578"/>
      <c r="AX113" s="578"/>
      <c r="AY113" s="818"/>
      <c r="AZ113" s="578"/>
      <c r="BA113" s="578"/>
      <c r="BB113" s="578"/>
      <c r="BC113" s="578"/>
      <c r="BD113" s="578"/>
      <c r="BE113" s="578"/>
      <c r="BF113" s="578"/>
      <c r="BG113" s="578"/>
      <c r="BH113" s="578"/>
      <c r="BI113" s="578"/>
      <c r="BJ113" s="578"/>
      <c r="BK113" s="578"/>
      <c r="BL113" s="578"/>
      <c r="BM113" s="578"/>
      <c r="BN113" s="578"/>
      <c r="BO113" s="578"/>
      <c r="BP113" s="578"/>
      <c r="BQ113" s="578"/>
      <c r="BR113" s="578"/>
      <c r="BS113" s="578"/>
      <c r="BT113" s="578"/>
      <c r="BU113" s="578"/>
      <c r="BV113" s="578"/>
      <c r="BW113" s="578"/>
    </row>
    <row r="114" spans="1:75" ht="14.25" customHeight="1" x14ac:dyDescent="0.3">
      <c r="A114" s="578"/>
      <c r="B114" s="815"/>
      <c r="C114" s="578"/>
      <c r="D114" s="578"/>
      <c r="E114" s="578"/>
      <c r="F114" s="578"/>
      <c r="G114" s="578"/>
      <c r="H114" s="578"/>
      <c r="I114" s="578"/>
      <c r="J114" s="578"/>
      <c r="K114" s="578"/>
      <c r="L114" s="578"/>
      <c r="M114" s="578"/>
      <c r="N114" s="578"/>
      <c r="O114" s="578"/>
      <c r="P114" s="578"/>
      <c r="Q114" s="578"/>
      <c r="R114" s="578"/>
      <c r="S114" s="578"/>
      <c r="T114" s="578"/>
      <c r="U114" s="578"/>
      <c r="V114" s="578"/>
      <c r="W114" s="578"/>
      <c r="X114" s="578"/>
      <c r="Y114" s="578"/>
      <c r="Z114" s="578"/>
      <c r="AA114" s="578"/>
      <c r="AB114" s="578"/>
      <c r="AC114" s="578"/>
      <c r="AD114" s="578"/>
      <c r="AE114" s="578"/>
      <c r="AF114" s="578"/>
      <c r="AG114" s="578"/>
      <c r="AH114" s="578"/>
      <c r="AI114" s="578"/>
      <c r="AJ114" s="578"/>
      <c r="AK114" s="578"/>
      <c r="AL114" s="578"/>
      <c r="AM114" s="578"/>
      <c r="AN114" s="578"/>
      <c r="AO114" s="578"/>
      <c r="AP114" s="578"/>
      <c r="AQ114" s="578"/>
      <c r="AR114" s="816"/>
      <c r="AS114" s="578"/>
      <c r="AT114" s="578"/>
      <c r="AU114" s="578"/>
      <c r="AV114" s="578"/>
      <c r="AW114" s="578"/>
      <c r="AX114" s="578"/>
      <c r="AY114" s="818"/>
      <c r="AZ114" s="578"/>
      <c r="BA114" s="578"/>
      <c r="BB114" s="578"/>
      <c r="BC114" s="578"/>
      <c r="BD114" s="578"/>
      <c r="BE114" s="578"/>
      <c r="BF114" s="578"/>
      <c r="BG114" s="578"/>
      <c r="BH114" s="578"/>
      <c r="BI114" s="578"/>
      <c r="BJ114" s="578"/>
      <c r="BK114" s="578"/>
      <c r="BL114" s="578"/>
      <c r="BM114" s="578"/>
      <c r="BN114" s="578"/>
      <c r="BO114" s="578"/>
      <c r="BP114" s="578"/>
      <c r="BQ114" s="578"/>
      <c r="BR114" s="578"/>
      <c r="BS114" s="578"/>
      <c r="BT114" s="578"/>
      <c r="BU114" s="578"/>
      <c r="BV114" s="578"/>
      <c r="BW114" s="578"/>
    </row>
    <row r="115" spans="1:75" ht="14.25" customHeight="1" x14ac:dyDescent="0.3">
      <c r="A115" s="578"/>
      <c r="B115" s="815"/>
      <c r="C115" s="578"/>
      <c r="D115" s="578"/>
      <c r="E115" s="578"/>
      <c r="F115" s="578"/>
      <c r="G115" s="578"/>
      <c r="H115" s="578"/>
      <c r="I115" s="578"/>
      <c r="J115" s="578"/>
      <c r="K115" s="578"/>
      <c r="L115" s="578"/>
      <c r="M115" s="578"/>
      <c r="N115" s="578"/>
      <c r="O115" s="578"/>
      <c r="P115" s="578"/>
      <c r="Q115" s="578"/>
      <c r="R115" s="578"/>
      <c r="S115" s="578"/>
      <c r="T115" s="578"/>
      <c r="U115" s="578"/>
      <c r="V115" s="578"/>
      <c r="W115" s="578"/>
      <c r="X115" s="578"/>
      <c r="Y115" s="578"/>
      <c r="Z115" s="578"/>
      <c r="AA115" s="578"/>
      <c r="AB115" s="578"/>
      <c r="AC115" s="578"/>
      <c r="AD115" s="578"/>
      <c r="AE115" s="578"/>
      <c r="AF115" s="578"/>
      <c r="AG115" s="578"/>
      <c r="AH115" s="578"/>
      <c r="AI115" s="578"/>
      <c r="AJ115" s="578"/>
      <c r="AK115" s="578"/>
      <c r="AL115" s="578"/>
      <c r="AM115" s="578"/>
      <c r="AN115" s="578"/>
      <c r="AO115" s="578"/>
      <c r="AP115" s="578"/>
      <c r="AQ115" s="578"/>
      <c r="AR115" s="816"/>
      <c r="AS115" s="578"/>
      <c r="AT115" s="578"/>
      <c r="AU115" s="578"/>
      <c r="AV115" s="578"/>
      <c r="AW115" s="578"/>
      <c r="AX115" s="578"/>
      <c r="AY115" s="818"/>
      <c r="AZ115" s="578"/>
      <c r="BA115" s="578"/>
      <c r="BB115" s="578"/>
      <c r="BC115" s="578"/>
      <c r="BD115" s="578"/>
      <c r="BE115" s="578"/>
      <c r="BF115" s="578"/>
      <c r="BG115" s="578"/>
      <c r="BH115" s="578"/>
      <c r="BI115" s="578"/>
      <c r="BJ115" s="578"/>
      <c r="BK115" s="578"/>
      <c r="BL115" s="578"/>
      <c r="BM115" s="578"/>
      <c r="BN115" s="578"/>
      <c r="BO115" s="578"/>
      <c r="BP115" s="578"/>
      <c r="BQ115" s="578"/>
      <c r="BR115" s="578"/>
      <c r="BS115" s="578"/>
      <c r="BT115" s="578"/>
      <c r="BU115" s="578"/>
      <c r="BV115" s="578"/>
      <c r="BW115" s="578"/>
    </row>
    <row r="116" spans="1:75" ht="14.25" customHeight="1" x14ac:dyDescent="0.3">
      <c r="A116" s="578"/>
      <c r="B116" s="815"/>
      <c r="C116" s="578"/>
      <c r="D116" s="578"/>
      <c r="E116" s="578"/>
      <c r="F116" s="578"/>
      <c r="G116" s="578"/>
      <c r="H116" s="578"/>
      <c r="I116" s="578"/>
      <c r="J116" s="578"/>
      <c r="K116" s="578"/>
      <c r="L116" s="578"/>
      <c r="M116" s="578"/>
      <c r="N116" s="578"/>
      <c r="O116" s="578"/>
      <c r="P116" s="578"/>
      <c r="Q116" s="578"/>
      <c r="R116" s="578"/>
      <c r="S116" s="578"/>
      <c r="T116" s="578"/>
      <c r="U116" s="578"/>
      <c r="V116" s="578"/>
      <c r="W116" s="578"/>
      <c r="X116" s="578"/>
      <c r="Y116" s="578"/>
      <c r="Z116" s="578"/>
      <c r="AA116" s="578"/>
      <c r="AB116" s="578"/>
      <c r="AC116" s="578"/>
      <c r="AD116" s="578"/>
      <c r="AE116" s="578"/>
      <c r="AF116" s="578"/>
      <c r="AG116" s="578"/>
      <c r="AH116" s="578"/>
      <c r="AI116" s="578"/>
      <c r="AJ116" s="578"/>
      <c r="AK116" s="578"/>
      <c r="AL116" s="578"/>
      <c r="AM116" s="578"/>
      <c r="AN116" s="578"/>
      <c r="AO116" s="578"/>
      <c r="AP116" s="578"/>
      <c r="AQ116" s="578"/>
      <c r="AR116" s="816"/>
      <c r="AS116" s="578"/>
      <c r="AT116" s="578"/>
      <c r="AU116" s="578"/>
      <c r="AV116" s="578"/>
      <c r="AW116" s="578"/>
      <c r="AX116" s="578"/>
      <c r="AY116" s="818"/>
      <c r="AZ116" s="578"/>
      <c r="BA116" s="578"/>
      <c r="BB116" s="578"/>
      <c r="BC116" s="578"/>
      <c r="BD116" s="578"/>
      <c r="BE116" s="578"/>
      <c r="BF116" s="578"/>
      <c r="BG116" s="578"/>
      <c r="BH116" s="578"/>
      <c r="BI116" s="578"/>
      <c r="BJ116" s="578"/>
      <c r="BK116" s="578"/>
      <c r="BL116" s="578"/>
      <c r="BM116" s="578"/>
      <c r="BN116" s="578"/>
      <c r="BO116" s="578"/>
      <c r="BP116" s="578"/>
      <c r="BQ116" s="578"/>
      <c r="BR116" s="578"/>
      <c r="BS116" s="578"/>
      <c r="BT116" s="578"/>
      <c r="BU116" s="578"/>
      <c r="BV116" s="578"/>
      <c r="BW116" s="578"/>
    </row>
    <row r="117" spans="1:75" ht="14.25" customHeight="1" x14ac:dyDescent="0.3">
      <c r="A117" s="578"/>
      <c r="B117" s="815"/>
      <c r="C117" s="578"/>
      <c r="D117" s="578"/>
      <c r="E117" s="578"/>
      <c r="F117" s="578"/>
      <c r="G117" s="578"/>
      <c r="H117" s="578"/>
      <c r="I117" s="578"/>
      <c r="J117" s="578"/>
      <c r="K117" s="578"/>
      <c r="L117" s="578"/>
      <c r="M117" s="578"/>
      <c r="N117" s="578"/>
      <c r="O117" s="578"/>
      <c r="P117" s="578"/>
      <c r="Q117" s="578"/>
      <c r="R117" s="578"/>
      <c r="S117" s="578"/>
      <c r="T117" s="578"/>
      <c r="U117" s="578"/>
      <c r="V117" s="578"/>
      <c r="W117" s="578"/>
      <c r="X117" s="578"/>
      <c r="Y117" s="578"/>
      <c r="Z117" s="578"/>
      <c r="AA117" s="578"/>
      <c r="AB117" s="578"/>
      <c r="AC117" s="578"/>
      <c r="AD117" s="578"/>
      <c r="AE117" s="578"/>
      <c r="AF117" s="578"/>
      <c r="AG117" s="578"/>
      <c r="AH117" s="578"/>
      <c r="AI117" s="578"/>
      <c r="AJ117" s="578"/>
      <c r="AK117" s="578"/>
      <c r="AL117" s="578"/>
      <c r="AM117" s="578"/>
      <c r="AN117" s="578"/>
      <c r="AO117" s="578"/>
      <c r="AP117" s="578"/>
      <c r="AQ117" s="578"/>
      <c r="AR117" s="816"/>
      <c r="AS117" s="578"/>
      <c r="AT117" s="578"/>
      <c r="AU117" s="578"/>
      <c r="AV117" s="578"/>
      <c r="AW117" s="578"/>
      <c r="AX117" s="578"/>
      <c r="AY117" s="818"/>
      <c r="AZ117" s="578"/>
      <c r="BA117" s="578"/>
      <c r="BB117" s="578"/>
      <c r="BC117" s="578"/>
      <c r="BD117" s="578"/>
      <c r="BE117" s="578"/>
      <c r="BF117" s="578"/>
      <c r="BG117" s="578"/>
      <c r="BH117" s="578"/>
      <c r="BI117" s="578"/>
      <c r="BJ117" s="578"/>
      <c r="BK117" s="578"/>
      <c r="BL117" s="578"/>
      <c r="BM117" s="578"/>
      <c r="BN117" s="578"/>
      <c r="BO117" s="578"/>
      <c r="BP117" s="578"/>
      <c r="BQ117" s="578"/>
      <c r="BR117" s="578"/>
      <c r="BS117" s="578"/>
      <c r="BT117" s="578"/>
      <c r="BU117" s="578"/>
      <c r="BV117" s="578"/>
      <c r="BW117" s="578"/>
    </row>
    <row r="118" spans="1:75" ht="14.25" customHeight="1" x14ac:dyDescent="0.3">
      <c r="A118" s="578"/>
      <c r="B118" s="815"/>
      <c r="C118" s="578"/>
      <c r="D118" s="578"/>
      <c r="E118" s="578"/>
      <c r="F118" s="578"/>
      <c r="G118" s="578"/>
      <c r="H118" s="578"/>
      <c r="I118" s="578"/>
      <c r="J118" s="578"/>
      <c r="K118" s="578"/>
      <c r="L118" s="578"/>
      <c r="M118" s="578"/>
      <c r="N118" s="578"/>
      <c r="O118" s="578"/>
      <c r="P118" s="578"/>
      <c r="Q118" s="578"/>
      <c r="R118" s="578"/>
      <c r="S118" s="578"/>
      <c r="T118" s="578"/>
      <c r="U118" s="578"/>
      <c r="V118" s="578"/>
      <c r="W118" s="578"/>
      <c r="X118" s="578"/>
      <c r="Y118" s="578"/>
      <c r="Z118" s="578"/>
      <c r="AA118" s="578"/>
      <c r="AB118" s="578"/>
      <c r="AC118" s="578"/>
      <c r="AD118" s="578"/>
      <c r="AE118" s="578"/>
      <c r="AF118" s="578"/>
      <c r="AG118" s="578"/>
      <c r="AH118" s="578"/>
      <c r="AI118" s="578"/>
      <c r="AJ118" s="578"/>
      <c r="AK118" s="578"/>
      <c r="AL118" s="578"/>
      <c r="AM118" s="578"/>
      <c r="AN118" s="578"/>
      <c r="AO118" s="578"/>
      <c r="AP118" s="578"/>
      <c r="AQ118" s="578"/>
      <c r="AR118" s="816"/>
      <c r="AS118" s="578"/>
      <c r="AT118" s="578"/>
      <c r="AU118" s="578"/>
      <c r="AV118" s="578"/>
      <c r="AW118" s="578"/>
      <c r="AX118" s="578"/>
      <c r="AY118" s="818"/>
      <c r="AZ118" s="578"/>
      <c r="BA118" s="578"/>
      <c r="BB118" s="578"/>
      <c r="BC118" s="578"/>
      <c r="BD118" s="578"/>
      <c r="BE118" s="578"/>
      <c r="BF118" s="578"/>
      <c r="BG118" s="578"/>
      <c r="BH118" s="578"/>
      <c r="BI118" s="578"/>
      <c r="BJ118" s="578"/>
      <c r="BK118" s="578"/>
      <c r="BL118" s="578"/>
      <c r="BM118" s="578"/>
      <c r="BN118" s="578"/>
      <c r="BO118" s="578"/>
      <c r="BP118" s="578"/>
      <c r="BQ118" s="578"/>
      <c r="BR118" s="578"/>
      <c r="BS118" s="578"/>
      <c r="BT118" s="578"/>
      <c r="BU118" s="578"/>
      <c r="BV118" s="578"/>
      <c r="BW118" s="578"/>
    </row>
    <row r="119" spans="1:75" ht="14.25" customHeight="1" x14ac:dyDescent="0.3">
      <c r="A119" s="578"/>
      <c r="B119" s="815"/>
      <c r="C119" s="578"/>
      <c r="D119" s="578"/>
      <c r="E119" s="578"/>
      <c r="F119" s="578"/>
      <c r="G119" s="578"/>
      <c r="H119" s="578"/>
      <c r="I119" s="578"/>
      <c r="J119" s="578"/>
      <c r="K119" s="578"/>
      <c r="L119" s="578"/>
      <c r="M119" s="578"/>
      <c r="N119" s="578"/>
      <c r="O119" s="578"/>
      <c r="P119" s="578"/>
      <c r="Q119" s="578"/>
      <c r="R119" s="578"/>
      <c r="S119" s="578"/>
      <c r="T119" s="578"/>
      <c r="U119" s="578"/>
      <c r="V119" s="578"/>
      <c r="W119" s="578"/>
      <c r="X119" s="578"/>
      <c r="Y119" s="578"/>
      <c r="Z119" s="578"/>
      <c r="AA119" s="578"/>
      <c r="AB119" s="578"/>
      <c r="AC119" s="578"/>
      <c r="AD119" s="578"/>
      <c r="AE119" s="578"/>
      <c r="AF119" s="578"/>
      <c r="AG119" s="578"/>
      <c r="AH119" s="578"/>
      <c r="AI119" s="578"/>
      <c r="AJ119" s="578"/>
      <c r="AK119" s="578"/>
      <c r="AL119" s="578"/>
      <c r="AM119" s="578"/>
      <c r="AN119" s="578"/>
      <c r="AO119" s="578"/>
      <c r="AP119" s="578"/>
      <c r="AQ119" s="578"/>
      <c r="AR119" s="816"/>
      <c r="AS119" s="578"/>
      <c r="AT119" s="578"/>
      <c r="AU119" s="578"/>
      <c r="AV119" s="578"/>
      <c r="AW119" s="578"/>
      <c r="AX119" s="578"/>
      <c r="AY119" s="818"/>
      <c r="AZ119" s="578"/>
      <c r="BA119" s="578"/>
      <c r="BB119" s="578"/>
      <c r="BC119" s="578"/>
      <c r="BD119" s="578"/>
      <c r="BE119" s="578"/>
      <c r="BF119" s="578"/>
      <c r="BG119" s="578"/>
      <c r="BH119" s="578"/>
      <c r="BI119" s="578"/>
      <c r="BJ119" s="578"/>
      <c r="BK119" s="578"/>
      <c r="BL119" s="578"/>
      <c r="BM119" s="578"/>
      <c r="BN119" s="578"/>
      <c r="BO119" s="578"/>
      <c r="BP119" s="578"/>
      <c r="BQ119" s="578"/>
      <c r="BR119" s="578"/>
      <c r="BS119" s="578"/>
      <c r="BT119" s="578"/>
      <c r="BU119" s="578"/>
      <c r="BV119" s="578"/>
      <c r="BW119" s="578"/>
    </row>
    <row r="120" spans="1:75" ht="14.25" customHeight="1" x14ac:dyDescent="0.3">
      <c r="A120" s="578"/>
      <c r="B120" s="815"/>
      <c r="C120" s="578"/>
      <c r="D120" s="578"/>
      <c r="E120" s="578"/>
      <c r="F120" s="578"/>
      <c r="G120" s="578"/>
      <c r="H120" s="578"/>
      <c r="I120" s="578"/>
      <c r="J120" s="578"/>
      <c r="K120" s="578"/>
      <c r="L120" s="578"/>
      <c r="M120" s="578"/>
      <c r="N120" s="578"/>
      <c r="O120" s="578"/>
      <c r="P120" s="578"/>
      <c r="Q120" s="578"/>
      <c r="R120" s="578"/>
      <c r="S120" s="578"/>
      <c r="T120" s="578"/>
      <c r="U120" s="578"/>
      <c r="V120" s="578"/>
      <c r="W120" s="578"/>
      <c r="X120" s="578"/>
      <c r="Y120" s="578"/>
      <c r="Z120" s="578"/>
      <c r="AA120" s="578"/>
      <c r="AB120" s="578"/>
      <c r="AC120" s="578"/>
      <c r="AD120" s="578"/>
      <c r="AE120" s="578"/>
      <c r="AF120" s="578"/>
      <c r="AG120" s="578"/>
      <c r="AH120" s="578"/>
      <c r="AI120" s="578"/>
      <c r="AJ120" s="578"/>
      <c r="AK120" s="578"/>
      <c r="AL120" s="578"/>
      <c r="AM120" s="578"/>
      <c r="AN120" s="578"/>
      <c r="AO120" s="578"/>
      <c r="AP120" s="578"/>
      <c r="AQ120" s="578"/>
      <c r="AR120" s="816"/>
      <c r="AS120" s="578"/>
      <c r="AT120" s="578"/>
      <c r="AU120" s="578"/>
      <c r="AV120" s="578"/>
      <c r="AW120" s="578"/>
      <c r="AX120" s="578"/>
      <c r="AY120" s="818"/>
      <c r="AZ120" s="578"/>
      <c r="BA120" s="578"/>
      <c r="BB120" s="578"/>
      <c r="BC120" s="578"/>
      <c r="BD120" s="578"/>
      <c r="BE120" s="578"/>
      <c r="BF120" s="578"/>
      <c r="BG120" s="578"/>
      <c r="BH120" s="578"/>
      <c r="BI120" s="578"/>
      <c r="BJ120" s="578"/>
      <c r="BK120" s="578"/>
      <c r="BL120" s="578"/>
      <c r="BM120" s="578"/>
      <c r="BN120" s="578"/>
      <c r="BO120" s="578"/>
      <c r="BP120" s="578"/>
      <c r="BQ120" s="578"/>
      <c r="BR120" s="578"/>
      <c r="BS120" s="578"/>
      <c r="BT120" s="578"/>
      <c r="BU120" s="578"/>
      <c r="BV120" s="578"/>
      <c r="BW120" s="578"/>
    </row>
    <row r="121" spans="1:75" ht="14.25" customHeight="1" x14ac:dyDescent="0.3">
      <c r="A121" s="578"/>
      <c r="B121" s="815"/>
      <c r="C121" s="578"/>
      <c r="D121" s="578"/>
      <c r="E121" s="578"/>
      <c r="F121" s="578"/>
      <c r="G121" s="578"/>
      <c r="H121" s="578"/>
      <c r="I121" s="578"/>
      <c r="J121" s="578"/>
      <c r="K121" s="578"/>
      <c r="L121" s="578"/>
      <c r="M121" s="578"/>
      <c r="N121" s="578"/>
      <c r="O121" s="578"/>
      <c r="P121" s="578"/>
      <c r="Q121" s="578"/>
      <c r="R121" s="578"/>
      <c r="S121" s="578"/>
      <c r="T121" s="578"/>
      <c r="U121" s="578"/>
      <c r="V121" s="578"/>
      <c r="W121" s="578"/>
      <c r="X121" s="578"/>
      <c r="Y121" s="578"/>
      <c r="Z121" s="578"/>
      <c r="AA121" s="578"/>
      <c r="AB121" s="578"/>
      <c r="AC121" s="578"/>
      <c r="AD121" s="578"/>
      <c r="AE121" s="578"/>
      <c r="AF121" s="578"/>
      <c r="AG121" s="578"/>
      <c r="AH121" s="578"/>
      <c r="AI121" s="578"/>
      <c r="AJ121" s="578"/>
      <c r="AK121" s="578"/>
      <c r="AL121" s="578"/>
      <c r="AM121" s="578"/>
      <c r="AN121" s="578"/>
      <c r="AO121" s="578"/>
      <c r="AP121" s="578"/>
      <c r="AQ121" s="578"/>
      <c r="AR121" s="816"/>
      <c r="AS121" s="578"/>
      <c r="AT121" s="578"/>
      <c r="AU121" s="578"/>
      <c r="AV121" s="578"/>
      <c r="AW121" s="578"/>
      <c r="AX121" s="578"/>
      <c r="AY121" s="818"/>
      <c r="AZ121" s="578"/>
      <c r="BA121" s="578"/>
      <c r="BB121" s="578"/>
      <c r="BC121" s="578"/>
      <c r="BD121" s="578"/>
      <c r="BE121" s="578"/>
      <c r="BF121" s="578"/>
      <c r="BG121" s="578"/>
      <c r="BH121" s="578"/>
      <c r="BI121" s="578"/>
      <c r="BJ121" s="578"/>
      <c r="BK121" s="578"/>
      <c r="BL121" s="578"/>
      <c r="BM121" s="578"/>
      <c r="BN121" s="578"/>
      <c r="BO121" s="578"/>
      <c r="BP121" s="578"/>
      <c r="BQ121" s="578"/>
      <c r="BR121" s="578"/>
      <c r="BS121" s="578"/>
      <c r="BT121" s="578"/>
      <c r="BU121" s="578"/>
      <c r="BV121" s="578"/>
      <c r="BW121" s="578"/>
    </row>
    <row r="122" spans="1:75" ht="14.25" customHeight="1" x14ac:dyDescent="0.3">
      <c r="A122" s="578"/>
      <c r="B122" s="815"/>
      <c r="C122" s="578"/>
      <c r="D122" s="578"/>
      <c r="E122" s="578"/>
      <c r="F122" s="578"/>
      <c r="G122" s="578"/>
      <c r="H122" s="578"/>
      <c r="I122" s="578"/>
      <c r="J122" s="578"/>
      <c r="K122" s="578"/>
      <c r="L122" s="578"/>
      <c r="M122" s="578"/>
      <c r="N122" s="578"/>
      <c r="O122" s="578"/>
      <c r="P122" s="578"/>
      <c r="Q122" s="578"/>
      <c r="R122" s="578"/>
      <c r="S122" s="578"/>
      <c r="T122" s="578"/>
      <c r="U122" s="578"/>
      <c r="V122" s="578"/>
      <c r="W122" s="578"/>
      <c r="X122" s="578"/>
      <c r="Y122" s="578"/>
      <c r="Z122" s="578"/>
      <c r="AA122" s="578"/>
      <c r="AB122" s="578"/>
      <c r="AC122" s="578"/>
      <c r="AD122" s="578"/>
      <c r="AE122" s="578"/>
      <c r="AF122" s="578"/>
      <c r="AG122" s="578"/>
      <c r="AH122" s="578"/>
      <c r="AI122" s="578"/>
      <c r="AJ122" s="578"/>
      <c r="AK122" s="578"/>
      <c r="AL122" s="578"/>
      <c r="AM122" s="578"/>
      <c r="AN122" s="578"/>
      <c r="AO122" s="578"/>
      <c r="AP122" s="578"/>
      <c r="AQ122" s="578"/>
      <c r="AR122" s="816"/>
      <c r="AS122" s="578"/>
      <c r="AT122" s="578"/>
      <c r="AU122" s="578"/>
      <c r="AV122" s="578"/>
      <c r="AW122" s="578"/>
      <c r="AX122" s="578"/>
      <c r="AY122" s="818"/>
      <c r="AZ122" s="578"/>
      <c r="BA122" s="578"/>
      <c r="BB122" s="578"/>
      <c r="BC122" s="578"/>
      <c r="BD122" s="578"/>
      <c r="BE122" s="578"/>
      <c r="BF122" s="578"/>
      <c r="BG122" s="578"/>
      <c r="BH122" s="578"/>
      <c r="BI122" s="578"/>
      <c r="BJ122" s="578"/>
      <c r="BK122" s="578"/>
      <c r="BL122" s="578"/>
      <c r="BM122" s="578"/>
      <c r="BN122" s="578"/>
      <c r="BO122" s="578"/>
      <c r="BP122" s="578"/>
      <c r="BQ122" s="578"/>
      <c r="BR122" s="578"/>
      <c r="BS122" s="578"/>
      <c r="BT122" s="578"/>
      <c r="BU122" s="578"/>
      <c r="BV122" s="578"/>
      <c r="BW122" s="578"/>
    </row>
    <row r="123" spans="1:75" ht="14.25" customHeight="1" x14ac:dyDescent="0.3">
      <c r="A123" s="578"/>
      <c r="B123" s="815"/>
      <c r="C123" s="578"/>
      <c r="D123" s="578"/>
      <c r="E123" s="578"/>
      <c r="F123" s="578"/>
      <c r="G123" s="578"/>
      <c r="H123" s="578"/>
      <c r="I123" s="578"/>
      <c r="J123" s="578"/>
      <c r="K123" s="578"/>
      <c r="L123" s="578"/>
      <c r="M123" s="578"/>
      <c r="N123" s="578"/>
      <c r="O123" s="578"/>
      <c r="P123" s="578"/>
      <c r="Q123" s="578"/>
      <c r="R123" s="578"/>
      <c r="S123" s="578"/>
      <c r="T123" s="578"/>
      <c r="U123" s="578"/>
      <c r="V123" s="578"/>
      <c r="W123" s="578"/>
      <c r="X123" s="578"/>
      <c r="Y123" s="578"/>
      <c r="Z123" s="578"/>
      <c r="AA123" s="578"/>
      <c r="AB123" s="578"/>
      <c r="AC123" s="578"/>
      <c r="AD123" s="578"/>
      <c r="AE123" s="578"/>
      <c r="AF123" s="578"/>
      <c r="AG123" s="578"/>
      <c r="AH123" s="578"/>
      <c r="AI123" s="578"/>
      <c r="AJ123" s="578"/>
      <c r="AK123" s="578"/>
      <c r="AL123" s="578"/>
      <c r="AM123" s="578"/>
      <c r="AN123" s="578"/>
      <c r="AO123" s="578"/>
      <c r="AP123" s="578"/>
      <c r="AQ123" s="578"/>
      <c r="AR123" s="816"/>
      <c r="AS123" s="578"/>
      <c r="AT123" s="578"/>
      <c r="AU123" s="578"/>
      <c r="AV123" s="578"/>
      <c r="AW123" s="578"/>
      <c r="AX123" s="578"/>
      <c r="AY123" s="818"/>
      <c r="AZ123" s="578"/>
      <c r="BA123" s="578"/>
      <c r="BB123" s="578"/>
      <c r="BC123" s="578"/>
      <c r="BD123" s="578"/>
      <c r="BE123" s="578"/>
      <c r="BF123" s="578"/>
      <c r="BG123" s="578"/>
      <c r="BH123" s="578"/>
      <c r="BI123" s="578"/>
      <c r="BJ123" s="578"/>
      <c r="BK123" s="578"/>
      <c r="BL123" s="578"/>
      <c r="BM123" s="578"/>
      <c r="BN123" s="578"/>
      <c r="BO123" s="578"/>
      <c r="BP123" s="578"/>
      <c r="BQ123" s="578"/>
      <c r="BR123" s="578"/>
      <c r="BS123" s="578"/>
      <c r="BT123" s="578"/>
      <c r="BU123" s="578"/>
      <c r="BV123" s="578"/>
      <c r="BW123" s="578"/>
    </row>
    <row r="124" spans="1:75" ht="14.25" customHeight="1" x14ac:dyDescent="0.3">
      <c r="A124" s="578"/>
      <c r="B124" s="815"/>
      <c r="C124" s="578"/>
      <c r="D124" s="578"/>
      <c r="E124" s="578"/>
      <c r="F124" s="578"/>
      <c r="G124" s="578"/>
      <c r="H124" s="578"/>
      <c r="I124" s="578"/>
      <c r="J124" s="578"/>
      <c r="K124" s="578"/>
      <c r="L124" s="578"/>
      <c r="M124" s="578"/>
      <c r="N124" s="578"/>
      <c r="O124" s="578"/>
      <c r="P124" s="578"/>
      <c r="Q124" s="578"/>
      <c r="R124" s="578"/>
      <c r="S124" s="578"/>
      <c r="T124" s="578"/>
      <c r="U124" s="578"/>
      <c r="V124" s="578"/>
      <c r="W124" s="578"/>
      <c r="X124" s="578"/>
      <c r="Y124" s="578"/>
      <c r="Z124" s="578"/>
      <c r="AA124" s="578"/>
      <c r="AB124" s="578"/>
      <c r="AC124" s="578"/>
      <c r="AD124" s="578"/>
      <c r="AE124" s="578"/>
      <c r="AF124" s="578"/>
      <c r="AG124" s="578"/>
      <c r="AH124" s="578"/>
      <c r="AI124" s="578"/>
      <c r="AJ124" s="578"/>
      <c r="AK124" s="578"/>
      <c r="AL124" s="578"/>
      <c r="AM124" s="578"/>
      <c r="AN124" s="578"/>
      <c r="AO124" s="578"/>
      <c r="AP124" s="578"/>
      <c r="AQ124" s="578"/>
      <c r="AR124" s="816"/>
      <c r="AS124" s="578"/>
      <c r="AT124" s="578"/>
      <c r="AU124" s="578"/>
      <c r="AV124" s="578"/>
      <c r="AW124" s="578"/>
      <c r="AX124" s="578"/>
      <c r="AY124" s="818"/>
      <c r="AZ124" s="578"/>
      <c r="BA124" s="578"/>
      <c r="BB124" s="578"/>
      <c r="BC124" s="578"/>
      <c r="BD124" s="578"/>
      <c r="BE124" s="578"/>
      <c r="BF124" s="578"/>
      <c r="BG124" s="578"/>
      <c r="BH124" s="578"/>
      <c r="BI124" s="578"/>
      <c r="BJ124" s="578"/>
      <c r="BK124" s="578"/>
      <c r="BL124" s="578"/>
      <c r="BM124" s="578"/>
      <c r="BN124" s="578"/>
      <c r="BO124" s="578"/>
      <c r="BP124" s="578"/>
      <c r="BQ124" s="578"/>
      <c r="BR124" s="578"/>
      <c r="BS124" s="578"/>
      <c r="BT124" s="578"/>
      <c r="BU124" s="578"/>
      <c r="BV124" s="578"/>
      <c r="BW124" s="578"/>
    </row>
    <row r="125" spans="1:75" ht="14.25" customHeight="1" x14ac:dyDescent="0.3">
      <c r="A125" s="578"/>
      <c r="B125" s="815"/>
      <c r="C125" s="578"/>
      <c r="D125" s="578"/>
      <c r="E125" s="578"/>
      <c r="F125" s="578"/>
      <c r="G125" s="578"/>
      <c r="H125" s="578"/>
      <c r="I125" s="578"/>
      <c r="J125" s="578"/>
      <c r="K125" s="578"/>
      <c r="L125" s="578"/>
      <c r="M125" s="578"/>
      <c r="N125" s="578"/>
      <c r="O125" s="578"/>
      <c r="P125" s="578"/>
      <c r="Q125" s="578"/>
      <c r="R125" s="578"/>
      <c r="S125" s="578"/>
      <c r="T125" s="578"/>
      <c r="U125" s="578"/>
      <c r="V125" s="578"/>
      <c r="W125" s="578"/>
      <c r="X125" s="578"/>
      <c r="Y125" s="578"/>
      <c r="Z125" s="578"/>
      <c r="AA125" s="578"/>
      <c r="AB125" s="578"/>
      <c r="AC125" s="578"/>
      <c r="AD125" s="578"/>
      <c r="AE125" s="578"/>
      <c r="AF125" s="578"/>
      <c r="AG125" s="578"/>
      <c r="AH125" s="578"/>
      <c r="AI125" s="578"/>
      <c r="AJ125" s="578"/>
      <c r="AK125" s="578"/>
      <c r="AL125" s="578"/>
      <c r="AM125" s="578"/>
      <c r="AN125" s="578"/>
      <c r="AO125" s="578"/>
      <c r="AP125" s="578"/>
      <c r="AQ125" s="578"/>
      <c r="AR125" s="816"/>
      <c r="AS125" s="578"/>
      <c r="AT125" s="578"/>
      <c r="AU125" s="578"/>
      <c r="AV125" s="578"/>
      <c r="AW125" s="578"/>
      <c r="AX125" s="578"/>
      <c r="AY125" s="818"/>
      <c r="AZ125" s="578"/>
      <c r="BA125" s="578"/>
      <c r="BB125" s="578"/>
      <c r="BC125" s="578"/>
      <c r="BD125" s="578"/>
      <c r="BE125" s="578"/>
      <c r="BF125" s="578"/>
      <c r="BG125" s="578"/>
      <c r="BH125" s="578"/>
      <c r="BI125" s="578"/>
      <c r="BJ125" s="578"/>
      <c r="BK125" s="578"/>
      <c r="BL125" s="578"/>
      <c r="BM125" s="578"/>
      <c r="BN125" s="578"/>
      <c r="BO125" s="578"/>
      <c r="BP125" s="578"/>
      <c r="BQ125" s="578"/>
      <c r="BR125" s="578"/>
      <c r="BS125" s="578"/>
      <c r="BT125" s="578"/>
      <c r="BU125" s="578"/>
      <c r="BV125" s="578"/>
      <c r="BW125" s="578"/>
    </row>
    <row r="126" spans="1:75" ht="14.25" customHeight="1" x14ac:dyDescent="0.3">
      <c r="A126" s="578"/>
      <c r="B126" s="815"/>
      <c r="C126" s="578"/>
      <c r="D126" s="578"/>
      <c r="E126" s="578"/>
      <c r="F126" s="578"/>
      <c r="G126" s="578"/>
      <c r="H126" s="578"/>
      <c r="I126" s="578"/>
      <c r="J126" s="578"/>
      <c r="K126" s="578"/>
      <c r="L126" s="578"/>
      <c r="M126" s="578"/>
      <c r="N126" s="578"/>
      <c r="O126" s="578"/>
      <c r="P126" s="578"/>
      <c r="Q126" s="578"/>
      <c r="R126" s="578"/>
      <c r="S126" s="578"/>
      <c r="T126" s="578"/>
      <c r="U126" s="578"/>
      <c r="V126" s="578"/>
      <c r="W126" s="578"/>
      <c r="X126" s="578"/>
      <c r="Y126" s="578"/>
      <c r="Z126" s="578"/>
      <c r="AA126" s="578"/>
      <c r="AB126" s="578"/>
      <c r="AC126" s="578"/>
      <c r="AD126" s="578"/>
      <c r="AE126" s="578"/>
      <c r="AF126" s="578"/>
      <c r="AG126" s="578"/>
      <c r="AH126" s="578"/>
      <c r="AI126" s="578"/>
      <c r="AJ126" s="578"/>
      <c r="AK126" s="578"/>
      <c r="AL126" s="578"/>
      <c r="AM126" s="578"/>
      <c r="AN126" s="578"/>
      <c r="AO126" s="578"/>
      <c r="AP126" s="578"/>
      <c r="AQ126" s="578"/>
      <c r="AR126" s="816"/>
      <c r="AS126" s="578"/>
      <c r="AT126" s="578"/>
      <c r="AU126" s="578"/>
      <c r="AV126" s="578"/>
      <c r="AW126" s="578"/>
      <c r="AX126" s="578"/>
      <c r="AY126" s="818"/>
      <c r="AZ126" s="578"/>
      <c r="BA126" s="578"/>
      <c r="BB126" s="578"/>
      <c r="BC126" s="578"/>
      <c r="BD126" s="578"/>
      <c r="BE126" s="578"/>
      <c r="BF126" s="578"/>
      <c r="BG126" s="578"/>
      <c r="BH126" s="578"/>
      <c r="BI126" s="578"/>
      <c r="BJ126" s="578"/>
      <c r="BK126" s="578"/>
      <c r="BL126" s="578"/>
      <c r="BM126" s="578"/>
      <c r="BN126" s="578"/>
      <c r="BO126" s="578"/>
      <c r="BP126" s="578"/>
      <c r="BQ126" s="578"/>
      <c r="BR126" s="578"/>
      <c r="BS126" s="578"/>
      <c r="BT126" s="578"/>
      <c r="BU126" s="578"/>
      <c r="BV126" s="578"/>
      <c r="BW126" s="578"/>
    </row>
    <row r="127" spans="1:75" ht="14.25" customHeight="1" x14ac:dyDescent="0.3">
      <c r="A127" s="578"/>
      <c r="B127" s="815"/>
      <c r="C127" s="578"/>
      <c r="D127" s="578"/>
      <c r="E127" s="578"/>
      <c r="F127" s="578"/>
      <c r="G127" s="578"/>
      <c r="H127" s="578"/>
      <c r="I127" s="578"/>
      <c r="J127" s="578"/>
      <c r="K127" s="578"/>
      <c r="L127" s="578"/>
      <c r="M127" s="578"/>
      <c r="N127" s="578"/>
      <c r="O127" s="578"/>
      <c r="P127" s="578"/>
      <c r="Q127" s="578"/>
      <c r="R127" s="578"/>
      <c r="S127" s="578"/>
      <c r="T127" s="578"/>
      <c r="U127" s="578"/>
      <c r="V127" s="578"/>
      <c r="W127" s="578"/>
      <c r="X127" s="578"/>
      <c r="Y127" s="578"/>
      <c r="Z127" s="578"/>
      <c r="AA127" s="578"/>
      <c r="AB127" s="578"/>
      <c r="AC127" s="578"/>
      <c r="AD127" s="578"/>
      <c r="AE127" s="578"/>
      <c r="AF127" s="578"/>
      <c r="AG127" s="578"/>
      <c r="AH127" s="578"/>
      <c r="AI127" s="578"/>
      <c r="AJ127" s="578"/>
      <c r="AK127" s="578"/>
      <c r="AL127" s="578"/>
      <c r="AM127" s="578"/>
      <c r="AN127" s="578"/>
      <c r="AO127" s="578"/>
      <c r="AP127" s="578"/>
      <c r="AQ127" s="578"/>
      <c r="AR127" s="816"/>
      <c r="AS127" s="578"/>
      <c r="AT127" s="578"/>
      <c r="AU127" s="578"/>
      <c r="AV127" s="578"/>
      <c r="AW127" s="578"/>
      <c r="AX127" s="578"/>
      <c r="AY127" s="818"/>
      <c r="AZ127" s="578"/>
      <c r="BA127" s="578"/>
      <c r="BB127" s="578"/>
      <c r="BC127" s="578"/>
      <c r="BD127" s="578"/>
      <c r="BE127" s="578"/>
      <c r="BF127" s="578"/>
      <c r="BG127" s="578"/>
      <c r="BH127" s="578"/>
      <c r="BI127" s="578"/>
      <c r="BJ127" s="578"/>
      <c r="BK127" s="578"/>
      <c r="BL127" s="578"/>
      <c r="BM127" s="578"/>
      <c r="BN127" s="578"/>
      <c r="BO127" s="578"/>
      <c r="BP127" s="578"/>
      <c r="BQ127" s="578"/>
      <c r="BR127" s="578"/>
      <c r="BS127" s="578"/>
      <c r="BT127" s="578"/>
      <c r="BU127" s="578"/>
      <c r="BV127" s="578"/>
      <c r="BW127" s="578"/>
    </row>
    <row r="128" spans="1:75" ht="14.25" customHeight="1" x14ac:dyDescent="0.3">
      <c r="A128" s="578"/>
      <c r="B128" s="815"/>
      <c r="C128" s="578"/>
      <c r="D128" s="578"/>
      <c r="E128" s="578"/>
      <c r="F128" s="578"/>
      <c r="G128" s="578"/>
      <c r="H128" s="578"/>
      <c r="I128" s="578"/>
      <c r="J128" s="578"/>
      <c r="K128" s="578"/>
      <c r="L128" s="578"/>
      <c r="M128" s="578"/>
      <c r="N128" s="578"/>
      <c r="O128" s="578"/>
      <c r="P128" s="578"/>
      <c r="Q128" s="578"/>
      <c r="R128" s="578"/>
      <c r="S128" s="578"/>
      <c r="T128" s="578"/>
      <c r="U128" s="578"/>
      <c r="V128" s="578"/>
      <c r="W128" s="578"/>
      <c r="X128" s="578"/>
      <c r="Y128" s="578"/>
      <c r="Z128" s="578"/>
      <c r="AA128" s="578"/>
      <c r="AB128" s="578"/>
      <c r="AC128" s="578"/>
      <c r="AD128" s="578"/>
      <c r="AE128" s="578"/>
      <c r="AF128" s="578"/>
      <c r="AG128" s="578"/>
      <c r="AH128" s="578"/>
      <c r="AI128" s="578"/>
      <c r="AJ128" s="578"/>
      <c r="AK128" s="578"/>
      <c r="AL128" s="578"/>
      <c r="AM128" s="578"/>
      <c r="AN128" s="578"/>
      <c r="AO128" s="578"/>
      <c r="AP128" s="578"/>
      <c r="AQ128" s="578"/>
      <c r="AR128" s="816"/>
      <c r="AS128" s="578"/>
      <c r="AT128" s="578"/>
      <c r="AU128" s="578"/>
      <c r="AV128" s="578"/>
      <c r="AW128" s="578"/>
      <c r="AX128" s="578"/>
      <c r="AY128" s="818"/>
      <c r="AZ128" s="578"/>
      <c r="BA128" s="578"/>
      <c r="BB128" s="578"/>
      <c r="BC128" s="578"/>
      <c r="BD128" s="578"/>
      <c r="BE128" s="578"/>
      <c r="BF128" s="578"/>
      <c r="BG128" s="578"/>
      <c r="BH128" s="578"/>
      <c r="BI128" s="578"/>
      <c r="BJ128" s="578"/>
      <c r="BK128" s="578"/>
      <c r="BL128" s="578"/>
      <c r="BM128" s="578"/>
      <c r="BN128" s="578"/>
      <c r="BO128" s="578"/>
      <c r="BP128" s="578"/>
      <c r="BQ128" s="578"/>
      <c r="BR128" s="578"/>
      <c r="BS128" s="578"/>
      <c r="BT128" s="578"/>
      <c r="BU128" s="578"/>
      <c r="BV128" s="578"/>
      <c r="BW128" s="578"/>
    </row>
    <row r="129" spans="1:75" ht="14.25" customHeight="1" x14ac:dyDescent="0.3">
      <c r="A129" s="578"/>
      <c r="B129" s="815"/>
      <c r="C129" s="578"/>
      <c r="D129" s="578"/>
      <c r="E129" s="578"/>
      <c r="F129" s="578"/>
      <c r="G129" s="578"/>
      <c r="H129" s="578"/>
      <c r="I129" s="578"/>
      <c r="J129" s="578"/>
      <c r="K129" s="578"/>
      <c r="L129" s="578"/>
      <c r="M129" s="578"/>
      <c r="N129" s="578"/>
      <c r="O129" s="578"/>
      <c r="P129" s="578"/>
      <c r="Q129" s="578"/>
      <c r="R129" s="578"/>
      <c r="S129" s="578"/>
      <c r="T129" s="578"/>
      <c r="U129" s="578"/>
      <c r="V129" s="578"/>
      <c r="W129" s="578"/>
      <c r="X129" s="578"/>
      <c r="Y129" s="578"/>
      <c r="Z129" s="578"/>
      <c r="AA129" s="578"/>
      <c r="AB129" s="578"/>
      <c r="AC129" s="578"/>
      <c r="AD129" s="578"/>
      <c r="AE129" s="578"/>
      <c r="AF129" s="578"/>
      <c r="AG129" s="578"/>
      <c r="AH129" s="578"/>
      <c r="AI129" s="578"/>
      <c r="AJ129" s="578"/>
      <c r="AK129" s="578"/>
      <c r="AL129" s="578"/>
      <c r="AM129" s="578"/>
      <c r="AN129" s="578"/>
      <c r="AO129" s="578"/>
      <c r="AP129" s="578"/>
      <c r="AQ129" s="578"/>
      <c r="AR129" s="816"/>
      <c r="AS129" s="578"/>
      <c r="AT129" s="578"/>
      <c r="AU129" s="578"/>
      <c r="AV129" s="578"/>
      <c r="AW129" s="578"/>
      <c r="AX129" s="578"/>
      <c r="AY129" s="818"/>
      <c r="AZ129" s="578"/>
      <c r="BA129" s="578"/>
      <c r="BB129" s="578"/>
      <c r="BC129" s="578"/>
      <c r="BD129" s="578"/>
      <c r="BE129" s="578"/>
      <c r="BF129" s="578"/>
      <c r="BG129" s="578"/>
      <c r="BH129" s="578"/>
      <c r="BI129" s="578"/>
      <c r="BJ129" s="578"/>
      <c r="BK129" s="578"/>
      <c r="BL129" s="578"/>
      <c r="BM129" s="578"/>
      <c r="BN129" s="578"/>
      <c r="BO129" s="578"/>
      <c r="BP129" s="578"/>
      <c r="BQ129" s="578"/>
      <c r="BR129" s="578"/>
      <c r="BS129" s="578"/>
      <c r="BT129" s="578"/>
      <c r="BU129" s="578"/>
      <c r="BV129" s="578"/>
      <c r="BW129" s="578"/>
    </row>
    <row r="130" spans="1:75" ht="14.25" customHeight="1" x14ac:dyDescent="0.3">
      <c r="A130" s="578"/>
      <c r="B130" s="815"/>
      <c r="C130" s="578"/>
      <c r="D130" s="578"/>
      <c r="E130" s="578"/>
      <c r="F130" s="578"/>
      <c r="G130" s="578"/>
      <c r="H130" s="578"/>
      <c r="I130" s="578"/>
      <c r="J130" s="578"/>
      <c r="K130" s="578"/>
      <c r="L130" s="578"/>
      <c r="M130" s="578"/>
      <c r="N130" s="578"/>
      <c r="O130" s="578"/>
      <c r="P130" s="578"/>
      <c r="Q130" s="578"/>
      <c r="R130" s="578"/>
      <c r="S130" s="578"/>
      <c r="T130" s="578"/>
      <c r="U130" s="578"/>
      <c r="V130" s="578"/>
      <c r="W130" s="578"/>
      <c r="X130" s="578"/>
      <c r="Y130" s="578"/>
      <c r="Z130" s="578"/>
      <c r="AA130" s="578"/>
      <c r="AB130" s="578"/>
      <c r="AC130" s="578"/>
      <c r="AD130" s="578"/>
      <c r="AE130" s="578"/>
      <c r="AF130" s="578"/>
      <c r="AG130" s="578"/>
      <c r="AH130" s="578"/>
      <c r="AI130" s="578"/>
      <c r="AJ130" s="578"/>
      <c r="AK130" s="578"/>
      <c r="AL130" s="578"/>
      <c r="AM130" s="578"/>
      <c r="AN130" s="578"/>
      <c r="AO130" s="578"/>
      <c r="AP130" s="578"/>
      <c r="AQ130" s="578"/>
      <c r="AR130" s="816"/>
      <c r="AS130" s="578"/>
      <c r="AT130" s="578"/>
      <c r="AU130" s="578"/>
      <c r="AV130" s="578"/>
      <c r="AW130" s="578"/>
      <c r="AX130" s="578"/>
      <c r="AY130" s="818"/>
      <c r="AZ130" s="578"/>
      <c r="BA130" s="578"/>
      <c r="BB130" s="578"/>
      <c r="BC130" s="578"/>
      <c r="BD130" s="578"/>
      <c r="BE130" s="578"/>
      <c r="BF130" s="578"/>
      <c r="BG130" s="578"/>
      <c r="BH130" s="578"/>
      <c r="BI130" s="578"/>
      <c r="BJ130" s="578"/>
      <c r="BK130" s="578"/>
      <c r="BL130" s="578"/>
      <c r="BM130" s="578"/>
      <c r="BN130" s="578"/>
      <c r="BO130" s="578"/>
      <c r="BP130" s="578"/>
      <c r="BQ130" s="578"/>
      <c r="BR130" s="578"/>
      <c r="BS130" s="578"/>
      <c r="BT130" s="578"/>
      <c r="BU130" s="578"/>
      <c r="BV130" s="578"/>
      <c r="BW130" s="578"/>
    </row>
    <row r="131" spans="1:75" ht="14.25" customHeight="1" x14ac:dyDescent="0.3">
      <c r="A131" s="578"/>
      <c r="B131" s="815"/>
      <c r="C131" s="578"/>
      <c r="D131" s="578"/>
      <c r="E131" s="578"/>
      <c r="F131" s="578"/>
      <c r="G131" s="578"/>
      <c r="H131" s="578"/>
      <c r="I131" s="578"/>
      <c r="J131" s="578"/>
      <c r="K131" s="578"/>
      <c r="L131" s="578"/>
      <c r="M131" s="578"/>
      <c r="N131" s="578"/>
      <c r="O131" s="578"/>
      <c r="P131" s="578"/>
      <c r="Q131" s="578"/>
      <c r="R131" s="578"/>
      <c r="S131" s="578"/>
      <c r="T131" s="578"/>
      <c r="U131" s="578"/>
      <c r="V131" s="578"/>
      <c r="W131" s="578"/>
      <c r="X131" s="578"/>
      <c r="Y131" s="578"/>
      <c r="Z131" s="578"/>
      <c r="AA131" s="578"/>
      <c r="AB131" s="578"/>
      <c r="AC131" s="578"/>
      <c r="AD131" s="578"/>
      <c r="AE131" s="578"/>
      <c r="AF131" s="578"/>
      <c r="AG131" s="578"/>
      <c r="AH131" s="578"/>
      <c r="AI131" s="578"/>
      <c r="AJ131" s="578"/>
      <c r="AK131" s="578"/>
      <c r="AL131" s="578"/>
      <c r="AM131" s="578"/>
      <c r="AN131" s="578"/>
      <c r="AO131" s="578"/>
      <c r="AP131" s="578"/>
      <c r="AQ131" s="578"/>
      <c r="AR131" s="816"/>
      <c r="AS131" s="578"/>
      <c r="AT131" s="578"/>
      <c r="AU131" s="578"/>
      <c r="AV131" s="578"/>
      <c r="AW131" s="578"/>
      <c r="AX131" s="578"/>
      <c r="AY131" s="818"/>
      <c r="AZ131" s="578"/>
      <c r="BA131" s="578"/>
      <c r="BB131" s="578"/>
      <c r="BC131" s="578"/>
      <c r="BD131" s="578"/>
      <c r="BE131" s="578"/>
      <c r="BF131" s="578"/>
      <c r="BG131" s="578"/>
      <c r="BH131" s="578"/>
      <c r="BI131" s="578"/>
      <c r="BJ131" s="578"/>
      <c r="BK131" s="578"/>
      <c r="BL131" s="578"/>
      <c r="BM131" s="578"/>
      <c r="BN131" s="578"/>
      <c r="BO131" s="578"/>
      <c r="BP131" s="578"/>
      <c r="BQ131" s="578"/>
      <c r="BR131" s="578"/>
      <c r="BS131" s="578"/>
      <c r="BT131" s="578"/>
      <c r="BU131" s="578"/>
      <c r="BV131" s="578"/>
      <c r="BW131" s="578"/>
    </row>
    <row r="132" spans="1:75" ht="14.25" customHeight="1" x14ac:dyDescent="0.3">
      <c r="A132" s="578"/>
      <c r="B132" s="815"/>
      <c r="C132" s="578"/>
      <c r="D132" s="578"/>
      <c r="E132" s="578"/>
      <c r="F132" s="578"/>
      <c r="G132" s="578"/>
      <c r="H132" s="578"/>
      <c r="I132" s="578"/>
      <c r="J132" s="578"/>
      <c r="K132" s="578"/>
      <c r="L132" s="578"/>
      <c r="M132" s="578"/>
      <c r="N132" s="578"/>
      <c r="O132" s="578"/>
      <c r="P132" s="578"/>
      <c r="Q132" s="578"/>
      <c r="R132" s="578"/>
      <c r="S132" s="578"/>
      <c r="T132" s="578"/>
      <c r="U132" s="578"/>
      <c r="V132" s="578"/>
      <c r="W132" s="578"/>
      <c r="X132" s="578"/>
      <c r="Y132" s="578"/>
      <c r="Z132" s="578"/>
      <c r="AA132" s="578"/>
      <c r="AB132" s="578"/>
      <c r="AC132" s="578"/>
      <c r="AD132" s="578"/>
      <c r="AE132" s="578"/>
      <c r="AF132" s="578"/>
      <c r="AG132" s="578"/>
      <c r="AH132" s="578"/>
      <c r="AI132" s="578"/>
      <c r="AJ132" s="578"/>
      <c r="AK132" s="578"/>
      <c r="AL132" s="578"/>
      <c r="AM132" s="578"/>
      <c r="AN132" s="578"/>
      <c r="AO132" s="578"/>
      <c r="AP132" s="578"/>
      <c r="AQ132" s="578"/>
      <c r="AR132" s="816"/>
      <c r="AS132" s="578"/>
      <c r="AT132" s="578"/>
      <c r="AU132" s="578"/>
      <c r="AV132" s="578"/>
      <c r="AW132" s="578"/>
      <c r="AX132" s="578"/>
      <c r="AY132" s="818"/>
      <c r="AZ132" s="578"/>
      <c r="BA132" s="578"/>
      <c r="BB132" s="578"/>
      <c r="BC132" s="578"/>
      <c r="BD132" s="578"/>
      <c r="BE132" s="578"/>
      <c r="BF132" s="578"/>
      <c r="BG132" s="578"/>
      <c r="BH132" s="578"/>
      <c r="BI132" s="578"/>
      <c r="BJ132" s="578"/>
      <c r="BK132" s="578"/>
      <c r="BL132" s="578"/>
      <c r="BM132" s="578"/>
      <c r="BN132" s="578"/>
      <c r="BO132" s="578"/>
      <c r="BP132" s="578"/>
      <c r="BQ132" s="578"/>
      <c r="BR132" s="578"/>
      <c r="BS132" s="578"/>
      <c r="BT132" s="578"/>
      <c r="BU132" s="578"/>
      <c r="BV132" s="578"/>
      <c r="BW132" s="578"/>
    </row>
    <row r="133" spans="1:75" ht="14.25" customHeight="1" x14ac:dyDescent="0.3">
      <c r="A133" s="578"/>
      <c r="B133" s="815"/>
      <c r="C133" s="578"/>
      <c r="D133" s="578"/>
      <c r="E133" s="578"/>
      <c r="F133" s="578"/>
      <c r="G133" s="578"/>
      <c r="H133" s="578"/>
      <c r="I133" s="578"/>
      <c r="J133" s="578"/>
      <c r="K133" s="578"/>
      <c r="L133" s="578"/>
      <c r="M133" s="578"/>
      <c r="N133" s="578"/>
      <c r="O133" s="578"/>
      <c r="P133" s="578"/>
      <c r="Q133" s="578"/>
      <c r="R133" s="578"/>
      <c r="S133" s="578"/>
      <c r="T133" s="578"/>
      <c r="U133" s="578"/>
      <c r="V133" s="578"/>
      <c r="W133" s="578"/>
      <c r="X133" s="578"/>
      <c r="Y133" s="578"/>
      <c r="Z133" s="578"/>
      <c r="AA133" s="578"/>
      <c r="AB133" s="578"/>
      <c r="AC133" s="578"/>
      <c r="AD133" s="578"/>
      <c r="AE133" s="578"/>
      <c r="AF133" s="578"/>
      <c r="AG133" s="578"/>
      <c r="AH133" s="578"/>
      <c r="AI133" s="578"/>
      <c r="AJ133" s="578"/>
      <c r="AK133" s="578"/>
      <c r="AL133" s="578"/>
      <c r="AM133" s="578"/>
      <c r="AN133" s="578"/>
      <c r="AO133" s="578"/>
      <c r="AP133" s="578"/>
      <c r="AQ133" s="578"/>
      <c r="AR133" s="816"/>
      <c r="AS133" s="578"/>
      <c r="AT133" s="578"/>
      <c r="AU133" s="578"/>
      <c r="AV133" s="578"/>
      <c r="AW133" s="578"/>
      <c r="AX133" s="578"/>
      <c r="AY133" s="818"/>
      <c r="AZ133" s="578"/>
      <c r="BA133" s="578"/>
      <c r="BB133" s="578"/>
      <c r="BC133" s="578"/>
      <c r="BD133" s="578"/>
      <c r="BE133" s="578"/>
      <c r="BF133" s="578"/>
      <c r="BG133" s="578"/>
      <c r="BH133" s="578"/>
      <c r="BI133" s="578"/>
      <c r="BJ133" s="578"/>
      <c r="BK133" s="578"/>
      <c r="BL133" s="578"/>
      <c r="BM133" s="578"/>
      <c r="BN133" s="578"/>
      <c r="BO133" s="578"/>
      <c r="BP133" s="578"/>
      <c r="BQ133" s="578"/>
      <c r="BR133" s="578"/>
      <c r="BS133" s="578"/>
      <c r="BT133" s="578"/>
      <c r="BU133" s="578"/>
      <c r="BV133" s="578"/>
      <c r="BW133" s="578"/>
    </row>
    <row r="134" spans="1:75" ht="14.25" customHeight="1" x14ac:dyDescent="0.3">
      <c r="A134" s="578"/>
      <c r="B134" s="815"/>
      <c r="C134" s="578"/>
      <c r="D134" s="578"/>
      <c r="E134" s="578"/>
      <c r="F134" s="578"/>
      <c r="G134" s="578"/>
      <c r="H134" s="578"/>
      <c r="I134" s="578"/>
      <c r="J134" s="578"/>
      <c r="K134" s="578"/>
      <c r="L134" s="578"/>
      <c r="M134" s="578"/>
      <c r="N134" s="578"/>
      <c r="O134" s="578"/>
      <c r="P134" s="578"/>
      <c r="Q134" s="578"/>
      <c r="R134" s="578"/>
      <c r="S134" s="578"/>
      <c r="T134" s="578"/>
      <c r="U134" s="578"/>
      <c r="V134" s="578"/>
      <c r="W134" s="578"/>
      <c r="X134" s="578"/>
      <c r="Y134" s="578"/>
      <c r="Z134" s="578"/>
      <c r="AA134" s="578"/>
      <c r="AB134" s="578"/>
      <c r="AC134" s="578"/>
      <c r="AD134" s="578"/>
      <c r="AE134" s="578"/>
      <c r="AF134" s="578"/>
      <c r="AG134" s="578"/>
      <c r="AH134" s="578"/>
      <c r="AI134" s="578"/>
      <c r="AJ134" s="578"/>
      <c r="AK134" s="578"/>
      <c r="AL134" s="578"/>
      <c r="AM134" s="578"/>
      <c r="AN134" s="578"/>
      <c r="AO134" s="578"/>
      <c r="AP134" s="578"/>
      <c r="AQ134" s="578"/>
      <c r="AR134" s="816"/>
      <c r="AS134" s="578"/>
      <c r="AT134" s="578"/>
      <c r="AU134" s="578"/>
      <c r="AV134" s="578"/>
      <c r="AW134" s="578"/>
      <c r="AX134" s="578"/>
      <c r="AY134" s="818"/>
      <c r="AZ134" s="578"/>
      <c r="BA134" s="578"/>
      <c r="BB134" s="578"/>
      <c r="BC134" s="578"/>
      <c r="BD134" s="578"/>
      <c r="BE134" s="578"/>
      <c r="BF134" s="578"/>
      <c r="BG134" s="578"/>
      <c r="BH134" s="578"/>
      <c r="BI134" s="578"/>
      <c r="BJ134" s="578"/>
      <c r="BK134" s="578"/>
      <c r="BL134" s="578"/>
      <c r="BM134" s="578"/>
      <c r="BN134" s="578"/>
      <c r="BO134" s="578"/>
      <c r="BP134" s="578"/>
      <c r="BQ134" s="578"/>
      <c r="BR134" s="578"/>
      <c r="BS134" s="578"/>
      <c r="BT134" s="578"/>
      <c r="BU134" s="578"/>
      <c r="BV134" s="578"/>
      <c r="BW134" s="578"/>
    </row>
    <row r="135" spans="1:75" ht="14.25" customHeight="1" x14ac:dyDescent="0.3">
      <c r="A135" s="578"/>
      <c r="B135" s="815"/>
      <c r="C135" s="578"/>
      <c r="D135" s="578"/>
      <c r="E135" s="578"/>
      <c r="F135" s="578"/>
      <c r="G135" s="578"/>
      <c r="H135" s="578"/>
      <c r="I135" s="578"/>
      <c r="J135" s="578"/>
      <c r="K135" s="578"/>
      <c r="L135" s="578"/>
      <c r="M135" s="578"/>
      <c r="N135" s="578"/>
      <c r="O135" s="578"/>
      <c r="P135" s="578"/>
      <c r="Q135" s="578"/>
      <c r="R135" s="578"/>
      <c r="S135" s="578"/>
      <c r="T135" s="578"/>
      <c r="U135" s="578"/>
      <c r="V135" s="578"/>
      <c r="W135" s="578"/>
      <c r="X135" s="578"/>
      <c r="Y135" s="578"/>
      <c r="Z135" s="578"/>
      <c r="AA135" s="578"/>
      <c r="AB135" s="578"/>
      <c r="AC135" s="578"/>
      <c r="AD135" s="578"/>
      <c r="AE135" s="578"/>
      <c r="AF135" s="578"/>
      <c r="AG135" s="578"/>
      <c r="AH135" s="578"/>
      <c r="AI135" s="578"/>
      <c r="AJ135" s="578"/>
      <c r="AK135" s="578"/>
      <c r="AL135" s="578"/>
      <c r="AM135" s="578"/>
      <c r="AN135" s="578"/>
      <c r="AO135" s="578"/>
      <c r="AP135" s="578"/>
      <c r="AQ135" s="578"/>
      <c r="AR135" s="816"/>
      <c r="AS135" s="578"/>
      <c r="AT135" s="578"/>
      <c r="AU135" s="578"/>
      <c r="AV135" s="578"/>
      <c r="AW135" s="578"/>
      <c r="AX135" s="578"/>
      <c r="AY135" s="818"/>
      <c r="AZ135" s="578"/>
      <c r="BA135" s="578"/>
      <c r="BB135" s="578"/>
      <c r="BC135" s="578"/>
      <c r="BD135" s="578"/>
      <c r="BE135" s="578"/>
      <c r="BF135" s="578"/>
      <c r="BG135" s="578"/>
      <c r="BH135" s="578"/>
      <c r="BI135" s="578"/>
      <c r="BJ135" s="578"/>
      <c r="BK135" s="578"/>
      <c r="BL135" s="578"/>
      <c r="BM135" s="578"/>
      <c r="BN135" s="578"/>
      <c r="BO135" s="578"/>
      <c r="BP135" s="578"/>
      <c r="BQ135" s="578"/>
      <c r="BR135" s="578"/>
      <c r="BS135" s="578"/>
      <c r="BT135" s="578"/>
      <c r="BU135" s="578"/>
      <c r="BV135" s="578"/>
      <c r="BW135" s="578"/>
    </row>
    <row r="136" spans="1:75" ht="14.25" customHeight="1" x14ac:dyDescent="0.3">
      <c r="A136" s="578"/>
      <c r="B136" s="815"/>
      <c r="C136" s="578"/>
      <c r="D136" s="578"/>
      <c r="E136" s="578"/>
      <c r="F136" s="578"/>
      <c r="G136" s="578"/>
      <c r="H136" s="578"/>
      <c r="I136" s="578"/>
      <c r="J136" s="578"/>
      <c r="K136" s="578"/>
      <c r="L136" s="578"/>
      <c r="M136" s="578"/>
      <c r="N136" s="578"/>
      <c r="O136" s="578"/>
      <c r="P136" s="578"/>
      <c r="Q136" s="578"/>
      <c r="R136" s="578"/>
      <c r="S136" s="578"/>
      <c r="T136" s="578"/>
      <c r="U136" s="578"/>
      <c r="V136" s="578"/>
      <c r="W136" s="578"/>
      <c r="X136" s="578"/>
      <c r="Y136" s="578"/>
      <c r="Z136" s="578"/>
      <c r="AA136" s="578"/>
      <c r="AB136" s="578"/>
      <c r="AC136" s="578"/>
      <c r="AD136" s="578"/>
      <c r="AE136" s="578"/>
      <c r="AF136" s="578"/>
      <c r="AG136" s="578"/>
      <c r="AH136" s="578"/>
      <c r="AI136" s="578"/>
      <c r="AJ136" s="578"/>
      <c r="AK136" s="578"/>
      <c r="AL136" s="578"/>
      <c r="AM136" s="578"/>
      <c r="AN136" s="578"/>
      <c r="AO136" s="578"/>
      <c r="AP136" s="578"/>
      <c r="AQ136" s="578"/>
      <c r="AR136" s="816"/>
      <c r="AS136" s="578"/>
      <c r="AT136" s="578"/>
      <c r="AU136" s="578"/>
      <c r="AV136" s="578"/>
      <c r="AW136" s="578"/>
      <c r="AX136" s="578"/>
      <c r="AY136" s="818"/>
      <c r="AZ136" s="578"/>
      <c r="BA136" s="578"/>
      <c r="BB136" s="578"/>
      <c r="BC136" s="578"/>
      <c r="BD136" s="578"/>
      <c r="BE136" s="578"/>
      <c r="BF136" s="578"/>
      <c r="BG136" s="578"/>
      <c r="BH136" s="578"/>
      <c r="BI136" s="578"/>
      <c r="BJ136" s="578"/>
      <c r="BK136" s="578"/>
      <c r="BL136" s="578"/>
      <c r="BM136" s="578"/>
      <c r="BN136" s="578"/>
      <c r="BO136" s="578"/>
      <c r="BP136" s="578"/>
      <c r="BQ136" s="578"/>
      <c r="BR136" s="578"/>
      <c r="BS136" s="578"/>
      <c r="BT136" s="578"/>
      <c r="BU136" s="578"/>
      <c r="BV136" s="578"/>
      <c r="BW136" s="578"/>
    </row>
    <row r="137" spans="1:75" ht="14.25" customHeight="1" x14ac:dyDescent="0.3">
      <c r="A137" s="578"/>
      <c r="B137" s="815"/>
      <c r="C137" s="578"/>
      <c r="D137" s="578"/>
      <c r="E137" s="578"/>
      <c r="F137" s="578"/>
      <c r="G137" s="578"/>
      <c r="H137" s="578"/>
      <c r="I137" s="578"/>
      <c r="J137" s="578"/>
      <c r="K137" s="578"/>
      <c r="L137" s="578"/>
      <c r="M137" s="578"/>
      <c r="N137" s="578"/>
      <c r="O137" s="578"/>
      <c r="P137" s="578"/>
      <c r="Q137" s="578"/>
      <c r="R137" s="578"/>
      <c r="S137" s="578"/>
      <c r="T137" s="578"/>
      <c r="U137" s="578"/>
      <c r="V137" s="578"/>
      <c r="W137" s="578"/>
      <c r="X137" s="578"/>
      <c r="Y137" s="578"/>
      <c r="Z137" s="578"/>
      <c r="AA137" s="578"/>
      <c r="AB137" s="578"/>
      <c r="AC137" s="578"/>
      <c r="AD137" s="578"/>
      <c r="AE137" s="578"/>
      <c r="AF137" s="578"/>
      <c r="AG137" s="578"/>
      <c r="AH137" s="578"/>
      <c r="AI137" s="578"/>
      <c r="AJ137" s="578"/>
      <c r="AK137" s="578"/>
      <c r="AL137" s="578"/>
      <c r="AM137" s="578"/>
      <c r="AN137" s="578"/>
      <c r="AO137" s="578"/>
      <c r="AP137" s="578"/>
      <c r="AQ137" s="578"/>
      <c r="AR137" s="816"/>
      <c r="AS137" s="578"/>
      <c r="AT137" s="578"/>
      <c r="AU137" s="578"/>
      <c r="AV137" s="578"/>
      <c r="AW137" s="578"/>
      <c r="AX137" s="578"/>
      <c r="AY137" s="818"/>
      <c r="AZ137" s="578"/>
      <c r="BA137" s="578"/>
      <c r="BB137" s="578"/>
      <c r="BC137" s="578"/>
      <c r="BD137" s="578"/>
      <c r="BE137" s="578"/>
      <c r="BF137" s="578"/>
      <c r="BG137" s="578"/>
      <c r="BH137" s="578"/>
      <c r="BI137" s="578"/>
      <c r="BJ137" s="578"/>
      <c r="BK137" s="578"/>
      <c r="BL137" s="578"/>
      <c r="BM137" s="578"/>
      <c r="BN137" s="578"/>
      <c r="BO137" s="578"/>
      <c r="BP137" s="578"/>
      <c r="BQ137" s="578"/>
      <c r="BR137" s="578"/>
      <c r="BS137" s="578"/>
      <c r="BT137" s="578"/>
      <c r="BU137" s="578"/>
      <c r="BV137" s="578"/>
      <c r="BW137" s="578"/>
    </row>
    <row r="138" spans="1:75" ht="14.25" customHeight="1" x14ac:dyDescent="0.3">
      <c r="A138" s="578"/>
      <c r="B138" s="815"/>
      <c r="C138" s="578"/>
      <c r="D138" s="578"/>
      <c r="E138" s="578"/>
      <c r="F138" s="578"/>
      <c r="G138" s="578"/>
      <c r="H138" s="578"/>
      <c r="I138" s="578"/>
      <c r="J138" s="578"/>
      <c r="K138" s="578"/>
      <c r="L138" s="578"/>
      <c r="M138" s="578"/>
      <c r="N138" s="578"/>
      <c r="O138" s="578"/>
      <c r="P138" s="578"/>
      <c r="Q138" s="578"/>
      <c r="R138" s="578"/>
      <c r="S138" s="578"/>
      <c r="T138" s="578"/>
      <c r="U138" s="578"/>
      <c r="V138" s="578"/>
      <c r="W138" s="578"/>
      <c r="X138" s="578"/>
      <c r="Y138" s="578"/>
      <c r="Z138" s="578"/>
      <c r="AA138" s="578"/>
      <c r="AB138" s="578"/>
      <c r="AC138" s="578"/>
      <c r="AD138" s="578"/>
      <c r="AE138" s="578"/>
      <c r="AF138" s="578"/>
      <c r="AG138" s="578"/>
      <c r="AH138" s="578"/>
      <c r="AI138" s="578"/>
      <c r="AJ138" s="578"/>
      <c r="AK138" s="578"/>
      <c r="AL138" s="578"/>
      <c r="AM138" s="578"/>
      <c r="AN138" s="578"/>
      <c r="AO138" s="578"/>
      <c r="AP138" s="578"/>
      <c r="AQ138" s="578"/>
      <c r="AR138" s="816"/>
      <c r="AS138" s="578"/>
      <c r="AT138" s="578"/>
      <c r="AU138" s="578"/>
      <c r="AV138" s="578"/>
      <c r="AW138" s="578"/>
      <c r="AX138" s="578"/>
      <c r="AY138" s="818"/>
      <c r="AZ138" s="578"/>
      <c r="BA138" s="578"/>
      <c r="BB138" s="578"/>
      <c r="BC138" s="578"/>
      <c r="BD138" s="578"/>
      <c r="BE138" s="578"/>
      <c r="BF138" s="578"/>
      <c r="BG138" s="578"/>
      <c r="BH138" s="578"/>
      <c r="BI138" s="578"/>
      <c r="BJ138" s="578"/>
      <c r="BK138" s="578"/>
      <c r="BL138" s="578"/>
      <c r="BM138" s="578"/>
      <c r="BN138" s="578"/>
      <c r="BO138" s="578"/>
      <c r="BP138" s="578"/>
      <c r="BQ138" s="578"/>
      <c r="BR138" s="578"/>
      <c r="BS138" s="578"/>
      <c r="BT138" s="578"/>
      <c r="BU138" s="578"/>
      <c r="BV138" s="578"/>
      <c r="BW138" s="578"/>
    </row>
    <row r="139" spans="1:75" ht="14.25" customHeight="1" x14ac:dyDescent="0.3">
      <c r="A139" s="578"/>
      <c r="B139" s="815"/>
      <c r="C139" s="578"/>
      <c r="D139" s="578"/>
      <c r="E139" s="578"/>
      <c r="F139" s="578"/>
      <c r="G139" s="578"/>
      <c r="H139" s="578"/>
      <c r="I139" s="578"/>
      <c r="J139" s="578"/>
      <c r="K139" s="578"/>
      <c r="L139" s="578"/>
      <c r="M139" s="578"/>
      <c r="N139" s="578"/>
      <c r="O139" s="578"/>
      <c r="P139" s="578"/>
      <c r="Q139" s="578"/>
      <c r="R139" s="578"/>
      <c r="S139" s="578"/>
      <c r="T139" s="578"/>
      <c r="U139" s="578"/>
      <c r="V139" s="578"/>
      <c r="W139" s="578"/>
      <c r="X139" s="578"/>
      <c r="Y139" s="578"/>
      <c r="Z139" s="578"/>
      <c r="AA139" s="578"/>
      <c r="AB139" s="578"/>
      <c r="AC139" s="578"/>
      <c r="AD139" s="578"/>
      <c r="AE139" s="578"/>
      <c r="AF139" s="578"/>
      <c r="AG139" s="578"/>
      <c r="AH139" s="578"/>
      <c r="AI139" s="578"/>
      <c r="AJ139" s="578"/>
      <c r="AK139" s="578"/>
      <c r="AL139" s="578"/>
      <c r="AM139" s="578"/>
      <c r="AN139" s="578"/>
      <c r="AO139" s="578"/>
      <c r="AP139" s="578"/>
      <c r="AQ139" s="578"/>
      <c r="AR139" s="816"/>
      <c r="AS139" s="578"/>
      <c r="AT139" s="578"/>
      <c r="AU139" s="578"/>
      <c r="AV139" s="578"/>
      <c r="AW139" s="578"/>
      <c r="AX139" s="578"/>
      <c r="AY139" s="818"/>
      <c r="AZ139" s="578"/>
      <c r="BA139" s="578"/>
      <c r="BB139" s="578"/>
      <c r="BC139" s="578"/>
      <c r="BD139" s="578"/>
      <c r="BE139" s="578"/>
      <c r="BF139" s="578"/>
      <c r="BG139" s="578"/>
      <c r="BH139" s="578"/>
      <c r="BI139" s="578"/>
      <c r="BJ139" s="578"/>
      <c r="BK139" s="578"/>
      <c r="BL139" s="578"/>
      <c r="BM139" s="578"/>
      <c r="BN139" s="578"/>
      <c r="BO139" s="578"/>
      <c r="BP139" s="578"/>
      <c r="BQ139" s="578"/>
      <c r="BR139" s="578"/>
      <c r="BS139" s="578"/>
      <c r="BT139" s="578"/>
      <c r="BU139" s="578"/>
      <c r="BV139" s="578"/>
      <c r="BW139" s="578"/>
    </row>
    <row r="140" spans="1:75" ht="14.25" customHeight="1" x14ac:dyDescent="0.3">
      <c r="A140" s="578"/>
      <c r="B140" s="815"/>
      <c r="C140" s="578"/>
      <c r="D140" s="578"/>
      <c r="E140" s="578"/>
      <c r="F140" s="578"/>
      <c r="G140" s="578"/>
      <c r="H140" s="578"/>
      <c r="I140" s="578"/>
      <c r="J140" s="578"/>
      <c r="K140" s="578"/>
      <c r="L140" s="578"/>
      <c r="M140" s="578"/>
      <c r="N140" s="578"/>
      <c r="O140" s="578"/>
      <c r="P140" s="578"/>
      <c r="Q140" s="578"/>
      <c r="R140" s="578"/>
      <c r="S140" s="578"/>
      <c r="T140" s="578"/>
      <c r="U140" s="578"/>
      <c r="V140" s="578"/>
      <c r="W140" s="578"/>
      <c r="X140" s="578"/>
      <c r="Y140" s="578"/>
      <c r="Z140" s="578"/>
      <c r="AA140" s="578"/>
      <c r="AB140" s="578"/>
      <c r="AC140" s="578"/>
      <c r="AD140" s="578"/>
      <c r="AE140" s="578"/>
      <c r="AF140" s="578"/>
      <c r="AG140" s="578"/>
      <c r="AH140" s="578"/>
      <c r="AI140" s="578"/>
      <c r="AJ140" s="578"/>
      <c r="AK140" s="578"/>
      <c r="AL140" s="578"/>
      <c r="AM140" s="578"/>
      <c r="AN140" s="578"/>
      <c r="AO140" s="578"/>
      <c r="AP140" s="578"/>
      <c r="AQ140" s="578"/>
      <c r="AR140" s="816"/>
      <c r="AS140" s="578"/>
      <c r="AT140" s="578"/>
      <c r="AU140" s="578"/>
      <c r="AV140" s="578"/>
      <c r="AW140" s="578"/>
      <c r="AX140" s="578"/>
      <c r="AY140" s="818"/>
      <c r="AZ140" s="578"/>
      <c r="BA140" s="578"/>
      <c r="BB140" s="578"/>
      <c r="BC140" s="578"/>
      <c r="BD140" s="578"/>
      <c r="BE140" s="578"/>
      <c r="BF140" s="578"/>
      <c r="BG140" s="578"/>
      <c r="BH140" s="578"/>
      <c r="BI140" s="578"/>
      <c r="BJ140" s="578"/>
      <c r="BK140" s="578"/>
      <c r="BL140" s="578"/>
      <c r="BM140" s="578"/>
      <c r="BN140" s="578"/>
      <c r="BO140" s="578"/>
      <c r="BP140" s="578"/>
      <c r="BQ140" s="578"/>
      <c r="BR140" s="578"/>
      <c r="BS140" s="578"/>
      <c r="BT140" s="578"/>
      <c r="BU140" s="578"/>
      <c r="BV140" s="578"/>
      <c r="BW140" s="578"/>
    </row>
    <row r="141" spans="1:75" ht="14.25" customHeight="1" x14ac:dyDescent="0.3">
      <c r="A141" s="578"/>
      <c r="B141" s="815"/>
      <c r="C141" s="578"/>
      <c r="D141" s="578"/>
      <c r="E141" s="578"/>
      <c r="F141" s="578"/>
      <c r="G141" s="578"/>
      <c r="H141" s="578"/>
      <c r="I141" s="578"/>
      <c r="J141" s="578"/>
      <c r="K141" s="578"/>
      <c r="L141" s="578"/>
      <c r="M141" s="578"/>
      <c r="N141" s="578"/>
      <c r="O141" s="578"/>
      <c r="P141" s="578"/>
      <c r="Q141" s="578"/>
      <c r="R141" s="578"/>
      <c r="S141" s="578"/>
      <c r="T141" s="578"/>
      <c r="U141" s="578"/>
      <c r="V141" s="578"/>
      <c r="W141" s="578"/>
      <c r="X141" s="578"/>
      <c r="Y141" s="578"/>
      <c r="Z141" s="578"/>
      <c r="AA141" s="578"/>
      <c r="AB141" s="578"/>
      <c r="AC141" s="578"/>
      <c r="AD141" s="578"/>
      <c r="AE141" s="578"/>
      <c r="AF141" s="578"/>
      <c r="AG141" s="578"/>
      <c r="AH141" s="578"/>
      <c r="AI141" s="578"/>
      <c r="AJ141" s="578"/>
      <c r="AK141" s="578"/>
      <c r="AL141" s="578"/>
      <c r="AM141" s="578"/>
      <c r="AN141" s="578"/>
      <c r="AO141" s="578"/>
      <c r="AP141" s="578"/>
      <c r="AQ141" s="578"/>
      <c r="AR141" s="816"/>
      <c r="AS141" s="578"/>
      <c r="AT141" s="578"/>
      <c r="AU141" s="578"/>
      <c r="AV141" s="578"/>
      <c r="AW141" s="578"/>
      <c r="AX141" s="578"/>
      <c r="AY141" s="818"/>
      <c r="AZ141" s="578"/>
      <c r="BA141" s="578"/>
      <c r="BB141" s="578"/>
      <c r="BC141" s="578"/>
      <c r="BD141" s="578"/>
      <c r="BE141" s="578"/>
      <c r="BF141" s="578"/>
      <c r="BG141" s="578"/>
      <c r="BH141" s="578"/>
      <c r="BI141" s="578"/>
      <c r="BJ141" s="578"/>
      <c r="BK141" s="578"/>
      <c r="BL141" s="578"/>
      <c r="BM141" s="578"/>
      <c r="BN141" s="578"/>
      <c r="BO141" s="578"/>
      <c r="BP141" s="578"/>
      <c r="BQ141" s="578"/>
      <c r="BR141" s="578"/>
      <c r="BS141" s="578"/>
      <c r="BT141" s="578"/>
      <c r="BU141" s="578"/>
      <c r="BV141" s="578"/>
      <c r="BW141" s="578"/>
    </row>
    <row r="142" spans="1:75" ht="14.25" customHeight="1" x14ac:dyDescent="0.3">
      <c r="A142" s="578"/>
      <c r="B142" s="815"/>
      <c r="C142" s="578"/>
      <c r="D142" s="578"/>
      <c r="E142" s="578"/>
      <c r="F142" s="578"/>
      <c r="G142" s="578"/>
      <c r="H142" s="578"/>
      <c r="I142" s="578"/>
      <c r="J142" s="578"/>
      <c r="K142" s="578"/>
      <c r="L142" s="578"/>
      <c r="M142" s="578"/>
      <c r="N142" s="578"/>
      <c r="O142" s="578"/>
      <c r="P142" s="578"/>
      <c r="Q142" s="578"/>
      <c r="R142" s="578"/>
      <c r="S142" s="578"/>
      <c r="T142" s="578"/>
      <c r="U142" s="578"/>
      <c r="V142" s="578"/>
      <c r="W142" s="578"/>
      <c r="X142" s="578"/>
      <c r="Y142" s="578"/>
      <c r="Z142" s="578"/>
      <c r="AA142" s="578"/>
      <c r="AB142" s="578"/>
      <c r="AC142" s="578"/>
      <c r="AD142" s="578"/>
      <c r="AE142" s="578"/>
      <c r="AF142" s="578"/>
      <c r="AG142" s="578"/>
      <c r="AH142" s="578"/>
      <c r="AI142" s="578"/>
      <c r="AJ142" s="578"/>
      <c r="AK142" s="578"/>
      <c r="AL142" s="578"/>
      <c r="AM142" s="578"/>
      <c r="AN142" s="578"/>
      <c r="AO142" s="578"/>
      <c r="AP142" s="578"/>
      <c r="AQ142" s="578"/>
      <c r="AR142" s="816"/>
      <c r="AS142" s="578"/>
      <c r="AT142" s="578"/>
      <c r="AU142" s="578"/>
      <c r="AV142" s="578"/>
      <c r="AW142" s="578"/>
      <c r="AX142" s="578"/>
      <c r="AY142" s="818"/>
      <c r="AZ142" s="578"/>
      <c r="BA142" s="578"/>
      <c r="BB142" s="578"/>
      <c r="BC142" s="578"/>
      <c r="BD142" s="578"/>
      <c r="BE142" s="578"/>
      <c r="BF142" s="578"/>
      <c r="BG142" s="578"/>
      <c r="BH142" s="578"/>
      <c r="BI142" s="578"/>
      <c r="BJ142" s="578"/>
      <c r="BK142" s="578"/>
      <c r="BL142" s="578"/>
      <c r="BM142" s="578"/>
      <c r="BN142" s="578"/>
      <c r="BO142" s="578"/>
      <c r="BP142" s="578"/>
      <c r="BQ142" s="578"/>
      <c r="BR142" s="578"/>
      <c r="BS142" s="578"/>
      <c r="BT142" s="578"/>
      <c r="BU142" s="578"/>
      <c r="BV142" s="578"/>
      <c r="BW142" s="578"/>
    </row>
    <row r="143" spans="1:75" ht="14.25" customHeight="1" x14ac:dyDescent="0.3">
      <c r="A143" s="578"/>
      <c r="B143" s="815"/>
      <c r="C143" s="578"/>
      <c r="D143" s="578"/>
      <c r="E143" s="578"/>
      <c r="F143" s="578"/>
      <c r="G143" s="578"/>
      <c r="H143" s="578"/>
      <c r="I143" s="578"/>
      <c r="J143" s="578"/>
      <c r="K143" s="578"/>
      <c r="L143" s="578"/>
      <c r="M143" s="578"/>
      <c r="N143" s="578"/>
      <c r="O143" s="578"/>
      <c r="P143" s="578"/>
      <c r="Q143" s="578"/>
      <c r="R143" s="578"/>
      <c r="S143" s="578"/>
      <c r="T143" s="578"/>
      <c r="U143" s="578"/>
      <c r="V143" s="578"/>
      <c r="W143" s="578"/>
      <c r="X143" s="578"/>
      <c r="Y143" s="578"/>
      <c r="Z143" s="578"/>
      <c r="AA143" s="578"/>
      <c r="AB143" s="578"/>
      <c r="AC143" s="578"/>
      <c r="AD143" s="578"/>
      <c r="AE143" s="578"/>
      <c r="AF143" s="578"/>
      <c r="AG143" s="578"/>
      <c r="AH143" s="578"/>
      <c r="AI143" s="578"/>
      <c r="AJ143" s="578"/>
      <c r="AK143" s="578"/>
      <c r="AL143" s="578"/>
      <c r="AM143" s="578"/>
      <c r="AN143" s="578"/>
      <c r="AO143" s="578"/>
      <c r="AP143" s="578"/>
      <c r="AQ143" s="578"/>
      <c r="AR143" s="816"/>
      <c r="AS143" s="578"/>
      <c r="AT143" s="578"/>
      <c r="AU143" s="578"/>
      <c r="AV143" s="578"/>
      <c r="AW143" s="578"/>
      <c r="AX143" s="578"/>
      <c r="AY143" s="818"/>
      <c r="AZ143" s="578"/>
      <c r="BA143" s="578"/>
      <c r="BB143" s="578"/>
      <c r="BC143" s="578"/>
      <c r="BD143" s="578"/>
      <c r="BE143" s="578"/>
      <c r="BF143" s="578"/>
      <c r="BG143" s="578"/>
      <c r="BH143" s="578"/>
      <c r="BI143" s="578"/>
      <c r="BJ143" s="578"/>
      <c r="BK143" s="578"/>
      <c r="BL143" s="578"/>
      <c r="BM143" s="578"/>
      <c r="BN143" s="578"/>
      <c r="BO143" s="578"/>
      <c r="BP143" s="578"/>
      <c r="BQ143" s="578"/>
      <c r="BR143" s="578"/>
      <c r="BS143" s="578"/>
      <c r="BT143" s="578"/>
      <c r="BU143" s="578"/>
      <c r="BV143" s="578"/>
      <c r="BW143" s="578"/>
    </row>
    <row r="144" spans="1:75" ht="14.25" customHeight="1" x14ac:dyDescent="0.3">
      <c r="A144" s="578"/>
      <c r="B144" s="815"/>
      <c r="C144" s="578"/>
      <c r="D144" s="578"/>
      <c r="E144" s="578"/>
      <c r="F144" s="578"/>
      <c r="G144" s="578"/>
      <c r="H144" s="578"/>
      <c r="I144" s="578"/>
      <c r="J144" s="578"/>
      <c r="K144" s="578"/>
      <c r="L144" s="578"/>
      <c r="M144" s="578"/>
      <c r="N144" s="578"/>
      <c r="O144" s="578"/>
      <c r="P144" s="578"/>
      <c r="Q144" s="578"/>
      <c r="R144" s="578"/>
      <c r="S144" s="578"/>
      <c r="T144" s="578"/>
      <c r="U144" s="578"/>
      <c r="V144" s="578"/>
      <c r="W144" s="578"/>
      <c r="X144" s="578"/>
      <c r="Y144" s="578"/>
      <c r="Z144" s="578"/>
      <c r="AA144" s="578"/>
      <c r="AB144" s="578"/>
      <c r="AC144" s="578"/>
      <c r="AD144" s="578"/>
      <c r="AE144" s="578"/>
      <c r="AF144" s="578"/>
      <c r="AG144" s="578"/>
      <c r="AH144" s="578"/>
      <c r="AI144" s="578"/>
      <c r="AJ144" s="578"/>
      <c r="AK144" s="578"/>
      <c r="AL144" s="578"/>
      <c r="AM144" s="578"/>
      <c r="AN144" s="578"/>
      <c r="AO144" s="578"/>
      <c r="AP144" s="578"/>
      <c r="AQ144" s="578"/>
      <c r="AR144" s="816"/>
      <c r="AS144" s="578"/>
      <c r="AT144" s="578"/>
      <c r="AU144" s="578"/>
      <c r="AV144" s="578"/>
      <c r="AW144" s="578"/>
      <c r="AX144" s="578"/>
      <c r="AY144" s="818"/>
      <c r="AZ144" s="578"/>
      <c r="BA144" s="578"/>
      <c r="BB144" s="578"/>
      <c r="BC144" s="578"/>
      <c r="BD144" s="578"/>
      <c r="BE144" s="578"/>
      <c r="BF144" s="578"/>
      <c r="BG144" s="578"/>
      <c r="BH144" s="578"/>
      <c r="BI144" s="578"/>
      <c r="BJ144" s="578"/>
      <c r="BK144" s="578"/>
      <c r="BL144" s="578"/>
      <c r="BM144" s="578"/>
      <c r="BN144" s="578"/>
      <c r="BO144" s="578"/>
      <c r="BP144" s="578"/>
      <c r="BQ144" s="578"/>
      <c r="BR144" s="578"/>
      <c r="BS144" s="578"/>
      <c r="BT144" s="578"/>
      <c r="BU144" s="578"/>
      <c r="BV144" s="578"/>
      <c r="BW144" s="578"/>
    </row>
    <row r="145" spans="1:75" ht="14.25" customHeight="1" x14ac:dyDescent="0.3">
      <c r="A145" s="578"/>
      <c r="B145" s="815"/>
      <c r="C145" s="578"/>
      <c r="D145" s="578"/>
      <c r="E145" s="578"/>
      <c r="F145" s="578"/>
      <c r="G145" s="578"/>
      <c r="H145" s="578"/>
      <c r="I145" s="578"/>
      <c r="J145" s="578"/>
      <c r="K145" s="578"/>
      <c r="L145" s="578"/>
      <c r="M145" s="578"/>
      <c r="N145" s="578"/>
      <c r="O145" s="578"/>
      <c r="P145" s="578"/>
      <c r="Q145" s="578"/>
      <c r="R145" s="578"/>
      <c r="S145" s="578"/>
      <c r="T145" s="578"/>
      <c r="U145" s="578"/>
      <c r="V145" s="578"/>
      <c r="W145" s="578"/>
      <c r="X145" s="578"/>
      <c r="Y145" s="578"/>
      <c r="Z145" s="578"/>
      <c r="AA145" s="578"/>
      <c r="AB145" s="578"/>
      <c r="AC145" s="578"/>
      <c r="AD145" s="578"/>
      <c r="AE145" s="578"/>
      <c r="AF145" s="578"/>
      <c r="AG145" s="578"/>
      <c r="AH145" s="578"/>
      <c r="AI145" s="578"/>
      <c r="AJ145" s="578"/>
      <c r="AK145" s="578"/>
      <c r="AL145" s="578"/>
      <c r="AM145" s="578"/>
      <c r="AN145" s="578"/>
      <c r="AO145" s="578"/>
      <c r="AP145" s="578"/>
      <c r="AQ145" s="578"/>
      <c r="AR145" s="816"/>
      <c r="AS145" s="578"/>
      <c r="AT145" s="578"/>
      <c r="AU145" s="578"/>
      <c r="AV145" s="578"/>
      <c r="AW145" s="578"/>
      <c r="AX145" s="578"/>
      <c r="AY145" s="818"/>
      <c r="AZ145" s="578"/>
      <c r="BA145" s="578"/>
      <c r="BB145" s="578"/>
      <c r="BC145" s="578"/>
      <c r="BD145" s="578"/>
      <c r="BE145" s="578"/>
      <c r="BF145" s="578"/>
      <c r="BG145" s="578"/>
      <c r="BH145" s="578"/>
      <c r="BI145" s="578"/>
      <c r="BJ145" s="578"/>
      <c r="BK145" s="578"/>
      <c r="BL145" s="578"/>
      <c r="BM145" s="578"/>
      <c r="BN145" s="578"/>
      <c r="BO145" s="578"/>
      <c r="BP145" s="578"/>
      <c r="BQ145" s="578"/>
      <c r="BR145" s="578"/>
      <c r="BS145" s="578"/>
      <c r="BT145" s="578"/>
      <c r="BU145" s="578"/>
      <c r="BV145" s="578"/>
      <c r="BW145" s="578"/>
    </row>
    <row r="146" spans="1:75" ht="14.25" customHeight="1" x14ac:dyDescent="0.3">
      <c r="A146" s="578"/>
      <c r="B146" s="815"/>
      <c r="C146" s="578"/>
      <c r="D146" s="578"/>
      <c r="E146" s="578"/>
      <c r="F146" s="578"/>
      <c r="G146" s="578"/>
      <c r="H146" s="578"/>
      <c r="I146" s="578"/>
      <c r="J146" s="578"/>
      <c r="K146" s="578"/>
      <c r="L146" s="578"/>
      <c r="M146" s="578"/>
      <c r="N146" s="578"/>
      <c r="O146" s="578"/>
      <c r="P146" s="578"/>
      <c r="Q146" s="578"/>
      <c r="R146" s="578"/>
      <c r="S146" s="578"/>
      <c r="T146" s="578"/>
      <c r="U146" s="578"/>
      <c r="V146" s="578"/>
      <c r="W146" s="578"/>
      <c r="X146" s="578"/>
      <c r="Y146" s="578"/>
      <c r="Z146" s="578"/>
      <c r="AA146" s="578"/>
      <c r="AB146" s="578"/>
      <c r="AC146" s="578"/>
      <c r="AD146" s="578"/>
      <c r="AE146" s="578"/>
      <c r="AF146" s="578"/>
      <c r="AG146" s="578"/>
      <c r="AH146" s="578"/>
      <c r="AI146" s="578"/>
      <c r="AJ146" s="578"/>
      <c r="AK146" s="578"/>
      <c r="AL146" s="578"/>
      <c r="AM146" s="578"/>
      <c r="AN146" s="578"/>
      <c r="AO146" s="578"/>
      <c r="AP146" s="578"/>
      <c r="AQ146" s="578"/>
      <c r="AR146" s="816"/>
      <c r="AS146" s="578"/>
      <c r="AT146" s="578"/>
      <c r="AU146" s="578"/>
      <c r="AV146" s="578"/>
      <c r="AW146" s="578"/>
      <c r="AX146" s="578"/>
      <c r="AY146" s="818"/>
      <c r="AZ146" s="578"/>
      <c r="BA146" s="578"/>
      <c r="BB146" s="578"/>
      <c r="BC146" s="578"/>
      <c r="BD146" s="578"/>
      <c r="BE146" s="578"/>
      <c r="BF146" s="578"/>
      <c r="BG146" s="578"/>
      <c r="BH146" s="578"/>
      <c r="BI146" s="578"/>
      <c r="BJ146" s="578"/>
      <c r="BK146" s="578"/>
      <c r="BL146" s="578"/>
      <c r="BM146" s="578"/>
      <c r="BN146" s="578"/>
      <c r="BO146" s="578"/>
      <c r="BP146" s="578"/>
      <c r="BQ146" s="578"/>
      <c r="BR146" s="578"/>
      <c r="BS146" s="578"/>
      <c r="BT146" s="578"/>
      <c r="BU146" s="578"/>
      <c r="BV146" s="578"/>
      <c r="BW146" s="578"/>
    </row>
    <row r="147" spans="1:75" ht="14.25" customHeight="1" x14ac:dyDescent="0.3">
      <c r="A147" s="578"/>
      <c r="B147" s="815"/>
      <c r="C147" s="578"/>
      <c r="D147" s="578"/>
      <c r="E147" s="578"/>
      <c r="F147" s="578"/>
      <c r="G147" s="578"/>
      <c r="H147" s="578"/>
      <c r="I147" s="578"/>
      <c r="J147" s="578"/>
      <c r="K147" s="578"/>
      <c r="L147" s="578"/>
      <c r="M147" s="578"/>
      <c r="N147" s="578"/>
      <c r="O147" s="578"/>
      <c r="P147" s="578"/>
      <c r="Q147" s="578"/>
      <c r="R147" s="578"/>
      <c r="S147" s="578"/>
      <c r="T147" s="578"/>
      <c r="U147" s="578"/>
      <c r="V147" s="578"/>
      <c r="W147" s="578"/>
      <c r="X147" s="578"/>
      <c r="Y147" s="578"/>
      <c r="Z147" s="578"/>
      <c r="AA147" s="578"/>
      <c r="AB147" s="578"/>
      <c r="AC147" s="578"/>
      <c r="AD147" s="578"/>
      <c r="AE147" s="578"/>
      <c r="AF147" s="578"/>
      <c r="AG147" s="578"/>
      <c r="AH147" s="578"/>
      <c r="AI147" s="578"/>
      <c r="AJ147" s="578"/>
      <c r="AK147" s="578"/>
      <c r="AL147" s="578"/>
      <c r="AM147" s="578"/>
      <c r="AN147" s="578"/>
      <c r="AO147" s="578"/>
      <c r="AP147" s="578"/>
      <c r="AQ147" s="578"/>
      <c r="AR147" s="816"/>
      <c r="AS147" s="578"/>
      <c r="AT147" s="578"/>
      <c r="AU147" s="578"/>
      <c r="AV147" s="578"/>
      <c r="AW147" s="578"/>
      <c r="AX147" s="578"/>
      <c r="AY147" s="818"/>
      <c r="AZ147" s="578"/>
      <c r="BA147" s="578"/>
      <c r="BB147" s="578"/>
      <c r="BC147" s="578"/>
      <c r="BD147" s="578"/>
      <c r="BE147" s="578"/>
      <c r="BF147" s="578"/>
      <c r="BG147" s="578"/>
      <c r="BH147" s="578"/>
      <c r="BI147" s="578"/>
      <c r="BJ147" s="578"/>
      <c r="BK147" s="578"/>
      <c r="BL147" s="578"/>
      <c r="BM147" s="578"/>
      <c r="BN147" s="578"/>
      <c r="BO147" s="578"/>
      <c r="BP147" s="578"/>
      <c r="BQ147" s="578"/>
      <c r="BR147" s="578"/>
      <c r="BS147" s="578"/>
      <c r="BT147" s="578"/>
      <c r="BU147" s="578"/>
      <c r="BV147" s="578"/>
      <c r="BW147" s="578"/>
    </row>
    <row r="148" spans="1:75" ht="14.25" customHeight="1" x14ac:dyDescent="0.3">
      <c r="A148" s="578"/>
      <c r="B148" s="815"/>
      <c r="C148" s="578"/>
      <c r="D148" s="578"/>
      <c r="E148" s="578"/>
      <c r="F148" s="578"/>
      <c r="G148" s="578"/>
      <c r="H148" s="578"/>
      <c r="I148" s="578"/>
      <c r="J148" s="578"/>
      <c r="K148" s="578"/>
      <c r="L148" s="578"/>
      <c r="M148" s="578"/>
      <c r="N148" s="578"/>
      <c r="O148" s="578"/>
      <c r="P148" s="578"/>
      <c r="Q148" s="578"/>
      <c r="R148" s="578"/>
      <c r="S148" s="578"/>
      <c r="T148" s="578"/>
      <c r="U148" s="578"/>
      <c r="V148" s="578"/>
      <c r="W148" s="578"/>
      <c r="X148" s="578"/>
      <c r="Y148" s="578"/>
      <c r="Z148" s="578"/>
      <c r="AA148" s="578"/>
      <c r="AB148" s="578"/>
      <c r="AC148" s="578"/>
      <c r="AD148" s="578"/>
      <c r="AE148" s="578"/>
      <c r="AF148" s="578"/>
      <c r="AG148" s="578"/>
      <c r="AH148" s="578"/>
      <c r="AI148" s="578"/>
      <c r="AJ148" s="578"/>
      <c r="AK148" s="578"/>
      <c r="AL148" s="578"/>
      <c r="AM148" s="578"/>
      <c r="AN148" s="578"/>
      <c r="AO148" s="578"/>
      <c r="AP148" s="578"/>
      <c r="AQ148" s="578"/>
      <c r="AR148" s="816"/>
      <c r="AS148" s="578"/>
      <c r="AT148" s="578"/>
      <c r="AU148" s="578"/>
      <c r="AV148" s="578"/>
      <c r="AW148" s="578"/>
      <c r="AX148" s="578"/>
      <c r="AY148" s="818"/>
      <c r="AZ148" s="578"/>
      <c r="BA148" s="578"/>
      <c r="BB148" s="578"/>
      <c r="BC148" s="578"/>
      <c r="BD148" s="578"/>
      <c r="BE148" s="578"/>
      <c r="BF148" s="578"/>
      <c r="BG148" s="578"/>
      <c r="BH148" s="578"/>
      <c r="BI148" s="578"/>
      <c r="BJ148" s="578"/>
      <c r="BK148" s="578"/>
      <c r="BL148" s="578"/>
      <c r="BM148" s="578"/>
      <c r="BN148" s="578"/>
      <c r="BO148" s="578"/>
      <c r="BP148" s="578"/>
      <c r="BQ148" s="578"/>
      <c r="BR148" s="578"/>
      <c r="BS148" s="578"/>
      <c r="BT148" s="578"/>
      <c r="BU148" s="578"/>
      <c r="BV148" s="578"/>
      <c r="BW148" s="578"/>
    </row>
    <row r="149" spans="1:75" ht="14.25" customHeight="1" x14ac:dyDescent="0.3">
      <c r="A149" s="578"/>
      <c r="B149" s="815"/>
      <c r="C149" s="578"/>
      <c r="D149" s="578"/>
      <c r="E149" s="578"/>
      <c r="F149" s="578"/>
      <c r="G149" s="578"/>
      <c r="H149" s="578"/>
      <c r="I149" s="578"/>
      <c r="J149" s="578"/>
      <c r="K149" s="578"/>
      <c r="L149" s="578"/>
      <c r="M149" s="578"/>
      <c r="N149" s="578"/>
      <c r="O149" s="578"/>
      <c r="P149" s="578"/>
      <c r="Q149" s="578"/>
      <c r="R149" s="578"/>
      <c r="S149" s="578"/>
      <c r="T149" s="578"/>
      <c r="U149" s="578"/>
      <c r="V149" s="578"/>
      <c r="W149" s="578"/>
      <c r="X149" s="578"/>
      <c r="Y149" s="578"/>
      <c r="Z149" s="578"/>
      <c r="AA149" s="578"/>
      <c r="AB149" s="578"/>
      <c r="AC149" s="578"/>
      <c r="AD149" s="578"/>
      <c r="AE149" s="578"/>
      <c r="AF149" s="578"/>
      <c r="AG149" s="578"/>
      <c r="AH149" s="578"/>
      <c r="AI149" s="578"/>
      <c r="AJ149" s="578"/>
      <c r="AK149" s="578"/>
      <c r="AL149" s="578"/>
      <c r="AM149" s="578"/>
      <c r="AN149" s="578"/>
      <c r="AO149" s="578"/>
      <c r="AP149" s="578"/>
      <c r="AQ149" s="578"/>
      <c r="AR149" s="816"/>
      <c r="AS149" s="578"/>
      <c r="AT149" s="578"/>
      <c r="AU149" s="578"/>
      <c r="AV149" s="578"/>
      <c r="AW149" s="578"/>
      <c r="AX149" s="578"/>
      <c r="AY149" s="818"/>
      <c r="AZ149" s="578"/>
      <c r="BA149" s="578"/>
      <c r="BB149" s="578"/>
      <c r="BC149" s="578"/>
      <c r="BD149" s="578"/>
      <c r="BE149" s="578"/>
      <c r="BF149" s="578"/>
      <c r="BG149" s="578"/>
      <c r="BH149" s="578"/>
      <c r="BI149" s="578"/>
      <c r="BJ149" s="578"/>
      <c r="BK149" s="578"/>
      <c r="BL149" s="578"/>
      <c r="BM149" s="578"/>
      <c r="BN149" s="578"/>
      <c r="BO149" s="578"/>
      <c r="BP149" s="578"/>
      <c r="BQ149" s="578"/>
      <c r="BR149" s="578"/>
      <c r="BS149" s="578"/>
      <c r="BT149" s="578"/>
      <c r="BU149" s="578"/>
      <c r="BV149" s="578"/>
      <c r="BW149" s="578"/>
    </row>
    <row r="150" spans="1:75" ht="14.25" customHeight="1" x14ac:dyDescent="0.3">
      <c r="A150" s="578"/>
      <c r="B150" s="815"/>
      <c r="C150" s="578"/>
      <c r="D150" s="578"/>
      <c r="E150" s="578"/>
      <c r="F150" s="578"/>
      <c r="G150" s="578"/>
      <c r="H150" s="578"/>
      <c r="I150" s="578"/>
      <c r="J150" s="578"/>
      <c r="K150" s="578"/>
      <c r="L150" s="578"/>
      <c r="M150" s="578"/>
      <c r="N150" s="578"/>
      <c r="O150" s="578"/>
      <c r="P150" s="578"/>
      <c r="Q150" s="578"/>
      <c r="R150" s="578"/>
      <c r="S150" s="578"/>
      <c r="T150" s="578"/>
      <c r="U150" s="578"/>
      <c r="V150" s="578"/>
      <c r="W150" s="578"/>
      <c r="X150" s="578"/>
      <c r="Y150" s="578"/>
      <c r="Z150" s="578"/>
      <c r="AA150" s="578"/>
      <c r="AB150" s="578"/>
      <c r="AC150" s="578"/>
      <c r="AD150" s="578"/>
      <c r="AE150" s="578"/>
      <c r="AF150" s="578"/>
      <c r="AG150" s="578"/>
      <c r="AH150" s="578"/>
      <c r="AI150" s="578"/>
      <c r="AJ150" s="578"/>
      <c r="AK150" s="578"/>
      <c r="AL150" s="578"/>
      <c r="AM150" s="578"/>
      <c r="AN150" s="578"/>
      <c r="AO150" s="578"/>
      <c r="AP150" s="578"/>
      <c r="AQ150" s="578"/>
      <c r="AR150" s="816"/>
      <c r="AS150" s="578"/>
      <c r="AT150" s="578"/>
      <c r="AU150" s="578"/>
      <c r="AV150" s="578"/>
      <c r="AW150" s="578"/>
      <c r="AX150" s="578"/>
      <c r="AY150" s="818"/>
      <c r="AZ150" s="578"/>
      <c r="BA150" s="578"/>
      <c r="BB150" s="578"/>
      <c r="BC150" s="578"/>
      <c r="BD150" s="578"/>
      <c r="BE150" s="578"/>
      <c r="BF150" s="578"/>
      <c r="BG150" s="578"/>
      <c r="BH150" s="578"/>
      <c r="BI150" s="578"/>
      <c r="BJ150" s="578"/>
      <c r="BK150" s="578"/>
      <c r="BL150" s="578"/>
      <c r="BM150" s="578"/>
      <c r="BN150" s="578"/>
      <c r="BO150" s="578"/>
      <c r="BP150" s="578"/>
      <c r="BQ150" s="578"/>
      <c r="BR150" s="578"/>
      <c r="BS150" s="578"/>
      <c r="BT150" s="578"/>
      <c r="BU150" s="578"/>
      <c r="BV150" s="578"/>
      <c r="BW150" s="578"/>
    </row>
    <row r="151" spans="1:75" ht="14.25" customHeight="1" x14ac:dyDescent="0.3">
      <c r="A151" s="578"/>
      <c r="B151" s="815"/>
      <c r="C151" s="578"/>
      <c r="D151" s="578"/>
      <c r="E151" s="578"/>
      <c r="F151" s="578"/>
      <c r="G151" s="578"/>
      <c r="H151" s="578"/>
      <c r="I151" s="578"/>
      <c r="J151" s="578"/>
      <c r="K151" s="578"/>
      <c r="L151" s="578"/>
      <c r="M151" s="578"/>
      <c r="N151" s="578"/>
      <c r="O151" s="578"/>
      <c r="P151" s="578"/>
      <c r="Q151" s="578"/>
      <c r="R151" s="578"/>
      <c r="S151" s="578"/>
      <c r="T151" s="578"/>
      <c r="U151" s="578"/>
      <c r="V151" s="578"/>
      <c r="W151" s="578"/>
      <c r="X151" s="578"/>
      <c r="Y151" s="578"/>
      <c r="Z151" s="578"/>
      <c r="AA151" s="578"/>
      <c r="AB151" s="578"/>
      <c r="AC151" s="578"/>
      <c r="AD151" s="578"/>
      <c r="AE151" s="578"/>
      <c r="AF151" s="578"/>
      <c r="AG151" s="578"/>
      <c r="AH151" s="578"/>
      <c r="AI151" s="578"/>
      <c r="AJ151" s="578"/>
      <c r="AK151" s="578"/>
      <c r="AL151" s="578"/>
      <c r="AM151" s="578"/>
      <c r="AN151" s="578"/>
      <c r="AO151" s="578"/>
      <c r="AP151" s="578"/>
      <c r="AQ151" s="578"/>
      <c r="AR151" s="816"/>
      <c r="AS151" s="578"/>
      <c r="AT151" s="578"/>
      <c r="AU151" s="578"/>
      <c r="AV151" s="578"/>
      <c r="AW151" s="578"/>
      <c r="AX151" s="578"/>
      <c r="AY151" s="818"/>
      <c r="AZ151" s="578"/>
      <c r="BA151" s="578"/>
      <c r="BB151" s="578"/>
      <c r="BC151" s="578"/>
      <c r="BD151" s="578"/>
      <c r="BE151" s="578"/>
      <c r="BF151" s="578"/>
      <c r="BG151" s="578"/>
      <c r="BH151" s="578"/>
      <c r="BI151" s="578"/>
      <c r="BJ151" s="578"/>
      <c r="BK151" s="578"/>
      <c r="BL151" s="578"/>
      <c r="BM151" s="578"/>
      <c r="BN151" s="578"/>
      <c r="BO151" s="578"/>
      <c r="BP151" s="578"/>
      <c r="BQ151" s="578"/>
      <c r="BR151" s="578"/>
      <c r="BS151" s="578"/>
      <c r="BT151" s="578"/>
      <c r="BU151" s="578"/>
      <c r="BV151" s="578"/>
      <c r="BW151" s="578"/>
    </row>
    <row r="152" spans="1:75" ht="14.25" customHeight="1" x14ac:dyDescent="0.3">
      <c r="A152" s="578"/>
      <c r="B152" s="815"/>
      <c r="C152" s="578"/>
      <c r="D152" s="578"/>
      <c r="E152" s="578"/>
      <c r="F152" s="578"/>
      <c r="G152" s="578"/>
      <c r="H152" s="578"/>
      <c r="I152" s="578"/>
      <c r="J152" s="578"/>
      <c r="K152" s="578"/>
      <c r="L152" s="578"/>
      <c r="M152" s="578"/>
      <c r="N152" s="578"/>
      <c r="O152" s="578"/>
      <c r="P152" s="578"/>
      <c r="Q152" s="578"/>
      <c r="R152" s="578"/>
      <c r="S152" s="578"/>
      <c r="T152" s="578"/>
      <c r="U152" s="578"/>
      <c r="V152" s="578"/>
      <c r="W152" s="578"/>
      <c r="X152" s="578"/>
      <c r="Y152" s="578"/>
      <c r="Z152" s="578"/>
      <c r="AA152" s="578"/>
      <c r="AB152" s="578"/>
      <c r="AC152" s="578"/>
      <c r="AD152" s="578"/>
      <c r="AE152" s="578"/>
      <c r="AF152" s="578"/>
      <c r="AG152" s="578"/>
      <c r="AH152" s="578"/>
      <c r="AI152" s="578"/>
      <c r="AJ152" s="578"/>
      <c r="AK152" s="578"/>
      <c r="AL152" s="578"/>
      <c r="AM152" s="578"/>
      <c r="AN152" s="578"/>
      <c r="AO152" s="578"/>
      <c r="AP152" s="578"/>
      <c r="AQ152" s="578"/>
      <c r="AR152" s="816"/>
      <c r="AS152" s="578"/>
      <c r="AT152" s="578"/>
      <c r="AU152" s="578"/>
      <c r="AV152" s="578"/>
      <c r="AW152" s="578"/>
      <c r="AX152" s="578"/>
      <c r="AY152" s="818"/>
      <c r="AZ152" s="578"/>
      <c r="BA152" s="578"/>
      <c r="BB152" s="578"/>
      <c r="BC152" s="578"/>
      <c r="BD152" s="578"/>
      <c r="BE152" s="578"/>
      <c r="BF152" s="578"/>
      <c r="BG152" s="578"/>
      <c r="BH152" s="578"/>
      <c r="BI152" s="578"/>
      <c r="BJ152" s="578"/>
      <c r="BK152" s="578"/>
      <c r="BL152" s="578"/>
      <c r="BM152" s="578"/>
      <c r="BN152" s="578"/>
      <c r="BO152" s="578"/>
      <c r="BP152" s="578"/>
      <c r="BQ152" s="578"/>
      <c r="BR152" s="578"/>
      <c r="BS152" s="578"/>
      <c r="BT152" s="578"/>
      <c r="BU152" s="578"/>
      <c r="BV152" s="578"/>
      <c r="BW152" s="578"/>
    </row>
    <row r="153" spans="1:75" ht="14.25" customHeight="1" x14ac:dyDescent="0.3">
      <c r="A153" s="578"/>
      <c r="B153" s="815"/>
      <c r="C153" s="578"/>
      <c r="D153" s="578"/>
      <c r="E153" s="578"/>
      <c r="F153" s="578"/>
      <c r="G153" s="578"/>
      <c r="H153" s="578"/>
      <c r="I153" s="578"/>
      <c r="J153" s="578"/>
      <c r="K153" s="578"/>
      <c r="L153" s="578"/>
      <c r="M153" s="578"/>
      <c r="N153" s="578"/>
      <c r="O153" s="578"/>
      <c r="P153" s="578"/>
      <c r="Q153" s="578"/>
      <c r="R153" s="578"/>
      <c r="S153" s="578"/>
      <c r="T153" s="578"/>
      <c r="U153" s="578"/>
      <c r="V153" s="578"/>
      <c r="W153" s="578"/>
      <c r="X153" s="578"/>
      <c r="Y153" s="578"/>
      <c r="Z153" s="578"/>
      <c r="AA153" s="578"/>
      <c r="AB153" s="578"/>
      <c r="AC153" s="578"/>
      <c r="AD153" s="578"/>
      <c r="AE153" s="578"/>
      <c r="AF153" s="578"/>
      <c r="AG153" s="578"/>
      <c r="AH153" s="578"/>
      <c r="AI153" s="578"/>
      <c r="AJ153" s="578"/>
      <c r="AK153" s="578"/>
      <c r="AL153" s="578"/>
      <c r="AM153" s="578"/>
      <c r="AN153" s="578"/>
      <c r="AO153" s="578"/>
      <c r="AP153" s="578"/>
      <c r="AQ153" s="578"/>
      <c r="AR153" s="816"/>
      <c r="AS153" s="578"/>
      <c r="AT153" s="578"/>
      <c r="AU153" s="578"/>
      <c r="AV153" s="578"/>
      <c r="AW153" s="578"/>
      <c r="AX153" s="578"/>
      <c r="AY153" s="818"/>
      <c r="AZ153" s="578"/>
      <c r="BA153" s="578"/>
      <c r="BB153" s="578"/>
      <c r="BC153" s="578"/>
      <c r="BD153" s="578"/>
      <c r="BE153" s="578"/>
      <c r="BF153" s="578"/>
      <c r="BG153" s="578"/>
      <c r="BH153" s="578"/>
      <c r="BI153" s="578"/>
      <c r="BJ153" s="578"/>
      <c r="BK153" s="578"/>
      <c r="BL153" s="578"/>
      <c r="BM153" s="578"/>
      <c r="BN153" s="578"/>
      <c r="BO153" s="578"/>
      <c r="BP153" s="578"/>
      <c r="BQ153" s="578"/>
      <c r="BR153" s="578"/>
      <c r="BS153" s="578"/>
      <c r="BT153" s="578"/>
      <c r="BU153" s="578"/>
      <c r="BV153" s="578"/>
      <c r="BW153" s="578"/>
    </row>
    <row r="154" spans="1:75" ht="14.25" customHeight="1" x14ac:dyDescent="0.3">
      <c r="A154" s="578"/>
      <c r="B154" s="815"/>
      <c r="C154" s="578"/>
      <c r="D154" s="578"/>
      <c r="E154" s="578"/>
      <c r="F154" s="578"/>
      <c r="G154" s="578"/>
      <c r="H154" s="578"/>
      <c r="I154" s="578"/>
      <c r="J154" s="578"/>
      <c r="K154" s="578"/>
      <c r="L154" s="578"/>
      <c r="M154" s="578"/>
      <c r="N154" s="578"/>
      <c r="O154" s="578"/>
      <c r="P154" s="578"/>
      <c r="Q154" s="578"/>
      <c r="R154" s="578"/>
      <c r="S154" s="578"/>
      <c r="T154" s="578"/>
      <c r="U154" s="578"/>
      <c r="V154" s="578"/>
      <c r="W154" s="578"/>
      <c r="X154" s="578"/>
      <c r="Y154" s="578"/>
      <c r="Z154" s="578"/>
      <c r="AA154" s="578"/>
      <c r="AB154" s="578"/>
      <c r="AC154" s="578"/>
      <c r="AD154" s="578"/>
      <c r="AE154" s="578"/>
      <c r="AF154" s="578"/>
      <c r="AG154" s="578"/>
      <c r="AH154" s="578"/>
      <c r="AI154" s="578"/>
      <c r="AJ154" s="578"/>
      <c r="AK154" s="578"/>
      <c r="AL154" s="578"/>
      <c r="AM154" s="578"/>
      <c r="AN154" s="578"/>
      <c r="AO154" s="578"/>
      <c r="AP154" s="578"/>
      <c r="AQ154" s="578"/>
      <c r="AR154" s="816"/>
      <c r="AS154" s="578"/>
      <c r="AT154" s="578"/>
      <c r="AU154" s="578"/>
      <c r="AV154" s="578"/>
      <c r="AW154" s="578"/>
      <c r="AX154" s="578"/>
      <c r="AY154" s="818"/>
      <c r="AZ154" s="578"/>
      <c r="BA154" s="578"/>
      <c r="BB154" s="578"/>
      <c r="BC154" s="578"/>
      <c r="BD154" s="578"/>
      <c r="BE154" s="578"/>
      <c r="BF154" s="578"/>
      <c r="BG154" s="578"/>
      <c r="BH154" s="578"/>
      <c r="BI154" s="578"/>
      <c r="BJ154" s="578"/>
      <c r="BK154" s="578"/>
      <c r="BL154" s="578"/>
      <c r="BM154" s="578"/>
      <c r="BN154" s="578"/>
      <c r="BO154" s="578"/>
      <c r="BP154" s="578"/>
      <c r="BQ154" s="578"/>
      <c r="BR154" s="578"/>
      <c r="BS154" s="578"/>
      <c r="BT154" s="578"/>
      <c r="BU154" s="578"/>
      <c r="BV154" s="578"/>
      <c r="BW154" s="578"/>
    </row>
    <row r="155" spans="1:75" ht="14.25" customHeight="1" x14ac:dyDescent="0.3">
      <c r="A155" s="578"/>
      <c r="B155" s="815"/>
      <c r="C155" s="578"/>
      <c r="D155" s="578"/>
      <c r="E155" s="578"/>
      <c r="F155" s="578"/>
      <c r="G155" s="578"/>
      <c r="H155" s="578"/>
      <c r="I155" s="578"/>
      <c r="J155" s="578"/>
      <c r="K155" s="578"/>
      <c r="L155" s="578"/>
      <c r="M155" s="578"/>
      <c r="N155" s="578"/>
      <c r="O155" s="578"/>
      <c r="P155" s="578"/>
      <c r="Q155" s="578"/>
      <c r="R155" s="578"/>
      <c r="S155" s="578"/>
      <c r="T155" s="578"/>
      <c r="U155" s="578"/>
      <c r="V155" s="578"/>
      <c r="W155" s="578"/>
      <c r="X155" s="578"/>
      <c r="Y155" s="578"/>
      <c r="Z155" s="578"/>
      <c r="AA155" s="578"/>
      <c r="AB155" s="578"/>
      <c r="AC155" s="578"/>
      <c r="AD155" s="578"/>
      <c r="AE155" s="578"/>
      <c r="AF155" s="578"/>
      <c r="AG155" s="578"/>
      <c r="AH155" s="578"/>
      <c r="AI155" s="578"/>
      <c r="AJ155" s="578"/>
      <c r="AK155" s="578"/>
      <c r="AL155" s="578"/>
      <c r="AM155" s="578"/>
      <c r="AN155" s="578"/>
      <c r="AO155" s="578"/>
      <c r="AP155" s="578"/>
      <c r="AQ155" s="578"/>
      <c r="AR155" s="816"/>
      <c r="AS155" s="578"/>
      <c r="AT155" s="578"/>
      <c r="AU155" s="578"/>
      <c r="AV155" s="578"/>
      <c r="AW155" s="578"/>
      <c r="AX155" s="578"/>
      <c r="AY155" s="818"/>
      <c r="AZ155" s="578"/>
      <c r="BA155" s="578"/>
      <c r="BB155" s="578"/>
      <c r="BC155" s="578"/>
      <c r="BD155" s="578"/>
      <c r="BE155" s="578"/>
      <c r="BF155" s="578"/>
      <c r="BG155" s="578"/>
      <c r="BH155" s="578"/>
      <c r="BI155" s="578"/>
      <c r="BJ155" s="578"/>
      <c r="BK155" s="578"/>
      <c r="BL155" s="578"/>
      <c r="BM155" s="578"/>
      <c r="BN155" s="578"/>
      <c r="BO155" s="578"/>
      <c r="BP155" s="578"/>
      <c r="BQ155" s="578"/>
      <c r="BR155" s="578"/>
      <c r="BS155" s="578"/>
      <c r="BT155" s="578"/>
      <c r="BU155" s="578"/>
      <c r="BV155" s="578"/>
      <c r="BW155" s="578"/>
    </row>
    <row r="156" spans="1:75" ht="14.25" customHeight="1" x14ac:dyDescent="0.3">
      <c r="A156" s="578"/>
      <c r="B156" s="815"/>
      <c r="C156" s="578"/>
      <c r="D156" s="578"/>
      <c r="E156" s="578"/>
      <c r="F156" s="578"/>
      <c r="G156" s="578"/>
      <c r="H156" s="578"/>
      <c r="I156" s="578"/>
      <c r="J156" s="578"/>
      <c r="K156" s="578"/>
      <c r="L156" s="578"/>
      <c r="M156" s="578"/>
      <c r="N156" s="578"/>
      <c r="O156" s="578"/>
      <c r="P156" s="578"/>
      <c r="Q156" s="578"/>
      <c r="R156" s="578"/>
      <c r="S156" s="578"/>
      <c r="T156" s="578"/>
      <c r="U156" s="578"/>
      <c r="V156" s="578"/>
      <c r="W156" s="578"/>
      <c r="X156" s="578"/>
      <c r="Y156" s="578"/>
      <c r="Z156" s="578"/>
      <c r="AA156" s="578"/>
      <c r="AB156" s="578"/>
      <c r="AC156" s="578"/>
      <c r="AD156" s="578"/>
      <c r="AE156" s="578"/>
      <c r="AF156" s="578"/>
      <c r="AG156" s="578"/>
      <c r="AH156" s="578"/>
      <c r="AI156" s="578"/>
      <c r="AJ156" s="578"/>
      <c r="AK156" s="578"/>
      <c r="AL156" s="578"/>
      <c r="AM156" s="578"/>
      <c r="AN156" s="578"/>
      <c r="AO156" s="578"/>
      <c r="AP156" s="578"/>
      <c r="AQ156" s="578"/>
      <c r="AR156" s="816"/>
      <c r="AS156" s="578"/>
      <c r="AT156" s="578"/>
      <c r="AU156" s="578"/>
      <c r="AV156" s="578"/>
      <c r="AW156" s="578"/>
      <c r="AX156" s="578"/>
      <c r="AY156" s="818"/>
      <c r="AZ156" s="578"/>
      <c r="BA156" s="578"/>
      <c r="BB156" s="578"/>
      <c r="BC156" s="578"/>
      <c r="BD156" s="578"/>
      <c r="BE156" s="578"/>
      <c r="BF156" s="578"/>
      <c r="BG156" s="578"/>
      <c r="BH156" s="578"/>
      <c r="BI156" s="578"/>
      <c r="BJ156" s="578"/>
      <c r="BK156" s="578"/>
      <c r="BL156" s="578"/>
      <c r="BM156" s="578"/>
      <c r="BN156" s="578"/>
      <c r="BO156" s="578"/>
      <c r="BP156" s="578"/>
      <c r="BQ156" s="578"/>
      <c r="BR156" s="578"/>
      <c r="BS156" s="578"/>
      <c r="BT156" s="578"/>
      <c r="BU156" s="578"/>
      <c r="BV156" s="578"/>
      <c r="BW156" s="578"/>
    </row>
    <row r="157" spans="1:75" ht="14.25" customHeight="1" x14ac:dyDescent="0.3">
      <c r="A157" s="578"/>
      <c r="B157" s="815"/>
      <c r="C157" s="578"/>
      <c r="D157" s="578"/>
      <c r="E157" s="578"/>
      <c r="F157" s="578"/>
      <c r="G157" s="578"/>
      <c r="H157" s="578"/>
      <c r="I157" s="578"/>
      <c r="J157" s="578"/>
      <c r="K157" s="578"/>
      <c r="L157" s="578"/>
      <c r="M157" s="578"/>
      <c r="N157" s="578"/>
      <c r="O157" s="578"/>
      <c r="P157" s="578"/>
      <c r="Q157" s="578"/>
      <c r="R157" s="578"/>
      <c r="S157" s="578"/>
      <c r="T157" s="578"/>
      <c r="U157" s="578"/>
      <c r="V157" s="578"/>
      <c r="W157" s="578"/>
      <c r="X157" s="578"/>
      <c r="Y157" s="578"/>
      <c r="Z157" s="578"/>
      <c r="AA157" s="578"/>
      <c r="AB157" s="578"/>
      <c r="AC157" s="578"/>
      <c r="AD157" s="578"/>
      <c r="AE157" s="578"/>
      <c r="AF157" s="578"/>
      <c r="AG157" s="578"/>
      <c r="AH157" s="578"/>
      <c r="AI157" s="578"/>
      <c r="AJ157" s="578"/>
      <c r="AK157" s="578"/>
      <c r="AL157" s="578"/>
      <c r="AM157" s="578"/>
      <c r="AN157" s="578"/>
      <c r="AO157" s="578"/>
      <c r="AP157" s="578"/>
      <c r="AQ157" s="578"/>
      <c r="AR157" s="816"/>
      <c r="AS157" s="578"/>
      <c r="AT157" s="578"/>
      <c r="AU157" s="578"/>
      <c r="AV157" s="578"/>
      <c r="AW157" s="578"/>
      <c r="AX157" s="578"/>
      <c r="AY157" s="818"/>
      <c r="AZ157" s="578"/>
      <c r="BA157" s="578"/>
      <c r="BB157" s="578"/>
      <c r="BC157" s="578"/>
      <c r="BD157" s="578"/>
      <c r="BE157" s="578"/>
      <c r="BF157" s="578"/>
      <c r="BG157" s="578"/>
      <c r="BH157" s="578"/>
      <c r="BI157" s="578"/>
      <c r="BJ157" s="578"/>
      <c r="BK157" s="578"/>
      <c r="BL157" s="578"/>
      <c r="BM157" s="578"/>
      <c r="BN157" s="578"/>
      <c r="BO157" s="578"/>
      <c r="BP157" s="578"/>
      <c r="BQ157" s="578"/>
      <c r="BR157" s="578"/>
      <c r="BS157" s="578"/>
      <c r="BT157" s="578"/>
      <c r="BU157" s="578"/>
      <c r="BV157" s="578"/>
      <c r="BW157" s="578"/>
    </row>
    <row r="158" spans="1:75" ht="14.25" customHeight="1" x14ac:dyDescent="0.3">
      <c r="A158" s="578"/>
      <c r="B158" s="815"/>
      <c r="C158" s="578"/>
      <c r="D158" s="578"/>
      <c r="E158" s="578"/>
      <c r="F158" s="578"/>
      <c r="G158" s="578"/>
      <c r="H158" s="578"/>
      <c r="I158" s="578"/>
      <c r="J158" s="578"/>
      <c r="K158" s="578"/>
      <c r="L158" s="578"/>
      <c r="M158" s="578"/>
      <c r="N158" s="578"/>
      <c r="O158" s="578"/>
      <c r="P158" s="578"/>
      <c r="Q158" s="578"/>
      <c r="R158" s="578"/>
      <c r="S158" s="578"/>
      <c r="T158" s="578"/>
      <c r="U158" s="578"/>
      <c r="V158" s="578"/>
      <c r="W158" s="578"/>
      <c r="X158" s="578"/>
      <c r="Y158" s="578"/>
      <c r="Z158" s="578"/>
      <c r="AA158" s="578"/>
      <c r="AB158" s="578"/>
      <c r="AC158" s="578"/>
      <c r="AD158" s="578"/>
      <c r="AE158" s="578"/>
      <c r="AF158" s="578"/>
      <c r="AG158" s="578"/>
      <c r="AH158" s="578"/>
      <c r="AI158" s="578"/>
      <c r="AJ158" s="578"/>
      <c r="AK158" s="578"/>
      <c r="AL158" s="578"/>
      <c r="AM158" s="578"/>
      <c r="AN158" s="578"/>
      <c r="AO158" s="578"/>
      <c r="AP158" s="578"/>
      <c r="AQ158" s="578"/>
      <c r="AR158" s="816"/>
      <c r="AS158" s="578"/>
      <c r="AT158" s="578"/>
      <c r="AU158" s="578"/>
      <c r="AV158" s="578"/>
      <c r="AW158" s="578"/>
      <c r="AX158" s="578"/>
      <c r="AY158" s="818"/>
      <c r="AZ158" s="578"/>
      <c r="BA158" s="578"/>
      <c r="BB158" s="578"/>
      <c r="BC158" s="578"/>
      <c r="BD158" s="578"/>
      <c r="BE158" s="578"/>
      <c r="BF158" s="578"/>
      <c r="BG158" s="578"/>
      <c r="BH158" s="578"/>
      <c r="BI158" s="578"/>
      <c r="BJ158" s="578"/>
      <c r="BK158" s="578"/>
      <c r="BL158" s="578"/>
      <c r="BM158" s="578"/>
      <c r="BN158" s="578"/>
      <c r="BO158" s="578"/>
      <c r="BP158" s="578"/>
      <c r="BQ158" s="578"/>
      <c r="BR158" s="578"/>
      <c r="BS158" s="578"/>
      <c r="BT158" s="578"/>
      <c r="BU158" s="578"/>
      <c r="BV158" s="578"/>
      <c r="BW158" s="578"/>
    </row>
    <row r="159" spans="1:75" ht="14.25" customHeight="1" x14ac:dyDescent="0.3">
      <c r="A159" s="578"/>
      <c r="B159" s="815"/>
      <c r="C159" s="578"/>
      <c r="D159" s="578"/>
      <c r="E159" s="578"/>
      <c r="F159" s="578"/>
      <c r="G159" s="578"/>
      <c r="H159" s="578"/>
      <c r="I159" s="578"/>
      <c r="J159" s="578"/>
      <c r="K159" s="578"/>
      <c r="L159" s="578"/>
      <c r="M159" s="578"/>
      <c r="N159" s="578"/>
      <c r="O159" s="578"/>
      <c r="P159" s="578"/>
      <c r="Q159" s="578"/>
      <c r="R159" s="578"/>
      <c r="S159" s="578"/>
      <c r="T159" s="578"/>
      <c r="U159" s="578"/>
      <c r="V159" s="578"/>
      <c r="W159" s="578"/>
      <c r="X159" s="578"/>
      <c r="Y159" s="578"/>
      <c r="Z159" s="578"/>
      <c r="AA159" s="578"/>
      <c r="AB159" s="578"/>
      <c r="AC159" s="578"/>
      <c r="AD159" s="578"/>
      <c r="AE159" s="578"/>
      <c r="AF159" s="578"/>
      <c r="AG159" s="578"/>
      <c r="AH159" s="578"/>
      <c r="AI159" s="578"/>
      <c r="AJ159" s="578"/>
      <c r="AK159" s="578"/>
      <c r="AL159" s="578"/>
      <c r="AM159" s="578"/>
      <c r="AN159" s="578"/>
      <c r="AO159" s="578"/>
      <c r="AP159" s="578"/>
      <c r="AQ159" s="578"/>
      <c r="AR159" s="816"/>
      <c r="AS159" s="578"/>
      <c r="AT159" s="578"/>
      <c r="AU159" s="578"/>
      <c r="AV159" s="578"/>
      <c r="AW159" s="578"/>
      <c r="AX159" s="578"/>
      <c r="AY159" s="818"/>
      <c r="AZ159" s="578"/>
      <c r="BA159" s="578"/>
      <c r="BB159" s="578"/>
      <c r="BC159" s="578"/>
      <c r="BD159" s="578"/>
      <c r="BE159" s="578"/>
      <c r="BF159" s="578"/>
      <c r="BG159" s="578"/>
      <c r="BH159" s="578"/>
      <c r="BI159" s="578"/>
      <c r="BJ159" s="578"/>
      <c r="BK159" s="578"/>
      <c r="BL159" s="578"/>
      <c r="BM159" s="578"/>
      <c r="BN159" s="578"/>
      <c r="BO159" s="578"/>
      <c r="BP159" s="578"/>
      <c r="BQ159" s="578"/>
      <c r="BR159" s="578"/>
      <c r="BS159" s="578"/>
      <c r="BT159" s="578"/>
      <c r="BU159" s="578"/>
      <c r="BV159" s="578"/>
      <c r="BW159" s="578"/>
    </row>
    <row r="160" spans="1:75" ht="14.25" customHeight="1" x14ac:dyDescent="0.3">
      <c r="A160" s="578"/>
      <c r="B160" s="815"/>
      <c r="C160" s="578"/>
      <c r="D160" s="578"/>
      <c r="E160" s="578"/>
      <c r="F160" s="578"/>
      <c r="G160" s="578"/>
      <c r="H160" s="578"/>
      <c r="I160" s="578"/>
      <c r="J160" s="578"/>
      <c r="K160" s="578"/>
      <c r="L160" s="578"/>
      <c r="M160" s="578"/>
      <c r="N160" s="578"/>
      <c r="O160" s="578"/>
      <c r="P160" s="578"/>
      <c r="Q160" s="578"/>
      <c r="R160" s="578"/>
      <c r="S160" s="578"/>
      <c r="T160" s="578"/>
      <c r="U160" s="578"/>
      <c r="V160" s="578"/>
      <c r="W160" s="578"/>
      <c r="X160" s="578"/>
      <c r="Y160" s="578"/>
      <c r="Z160" s="578"/>
      <c r="AA160" s="578"/>
      <c r="AB160" s="578"/>
      <c r="AC160" s="578"/>
      <c r="AD160" s="578"/>
      <c r="AE160" s="578"/>
      <c r="AF160" s="578"/>
      <c r="AG160" s="578"/>
      <c r="AH160" s="578"/>
      <c r="AI160" s="578"/>
      <c r="AJ160" s="578"/>
      <c r="AK160" s="578"/>
      <c r="AL160" s="578"/>
      <c r="AM160" s="578"/>
      <c r="AN160" s="578"/>
      <c r="AO160" s="578"/>
      <c r="AP160" s="578"/>
      <c r="AQ160" s="578"/>
      <c r="AR160" s="816"/>
      <c r="AS160" s="578"/>
      <c r="AT160" s="578"/>
      <c r="AU160" s="578"/>
      <c r="AV160" s="578"/>
      <c r="AW160" s="578"/>
      <c r="AX160" s="578"/>
      <c r="AY160" s="818"/>
      <c r="AZ160" s="578"/>
      <c r="BA160" s="578"/>
      <c r="BB160" s="578"/>
      <c r="BC160" s="578"/>
      <c r="BD160" s="578"/>
      <c r="BE160" s="578"/>
      <c r="BF160" s="578"/>
      <c r="BG160" s="578"/>
      <c r="BH160" s="578"/>
      <c r="BI160" s="578"/>
      <c r="BJ160" s="578"/>
      <c r="BK160" s="578"/>
      <c r="BL160" s="578"/>
      <c r="BM160" s="578"/>
      <c r="BN160" s="578"/>
      <c r="BO160" s="578"/>
      <c r="BP160" s="578"/>
      <c r="BQ160" s="578"/>
      <c r="BR160" s="578"/>
      <c r="BS160" s="578"/>
      <c r="BT160" s="578"/>
      <c r="BU160" s="578"/>
      <c r="BV160" s="578"/>
      <c r="BW160" s="578"/>
    </row>
    <row r="161" spans="1:75" ht="14.25" customHeight="1" x14ac:dyDescent="0.3">
      <c r="A161" s="578"/>
      <c r="B161" s="815"/>
      <c r="C161" s="578"/>
      <c r="D161" s="578"/>
      <c r="E161" s="578"/>
      <c r="F161" s="578"/>
      <c r="G161" s="578"/>
      <c r="H161" s="578"/>
      <c r="I161" s="578"/>
      <c r="J161" s="578"/>
      <c r="K161" s="578"/>
      <c r="L161" s="578"/>
      <c r="M161" s="578"/>
      <c r="N161" s="578"/>
      <c r="O161" s="578"/>
      <c r="P161" s="578"/>
      <c r="Q161" s="578"/>
      <c r="R161" s="578"/>
      <c r="S161" s="578"/>
      <c r="T161" s="578"/>
      <c r="U161" s="578"/>
      <c r="V161" s="578"/>
      <c r="W161" s="578"/>
      <c r="X161" s="578"/>
      <c r="Y161" s="578"/>
      <c r="Z161" s="578"/>
      <c r="AA161" s="578"/>
      <c r="AB161" s="578"/>
      <c r="AC161" s="578"/>
      <c r="AD161" s="578"/>
      <c r="AE161" s="578"/>
      <c r="AF161" s="578"/>
      <c r="AG161" s="578"/>
      <c r="AH161" s="578"/>
      <c r="AI161" s="578"/>
      <c r="AJ161" s="578"/>
      <c r="AK161" s="578"/>
      <c r="AL161" s="578"/>
      <c r="AM161" s="578"/>
      <c r="AN161" s="578"/>
      <c r="AO161" s="578"/>
      <c r="AP161" s="578"/>
      <c r="AQ161" s="578"/>
      <c r="AR161" s="816"/>
      <c r="AS161" s="578"/>
      <c r="AT161" s="578"/>
      <c r="AU161" s="578"/>
      <c r="AV161" s="578"/>
      <c r="AW161" s="578"/>
      <c r="AX161" s="578"/>
      <c r="AY161" s="818"/>
      <c r="AZ161" s="578"/>
      <c r="BA161" s="578"/>
      <c r="BB161" s="578"/>
      <c r="BC161" s="578"/>
      <c r="BD161" s="578"/>
      <c r="BE161" s="578"/>
      <c r="BF161" s="578"/>
      <c r="BG161" s="578"/>
      <c r="BH161" s="578"/>
      <c r="BI161" s="578"/>
      <c r="BJ161" s="578"/>
      <c r="BK161" s="578"/>
      <c r="BL161" s="578"/>
      <c r="BM161" s="578"/>
      <c r="BN161" s="578"/>
      <c r="BO161" s="578"/>
      <c r="BP161" s="578"/>
      <c r="BQ161" s="578"/>
      <c r="BR161" s="578"/>
      <c r="BS161" s="578"/>
      <c r="BT161" s="578"/>
      <c r="BU161" s="578"/>
      <c r="BV161" s="578"/>
      <c r="BW161" s="578"/>
    </row>
    <row r="162" spans="1:75" ht="14.25" customHeight="1" x14ac:dyDescent="0.3">
      <c r="A162" s="578"/>
      <c r="B162" s="815"/>
      <c r="C162" s="578"/>
      <c r="D162" s="578"/>
      <c r="E162" s="578"/>
      <c r="F162" s="578"/>
      <c r="G162" s="578"/>
      <c r="H162" s="578"/>
      <c r="I162" s="578"/>
      <c r="J162" s="578"/>
      <c r="K162" s="578"/>
      <c r="L162" s="578"/>
      <c r="M162" s="578"/>
      <c r="N162" s="578"/>
      <c r="O162" s="578"/>
      <c r="P162" s="578"/>
      <c r="Q162" s="578"/>
      <c r="R162" s="578"/>
      <c r="S162" s="578"/>
      <c r="T162" s="578"/>
      <c r="U162" s="578"/>
      <c r="V162" s="578"/>
      <c r="W162" s="578"/>
      <c r="X162" s="578"/>
      <c r="Y162" s="578"/>
      <c r="Z162" s="578"/>
      <c r="AA162" s="578"/>
      <c r="AB162" s="578"/>
      <c r="AC162" s="578"/>
      <c r="AD162" s="578"/>
      <c r="AE162" s="578"/>
      <c r="AF162" s="578"/>
      <c r="AG162" s="578"/>
      <c r="AH162" s="578"/>
      <c r="AI162" s="578"/>
      <c r="AJ162" s="578"/>
      <c r="AK162" s="578"/>
      <c r="AL162" s="578"/>
      <c r="AM162" s="578"/>
      <c r="AN162" s="578"/>
      <c r="AO162" s="578"/>
      <c r="AP162" s="578"/>
      <c r="AQ162" s="578"/>
      <c r="AR162" s="816"/>
      <c r="AS162" s="578"/>
      <c r="AT162" s="578"/>
      <c r="AU162" s="578"/>
      <c r="AV162" s="578"/>
      <c r="AW162" s="578"/>
      <c r="AX162" s="578"/>
      <c r="AY162" s="818"/>
      <c r="AZ162" s="578"/>
      <c r="BA162" s="578"/>
      <c r="BB162" s="578"/>
      <c r="BC162" s="578"/>
      <c r="BD162" s="578"/>
      <c r="BE162" s="578"/>
      <c r="BF162" s="578"/>
      <c r="BG162" s="578"/>
      <c r="BH162" s="578"/>
      <c r="BI162" s="578"/>
      <c r="BJ162" s="578"/>
      <c r="BK162" s="578"/>
      <c r="BL162" s="578"/>
      <c r="BM162" s="578"/>
      <c r="BN162" s="578"/>
      <c r="BO162" s="578"/>
      <c r="BP162" s="578"/>
      <c r="BQ162" s="578"/>
      <c r="BR162" s="578"/>
      <c r="BS162" s="578"/>
      <c r="BT162" s="578"/>
      <c r="BU162" s="578"/>
      <c r="BV162" s="578"/>
      <c r="BW162" s="578"/>
    </row>
    <row r="163" spans="1:75" ht="14.25" customHeight="1" x14ac:dyDescent="0.3">
      <c r="A163" s="578"/>
      <c r="B163" s="815"/>
      <c r="C163" s="578"/>
      <c r="D163" s="578"/>
      <c r="E163" s="578"/>
      <c r="F163" s="578"/>
      <c r="G163" s="578"/>
      <c r="H163" s="578"/>
      <c r="I163" s="578"/>
      <c r="J163" s="578"/>
      <c r="K163" s="578"/>
      <c r="L163" s="578"/>
      <c r="M163" s="578"/>
      <c r="N163" s="578"/>
      <c r="O163" s="578"/>
      <c r="P163" s="578"/>
      <c r="Q163" s="578"/>
      <c r="R163" s="578"/>
      <c r="S163" s="578"/>
      <c r="T163" s="578"/>
      <c r="U163" s="578"/>
      <c r="V163" s="578"/>
      <c r="W163" s="578"/>
      <c r="X163" s="578"/>
      <c r="Y163" s="578"/>
      <c r="Z163" s="578"/>
      <c r="AA163" s="578"/>
      <c r="AB163" s="578"/>
      <c r="AC163" s="578"/>
      <c r="AD163" s="578"/>
      <c r="AE163" s="578"/>
      <c r="AF163" s="578"/>
      <c r="AG163" s="578"/>
      <c r="AH163" s="578"/>
      <c r="AI163" s="578"/>
      <c r="AJ163" s="578"/>
      <c r="AK163" s="578"/>
      <c r="AL163" s="578"/>
      <c r="AM163" s="578"/>
      <c r="AN163" s="578"/>
      <c r="AO163" s="578"/>
      <c r="AP163" s="578"/>
      <c r="AQ163" s="578"/>
      <c r="AR163" s="816"/>
      <c r="AS163" s="578"/>
      <c r="AT163" s="578"/>
      <c r="AU163" s="578"/>
      <c r="AV163" s="578"/>
      <c r="AW163" s="578"/>
      <c r="AX163" s="578"/>
      <c r="AY163" s="818"/>
      <c r="AZ163" s="578"/>
      <c r="BA163" s="578"/>
      <c r="BB163" s="578"/>
      <c r="BC163" s="578"/>
      <c r="BD163" s="578"/>
      <c r="BE163" s="578"/>
      <c r="BF163" s="578"/>
      <c r="BG163" s="578"/>
      <c r="BH163" s="578"/>
      <c r="BI163" s="578"/>
      <c r="BJ163" s="578"/>
      <c r="BK163" s="578"/>
      <c r="BL163" s="578"/>
      <c r="BM163" s="578"/>
      <c r="BN163" s="578"/>
      <c r="BO163" s="578"/>
      <c r="BP163" s="578"/>
      <c r="BQ163" s="578"/>
      <c r="BR163" s="578"/>
      <c r="BS163" s="578"/>
      <c r="BT163" s="578"/>
      <c r="BU163" s="578"/>
      <c r="BV163" s="578"/>
      <c r="BW163" s="578"/>
    </row>
    <row r="164" spans="1:75" ht="14.25" customHeight="1" x14ac:dyDescent="0.3">
      <c r="A164" s="578"/>
      <c r="B164" s="815"/>
      <c r="C164" s="578"/>
      <c r="D164" s="578"/>
      <c r="E164" s="578"/>
      <c r="F164" s="578"/>
      <c r="G164" s="578"/>
      <c r="H164" s="578"/>
      <c r="I164" s="578"/>
      <c r="J164" s="578"/>
      <c r="K164" s="578"/>
      <c r="L164" s="578"/>
      <c r="M164" s="578"/>
      <c r="N164" s="578"/>
      <c r="O164" s="578"/>
      <c r="P164" s="578"/>
      <c r="Q164" s="578"/>
      <c r="R164" s="578"/>
      <c r="S164" s="578"/>
      <c r="T164" s="578"/>
      <c r="U164" s="578"/>
      <c r="V164" s="578"/>
      <c r="W164" s="578"/>
      <c r="X164" s="578"/>
      <c r="Y164" s="578"/>
      <c r="Z164" s="578"/>
      <c r="AA164" s="578"/>
      <c r="AB164" s="578"/>
      <c r="AC164" s="578"/>
      <c r="AD164" s="578"/>
      <c r="AE164" s="578"/>
      <c r="AF164" s="578"/>
      <c r="AG164" s="578"/>
      <c r="AH164" s="578"/>
      <c r="AI164" s="578"/>
      <c r="AJ164" s="578"/>
      <c r="AK164" s="578"/>
      <c r="AL164" s="578"/>
      <c r="AM164" s="578"/>
      <c r="AN164" s="578"/>
      <c r="AO164" s="578"/>
      <c r="AP164" s="578"/>
      <c r="AQ164" s="578"/>
      <c r="AR164" s="816"/>
      <c r="AS164" s="578"/>
      <c r="AT164" s="578"/>
      <c r="AU164" s="578"/>
      <c r="AV164" s="578"/>
      <c r="AW164" s="578"/>
      <c r="AX164" s="578"/>
      <c r="AY164" s="818"/>
      <c r="AZ164" s="578"/>
      <c r="BA164" s="578"/>
      <c r="BB164" s="578"/>
      <c r="BC164" s="578"/>
      <c r="BD164" s="578"/>
      <c r="BE164" s="578"/>
      <c r="BF164" s="578"/>
      <c r="BG164" s="578"/>
      <c r="BH164" s="578"/>
      <c r="BI164" s="578"/>
      <c r="BJ164" s="578"/>
      <c r="BK164" s="578"/>
      <c r="BL164" s="578"/>
      <c r="BM164" s="578"/>
      <c r="BN164" s="578"/>
      <c r="BO164" s="578"/>
      <c r="BP164" s="578"/>
      <c r="BQ164" s="578"/>
      <c r="BR164" s="578"/>
      <c r="BS164" s="578"/>
      <c r="BT164" s="578"/>
      <c r="BU164" s="578"/>
      <c r="BV164" s="578"/>
      <c r="BW164" s="578"/>
    </row>
    <row r="165" spans="1:75" ht="14.25" customHeight="1" x14ac:dyDescent="0.3">
      <c r="A165" s="578"/>
      <c r="B165" s="815"/>
      <c r="C165" s="578"/>
      <c r="D165" s="578"/>
      <c r="E165" s="578"/>
      <c r="F165" s="578"/>
      <c r="G165" s="578"/>
      <c r="H165" s="578"/>
      <c r="I165" s="578"/>
      <c r="J165" s="578"/>
      <c r="K165" s="578"/>
      <c r="L165" s="578"/>
      <c r="M165" s="578"/>
      <c r="N165" s="578"/>
      <c r="O165" s="578"/>
      <c r="P165" s="578"/>
      <c r="Q165" s="578"/>
      <c r="R165" s="578"/>
      <c r="S165" s="578"/>
      <c r="T165" s="578"/>
      <c r="U165" s="578"/>
      <c r="V165" s="578"/>
      <c r="W165" s="578"/>
      <c r="X165" s="578"/>
      <c r="Y165" s="578"/>
      <c r="Z165" s="578"/>
      <c r="AA165" s="578"/>
      <c r="AB165" s="578"/>
      <c r="AC165" s="578"/>
      <c r="AD165" s="578"/>
      <c r="AE165" s="578"/>
      <c r="AF165" s="578"/>
      <c r="AG165" s="578"/>
      <c r="AH165" s="578"/>
      <c r="AI165" s="578"/>
      <c r="AJ165" s="578"/>
      <c r="AK165" s="578"/>
      <c r="AL165" s="578"/>
      <c r="AM165" s="578"/>
      <c r="AN165" s="578"/>
      <c r="AO165" s="578"/>
      <c r="AP165" s="578"/>
      <c r="AQ165" s="578"/>
      <c r="AR165" s="816"/>
      <c r="AS165" s="578"/>
      <c r="AT165" s="578"/>
      <c r="AU165" s="578"/>
      <c r="AV165" s="578"/>
      <c r="AW165" s="578"/>
      <c r="AX165" s="578"/>
      <c r="AY165" s="818"/>
      <c r="AZ165" s="578"/>
      <c r="BA165" s="578"/>
      <c r="BB165" s="578"/>
      <c r="BC165" s="578"/>
      <c r="BD165" s="578"/>
      <c r="BE165" s="578"/>
      <c r="BF165" s="578"/>
      <c r="BG165" s="578"/>
      <c r="BH165" s="578"/>
      <c r="BI165" s="578"/>
      <c r="BJ165" s="578"/>
      <c r="BK165" s="578"/>
      <c r="BL165" s="578"/>
      <c r="BM165" s="578"/>
      <c r="BN165" s="578"/>
      <c r="BO165" s="578"/>
      <c r="BP165" s="578"/>
      <c r="BQ165" s="578"/>
      <c r="BR165" s="578"/>
      <c r="BS165" s="578"/>
      <c r="BT165" s="578"/>
      <c r="BU165" s="578"/>
      <c r="BV165" s="578"/>
      <c r="BW165" s="578"/>
    </row>
    <row r="166" spans="1:75" ht="14.25" customHeight="1" x14ac:dyDescent="0.3">
      <c r="A166" s="578"/>
      <c r="B166" s="815"/>
      <c r="C166" s="578"/>
      <c r="D166" s="578"/>
      <c r="E166" s="578"/>
      <c r="F166" s="578"/>
      <c r="G166" s="578"/>
      <c r="H166" s="578"/>
      <c r="I166" s="578"/>
      <c r="J166" s="578"/>
      <c r="K166" s="578"/>
      <c r="L166" s="578"/>
      <c r="M166" s="578"/>
      <c r="N166" s="578"/>
      <c r="O166" s="578"/>
      <c r="P166" s="578"/>
      <c r="Q166" s="578"/>
      <c r="R166" s="578"/>
      <c r="S166" s="578"/>
      <c r="T166" s="578"/>
      <c r="U166" s="578"/>
      <c r="V166" s="578"/>
      <c r="W166" s="578"/>
      <c r="X166" s="578"/>
      <c r="Y166" s="578"/>
      <c r="Z166" s="578"/>
      <c r="AA166" s="578"/>
      <c r="AB166" s="578"/>
      <c r="AC166" s="578"/>
      <c r="AD166" s="578"/>
      <c r="AE166" s="578"/>
      <c r="AF166" s="578"/>
      <c r="AG166" s="578"/>
      <c r="AH166" s="578"/>
      <c r="AI166" s="578"/>
      <c r="AJ166" s="578"/>
      <c r="AK166" s="578"/>
      <c r="AL166" s="578"/>
      <c r="AM166" s="578"/>
      <c r="AN166" s="578"/>
      <c r="AO166" s="578"/>
      <c r="AP166" s="578"/>
      <c r="AQ166" s="578"/>
      <c r="AR166" s="816"/>
      <c r="AS166" s="578"/>
      <c r="AT166" s="578"/>
      <c r="AU166" s="578"/>
      <c r="AV166" s="578"/>
      <c r="AW166" s="578"/>
      <c r="AX166" s="578"/>
      <c r="AY166" s="818"/>
      <c r="AZ166" s="578"/>
      <c r="BA166" s="578"/>
      <c r="BB166" s="578"/>
      <c r="BC166" s="578"/>
      <c r="BD166" s="578"/>
      <c r="BE166" s="578"/>
      <c r="BF166" s="578"/>
      <c r="BG166" s="578"/>
      <c r="BH166" s="578"/>
      <c r="BI166" s="578"/>
      <c r="BJ166" s="578"/>
      <c r="BK166" s="578"/>
      <c r="BL166" s="578"/>
      <c r="BM166" s="578"/>
      <c r="BN166" s="578"/>
      <c r="BO166" s="578"/>
      <c r="BP166" s="578"/>
      <c r="BQ166" s="578"/>
      <c r="BR166" s="578"/>
      <c r="BS166" s="578"/>
      <c r="BT166" s="578"/>
      <c r="BU166" s="578"/>
      <c r="BV166" s="578"/>
      <c r="BW166" s="578"/>
    </row>
    <row r="167" spans="1:75" ht="14.25" customHeight="1" x14ac:dyDescent="0.3">
      <c r="A167" s="578"/>
      <c r="B167" s="815"/>
      <c r="C167" s="578"/>
      <c r="D167" s="578"/>
      <c r="E167" s="578"/>
      <c r="F167" s="578"/>
      <c r="G167" s="578"/>
      <c r="H167" s="578"/>
      <c r="I167" s="578"/>
      <c r="J167" s="578"/>
      <c r="K167" s="578"/>
      <c r="L167" s="578"/>
      <c r="M167" s="578"/>
      <c r="N167" s="578"/>
      <c r="O167" s="578"/>
      <c r="P167" s="578"/>
      <c r="Q167" s="578"/>
      <c r="R167" s="578"/>
      <c r="S167" s="578"/>
      <c r="T167" s="578"/>
      <c r="U167" s="578"/>
      <c r="V167" s="578"/>
      <c r="W167" s="578"/>
      <c r="X167" s="578"/>
      <c r="Y167" s="578"/>
      <c r="Z167" s="578"/>
      <c r="AA167" s="578"/>
      <c r="AB167" s="578"/>
      <c r="AC167" s="578"/>
      <c r="AD167" s="578"/>
      <c r="AE167" s="578"/>
      <c r="AF167" s="578"/>
      <c r="AG167" s="578"/>
      <c r="AH167" s="578"/>
      <c r="AI167" s="578"/>
      <c r="AJ167" s="578"/>
      <c r="AK167" s="578"/>
      <c r="AL167" s="578"/>
      <c r="AM167" s="578"/>
      <c r="AN167" s="578"/>
      <c r="AO167" s="578"/>
      <c r="AP167" s="578"/>
      <c r="AQ167" s="578"/>
      <c r="AR167" s="816"/>
      <c r="AS167" s="578"/>
      <c r="AT167" s="578"/>
      <c r="AU167" s="578"/>
      <c r="AV167" s="578"/>
      <c r="AW167" s="578"/>
      <c r="AX167" s="578"/>
      <c r="AY167" s="818"/>
      <c r="AZ167" s="578"/>
      <c r="BA167" s="578"/>
      <c r="BB167" s="578"/>
      <c r="BC167" s="578"/>
      <c r="BD167" s="578"/>
      <c r="BE167" s="578"/>
      <c r="BF167" s="578"/>
      <c r="BG167" s="578"/>
      <c r="BH167" s="578"/>
      <c r="BI167" s="578"/>
      <c r="BJ167" s="578"/>
      <c r="BK167" s="578"/>
      <c r="BL167" s="578"/>
      <c r="BM167" s="578"/>
      <c r="BN167" s="578"/>
      <c r="BO167" s="578"/>
      <c r="BP167" s="578"/>
      <c r="BQ167" s="578"/>
      <c r="BR167" s="578"/>
      <c r="BS167" s="578"/>
      <c r="BT167" s="578"/>
      <c r="BU167" s="578"/>
      <c r="BV167" s="578"/>
      <c r="BW167" s="578"/>
    </row>
    <row r="168" spans="1:75" ht="14.25" customHeight="1" x14ac:dyDescent="0.3">
      <c r="A168" s="578"/>
      <c r="B168" s="815"/>
      <c r="C168" s="578"/>
      <c r="D168" s="578"/>
      <c r="E168" s="578"/>
      <c r="F168" s="578"/>
      <c r="G168" s="578"/>
      <c r="H168" s="578"/>
      <c r="I168" s="578"/>
      <c r="J168" s="578"/>
      <c r="K168" s="578"/>
      <c r="L168" s="578"/>
      <c r="M168" s="578"/>
      <c r="N168" s="578"/>
      <c r="O168" s="578"/>
      <c r="P168" s="578"/>
      <c r="Q168" s="578"/>
      <c r="R168" s="578"/>
      <c r="S168" s="578"/>
      <c r="T168" s="578"/>
      <c r="U168" s="578"/>
      <c r="V168" s="578"/>
      <c r="W168" s="578"/>
      <c r="X168" s="578"/>
      <c r="Y168" s="578"/>
      <c r="Z168" s="578"/>
      <c r="AA168" s="578"/>
      <c r="AB168" s="578"/>
      <c r="AC168" s="578"/>
      <c r="AD168" s="578"/>
      <c r="AE168" s="578"/>
      <c r="AF168" s="578"/>
      <c r="AG168" s="578"/>
      <c r="AH168" s="578"/>
      <c r="AI168" s="578"/>
      <c r="AJ168" s="578"/>
      <c r="AK168" s="578"/>
      <c r="AL168" s="578"/>
      <c r="AM168" s="578"/>
      <c r="AN168" s="578"/>
      <c r="AO168" s="578"/>
      <c r="AP168" s="578"/>
      <c r="AQ168" s="578"/>
      <c r="AR168" s="816"/>
      <c r="AS168" s="578"/>
      <c r="AT168" s="578"/>
      <c r="AU168" s="578"/>
      <c r="AV168" s="578"/>
      <c r="AW168" s="578"/>
      <c r="AX168" s="578"/>
      <c r="AY168" s="818"/>
      <c r="AZ168" s="578"/>
      <c r="BA168" s="578"/>
      <c r="BB168" s="578"/>
      <c r="BC168" s="578"/>
      <c r="BD168" s="578"/>
      <c r="BE168" s="578"/>
      <c r="BF168" s="578"/>
      <c r="BG168" s="578"/>
      <c r="BH168" s="578"/>
      <c r="BI168" s="578"/>
      <c r="BJ168" s="578"/>
      <c r="BK168" s="578"/>
      <c r="BL168" s="578"/>
      <c r="BM168" s="578"/>
      <c r="BN168" s="578"/>
      <c r="BO168" s="578"/>
      <c r="BP168" s="578"/>
      <c r="BQ168" s="578"/>
      <c r="BR168" s="578"/>
      <c r="BS168" s="578"/>
      <c r="BT168" s="578"/>
      <c r="BU168" s="578"/>
      <c r="BV168" s="578"/>
      <c r="BW168" s="578"/>
    </row>
    <row r="169" spans="1:75" ht="14.25" customHeight="1" x14ac:dyDescent="0.3">
      <c r="A169" s="578"/>
      <c r="B169" s="815"/>
      <c r="C169" s="578"/>
      <c r="D169" s="578"/>
      <c r="E169" s="578"/>
      <c r="F169" s="578"/>
      <c r="G169" s="578"/>
      <c r="H169" s="578"/>
      <c r="I169" s="578"/>
      <c r="J169" s="578"/>
      <c r="K169" s="578"/>
      <c r="L169" s="578"/>
      <c r="M169" s="578"/>
      <c r="N169" s="578"/>
      <c r="O169" s="578"/>
      <c r="P169" s="578"/>
      <c r="Q169" s="578"/>
      <c r="R169" s="578"/>
      <c r="S169" s="578"/>
      <c r="T169" s="578"/>
      <c r="U169" s="578"/>
      <c r="V169" s="578"/>
      <c r="W169" s="578"/>
      <c r="X169" s="578"/>
      <c r="Y169" s="578"/>
      <c r="Z169" s="578"/>
      <c r="AA169" s="578"/>
      <c r="AB169" s="578"/>
      <c r="AC169" s="578"/>
      <c r="AD169" s="578"/>
      <c r="AE169" s="578"/>
      <c r="AF169" s="578"/>
      <c r="AG169" s="578"/>
      <c r="AH169" s="578"/>
      <c r="AI169" s="578"/>
      <c r="AJ169" s="578"/>
      <c r="AK169" s="578"/>
      <c r="AL169" s="578"/>
      <c r="AM169" s="578"/>
      <c r="AN169" s="578"/>
      <c r="AO169" s="578"/>
      <c r="AP169" s="578"/>
      <c r="AQ169" s="578"/>
      <c r="AR169" s="816"/>
      <c r="AS169" s="578"/>
      <c r="AT169" s="578"/>
      <c r="AU169" s="578"/>
      <c r="AV169" s="578"/>
      <c r="AW169" s="578"/>
      <c r="AX169" s="578"/>
      <c r="AY169" s="818"/>
      <c r="AZ169" s="578"/>
      <c r="BA169" s="578"/>
      <c r="BB169" s="578"/>
      <c r="BC169" s="578"/>
      <c r="BD169" s="578"/>
      <c r="BE169" s="578"/>
      <c r="BF169" s="578"/>
      <c r="BG169" s="578"/>
      <c r="BH169" s="578"/>
      <c r="BI169" s="578"/>
      <c r="BJ169" s="578"/>
      <c r="BK169" s="578"/>
      <c r="BL169" s="578"/>
      <c r="BM169" s="578"/>
      <c r="BN169" s="578"/>
      <c r="BO169" s="578"/>
      <c r="BP169" s="578"/>
      <c r="BQ169" s="578"/>
      <c r="BR169" s="578"/>
      <c r="BS169" s="578"/>
      <c r="BT169" s="578"/>
      <c r="BU169" s="578"/>
      <c r="BV169" s="578"/>
      <c r="BW169" s="578"/>
    </row>
    <row r="170" spans="1:75" ht="14.25" customHeight="1" x14ac:dyDescent="0.3">
      <c r="A170" s="578"/>
      <c r="B170" s="815"/>
      <c r="C170" s="578"/>
      <c r="D170" s="578"/>
      <c r="E170" s="578"/>
      <c r="F170" s="578"/>
      <c r="G170" s="578"/>
      <c r="H170" s="578"/>
      <c r="I170" s="578"/>
      <c r="J170" s="578"/>
      <c r="K170" s="578"/>
      <c r="L170" s="578"/>
      <c r="M170" s="578"/>
      <c r="N170" s="578"/>
      <c r="O170" s="578"/>
      <c r="P170" s="578"/>
      <c r="Q170" s="578"/>
      <c r="R170" s="578"/>
      <c r="S170" s="578"/>
      <c r="T170" s="578"/>
      <c r="U170" s="578"/>
      <c r="V170" s="578"/>
      <c r="W170" s="578"/>
      <c r="X170" s="578"/>
      <c r="Y170" s="578"/>
      <c r="Z170" s="578"/>
      <c r="AA170" s="578"/>
      <c r="AB170" s="578"/>
      <c r="AC170" s="578"/>
      <c r="AD170" s="578"/>
      <c r="AE170" s="578"/>
      <c r="AF170" s="578"/>
      <c r="AG170" s="578"/>
      <c r="AH170" s="578"/>
      <c r="AI170" s="578"/>
      <c r="AJ170" s="578"/>
      <c r="AK170" s="578"/>
      <c r="AL170" s="578"/>
      <c r="AM170" s="578"/>
      <c r="AN170" s="578"/>
      <c r="AO170" s="578"/>
      <c r="AP170" s="578"/>
      <c r="AQ170" s="578"/>
      <c r="AR170" s="816"/>
      <c r="AS170" s="578"/>
      <c r="AT170" s="578"/>
      <c r="AU170" s="578"/>
      <c r="AV170" s="578"/>
      <c r="AW170" s="578"/>
      <c r="AX170" s="578"/>
      <c r="AY170" s="818"/>
      <c r="AZ170" s="578"/>
      <c r="BA170" s="578"/>
      <c r="BB170" s="578"/>
      <c r="BC170" s="578"/>
      <c r="BD170" s="578"/>
      <c r="BE170" s="578"/>
      <c r="BF170" s="578"/>
      <c r="BG170" s="578"/>
      <c r="BH170" s="578"/>
      <c r="BI170" s="578"/>
      <c r="BJ170" s="578"/>
      <c r="BK170" s="578"/>
      <c r="BL170" s="578"/>
      <c r="BM170" s="578"/>
      <c r="BN170" s="578"/>
      <c r="BO170" s="578"/>
      <c r="BP170" s="578"/>
      <c r="BQ170" s="578"/>
      <c r="BR170" s="578"/>
      <c r="BS170" s="578"/>
      <c r="BT170" s="578"/>
      <c r="BU170" s="578"/>
      <c r="BV170" s="578"/>
      <c r="BW170" s="578"/>
    </row>
    <row r="171" spans="1:75" ht="14.25" customHeight="1" x14ac:dyDescent="0.3">
      <c r="A171" s="578"/>
      <c r="B171" s="815"/>
      <c r="C171" s="578"/>
      <c r="D171" s="578"/>
      <c r="E171" s="578"/>
      <c r="F171" s="578"/>
      <c r="G171" s="578"/>
      <c r="H171" s="578"/>
      <c r="I171" s="578"/>
      <c r="J171" s="578"/>
      <c r="K171" s="578"/>
      <c r="L171" s="578"/>
      <c r="M171" s="578"/>
      <c r="N171" s="578"/>
      <c r="O171" s="578"/>
      <c r="P171" s="578"/>
      <c r="Q171" s="578"/>
      <c r="R171" s="578"/>
      <c r="S171" s="578"/>
      <c r="T171" s="578"/>
      <c r="U171" s="578"/>
      <c r="V171" s="578"/>
      <c r="W171" s="578"/>
      <c r="X171" s="578"/>
      <c r="Y171" s="578"/>
      <c r="Z171" s="578"/>
      <c r="AA171" s="578"/>
      <c r="AB171" s="578"/>
      <c r="AC171" s="578"/>
      <c r="AD171" s="578"/>
      <c r="AE171" s="578"/>
      <c r="AF171" s="578"/>
      <c r="AG171" s="578"/>
      <c r="AH171" s="578"/>
      <c r="AI171" s="578"/>
      <c r="AJ171" s="578"/>
      <c r="AK171" s="578"/>
      <c r="AL171" s="578"/>
      <c r="AM171" s="578"/>
      <c r="AN171" s="578"/>
      <c r="AO171" s="578"/>
      <c r="AP171" s="578"/>
      <c r="AQ171" s="578"/>
      <c r="AR171" s="816"/>
      <c r="AS171" s="578"/>
      <c r="AT171" s="578"/>
      <c r="AU171" s="578"/>
      <c r="AV171" s="578"/>
      <c r="AW171" s="578"/>
      <c r="AX171" s="578"/>
      <c r="AY171" s="818"/>
      <c r="AZ171" s="578"/>
      <c r="BA171" s="578"/>
      <c r="BB171" s="578"/>
      <c r="BC171" s="578"/>
      <c r="BD171" s="578"/>
      <c r="BE171" s="578"/>
      <c r="BF171" s="578"/>
      <c r="BG171" s="578"/>
      <c r="BH171" s="578"/>
      <c r="BI171" s="578"/>
      <c r="BJ171" s="578"/>
      <c r="BK171" s="578"/>
      <c r="BL171" s="578"/>
      <c r="BM171" s="578"/>
      <c r="BN171" s="578"/>
      <c r="BO171" s="578"/>
      <c r="BP171" s="578"/>
      <c r="BQ171" s="578"/>
      <c r="BR171" s="578"/>
      <c r="BS171" s="578"/>
      <c r="BT171" s="578"/>
      <c r="BU171" s="578"/>
      <c r="BV171" s="578"/>
      <c r="BW171" s="578"/>
    </row>
    <row r="172" spans="1:75" ht="14.25" customHeight="1" x14ac:dyDescent="0.3">
      <c r="A172" s="578"/>
      <c r="B172" s="815"/>
      <c r="C172" s="578"/>
      <c r="D172" s="578"/>
      <c r="E172" s="578"/>
      <c r="F172" s="578"/>
      <c r="G172" s="578"/>
      <c r="H172" s="578"/>
      <c r="I172" s="578"/>
      <c r="J172" s="578"/>
      <c r="K172" s="578"/>
      <c r="L172" s="578"/>
      <c r="M172" s="578"/>
      <c r="N172" s="578"/>
      <c r="O172" s="578"/>
      <c r="P172" s="578"/>
      <c r="Q172" s="578"/>
      <c r="R172" s="578"/>
      <c r="S172" s="578"/>
      <c r="T172" s="578"/>
      <c r="U172" s="578"/>
      <c r="V172" s="578"/>
      <c r="W172" s="578"/>
      <c r="X172" s="578"/>
      <c r="Y172" s="578"/>
      <c r="Z172" s="578"/>
      <c r="AA172" s="578"/>
      <c r="AB172" s="578"/>
      <c r="AC172" s="578"/>
      <c r="AD172" s="578"/>
      <c r="AE172" s="578"/>
      <c r="AF172" s="578"/>
      <c r="AG172" s="578"/>
      <c r="AH172" s="578"/>
      <c r="AI172" s="578"/>
      <c r="AJ172" s="578"/>
      <c r="AK172" s="578"/>
      <c r="AL172" s="578"/>
      <c r="AM172" s="578"/>
      <c r="AN172" s="578"/>
      <c r="AO172" s="578"/>
      <c r="AP172" s="578"/>
      <c r="AQ172" s="578"/>
      <c r="AR172" s="816"/>
      <c r="AS172" s="578"/>
      <c r="AT172" s="578"/>
      <c r="AU172" s="578"/>
      <c r="AV172" s="578"/>
      <c r="AW172" s="578"/>
      <c r="AX172" s="578"/>
      <c r="AY172" s="818"/>
      <c r="AZ172" s="578"/>
      <c r="BA172" s="578"/>
      <c r="BB172" s="578"/>
      <c r="BC172" s="578"/>
      <c r="BD172" s="578"/>
      <c r="BE172" s="578"/>
      <c r="BF172" s="578"/>
      <c r="BG172" s="578"/>
      <c r="BH172" s="578"/>
      <c r="BI172" s="578"/>
      <c r="BJ172" s="578"/>
      <c r="BK172" s="578"/>
      <c r="BL172" s="578"/>
      <c r="BM172" s="578"/>
      <c r="BN172" s="578"/>
      <c r="BO172" s="578"/>
      <c r="BP172" s="578"/>
      <c r="BQ172" s="578"/>
      <c r="BR172" s="578"/>
      <c r="BS172" s="578"/>
      <c r="BT172" s="578"/>
      <c r="BU172" s="578"/>
      <c r="BV172" s="578"/>
      <c r="BW172" s="578"/>
    </row>
    <row r="173" spans="1:75" ht="14.25" customHeight="1" x14ac:dyDescent="0.3">
      <c r="A173" s="578"/>
      <c r="B173" s="815"/>
      <c r="C173" s="578"/>
      <c r="D173" s="578"/>
      <c r="E173" s="578"/>
      <c r="F173" s="578"/>
      <c r="G173" s="578"/>
      <c r="H173" s="578"/>
      <c r="I173" s="578"/>
      <c r="J173" s="578"/>
      <c r="K173" s="578"/>
      <c r="L173" s="578"/>
      <c r="M173" s="578"/>
      <c r="N173" s="578"/>
      <c r="O173" s="578"/>
      <c r="P173" s="578"/>
      <c r="Q173" s="578"/>
      <c r="R173" s="578"/>
      <c r="S173" s="578"/>
      <c r="T173" s="578"/>
      <c r="U173" s="578"/>
      <c r="V173" s="578"/>
      <c r="W173" s="578"/>
      <c r="X173" s="578"/>
      <c r="Y173" s="578"/>
      <c r="Z173" s="578"/>
      <c r="AA173" s="578"/>
      <c r="AB173" s="578"/>
      <c r="AC173" s="578"/>
      <c r="AD173" s="578"/>
      <c r="AE173" s="578"/>
      <c r="AF173" s="578"/>
      <c r="AG173" s="578"/>
      <c r="AH173" s="578"/>
      <c r="AI173" s="578"/>
      <c r="AJ173" s="578"/>
      <c r="AK173" s="578"/>
      <c r="AL173" s="578"/>
      <c r="AM173" s="578"/>
      <c r="AN173" s="578"/>
      <c r="AO173" s="578"/>
      <c r="AP173" s="578"/>
      <c r="AQ173" s="578"/>
      <c r="AR173" s="816"/>
      <c r="AS173" s="578"/>
      <c r="AT173" s="578"/>
      <c r="AU173" s="578"/>
      <c r="AV173" s="578"/>
      <c r="AW173" s="578"/>
      <c r="AX173" s="578"/>
      <c r="AY173" s="818"/>
      <c r="AZ173" s="578"/>
      <c r="BA173" s="578"/>
      <c r="BB173" s="578"/>
      <c r="BC173" s="578"/>
      <c r="BD173" s="578"/>
      <c r="BE173" s="578"/>
      <c r="BF173" s="578"/>
      <c r="BG173" s="578"/>
      <c r="BH173" s="578"/>
      <c r="BI173" s="578"/>
      <c r="BJ173" s="578"/>
      <c r="BK173" s="578"/>
      <c r="BL173" s="578"/>
      <c r="BM173" s="578"/>
      <c r="BN173" s="578"/>
      <c r="BO173" s="578"/>
      <c r="BP173" s="578"/>
      <c r="BQ173" s="578"/>
      <c r="BR173" s="578"/>
      <c r="BS173" s="578"/>
      <c r="BT173" s="578"/>
      <c r="BU173" s="578"/>
      <c r="BV173" s="578"/>
      <c r="BW173" s="578"/>
    </row>
    <row r="174" spans="1:75" ht="14.25" customHeight="1" x14ac:dyDescent="0.3">
      <c r="A174" s="578"/>
      <c r="B174" s="815"/>
      <c r="C174" s="578"/>
      <c r="D174" s="578"/>
      <c r="E174" s="578"/>
      <c r="F174" s="578"/>
      <c r="G174" s="578"/>
      <c r="H174" s="578"/>
      <c r="I174" s="578"/>
      <c r="J174" s="578"/>
      <c r="K174" s="578"/>
      <c r="L174" s="578"/>
      <c r="M174" s="578"/>
      <c r="N174" s="578"/>
      <c r="O174" s="578"/>
      <c r="P174" s="578"/>
      <c r="Q174" s="578"/>
      <c r="R174" s="578"/>
      <c r="S174" s="578"/>
      <c r="T174" s="578"/>
      <c r="U174" s="578"/>
      <c r="V174" s="578"/>
      <c r="W174" s="578"/>
      <c r="X174" s="578"/>
      <c r="Y174" s="578"/>
      <c r="Z174" s="578"/>
      <c r="AA174" s="578"/>
      <c r="AB174" s="578"/>
      <c r="AC174" s="578"/>
      <c r="AD174" s="578"/>
      <c r="AE174" s="578"/>
      <c r="AF174" s="578"/>
      <c r="AG174" s="578"/>
      <c r="AH174" s="578"/>
      <c r="AI174" s="578"/>
      <c r="AJ174" s="578"/>
      <c r="AK174" s="578"/>
      <c r="AL174" s="578"/>
      <c r="AM174" s="578"/>
      <c r="AN174" s="578"/>
      <c r="AO174" s="578"/>
      <c r="AP174" s="578"/>
      <c r="AQ174" s="578"/>
      <c r="AR174" s="816"/>
      <c r="AS174" s="578"/>
      <c r="AT174" s="578"/>
      <c r="AU174" s="578"/>
      <c r="AV174" s="578"/>
      <c r="AW174" s="578"/>
      <c r="AX174" s="578"/>
      <c r="AY174" s="818"/>
      <c r="AZ174" s="578"/>
      <c r="BA174" s="578"/>
      <c r="BB174" s="578"/>
      <c r="BC174" s="578"/>
      <c r="BD174" s="578"/>
      <c r="BE174" s="578"/>
      <c r="BF174" s="578"/>
      <c r="BG174" s="578"/>
      <c r="BH174" s="578"/>
      <c r="BI174" s="578"/>
      <c r="BJ174" s="578"/>
      <c r="BK174" s="578"/>
      <c r="BL174" s="578"/>
      <c r="BM174" s="578"/>
      <c r="BN174" s="578"/>
      <c r="BO174" s="578"/>
      <c r="BP174" s="578"/>
      <c r="BQ174" s="578"/>
      <c r="BR174" s="578"/>
      <c r="BS174" s="578"/>
      <c r="BT174" s="578"/>
      <c r="BU174" s="578"/>
      <c r="BV174" s="578"/>
      <c r="BW174" s="578"/>
    </row>
    <row r="175" spans="1:75" ht="14.25" customHeight="1" x14ac:dyDescent="0.3">
      <c r="A175" s="578"/>
      <c r="B175" s="815"/>
      <c r="C175" s="578"/>
      <c r="D175" s="578"/>
      <c r="E175" s="578"/>
      <c r="F175" s="578"/>
      <c r="G175" s="578"/>
      <c r="H175" s="578"/>
      <c r="I175" s="578"/>
      <c r="J175" s="578"/>
      <c r="K175" s="578"/>
      <c r="L175" s="578"/>
      <c r="M175" s="578"/>
      <c r="N175" s="578"/>
      <c r="O175" s="578"/>
      <c r="P175" s="578"/>
      <c r="Q175" s="578"/>
      <c r="R175" s="578"/>
      <c r="S175" s="578"/>
      <c r="T175" s="578"/>
      <c r="U175" s="578"/>
      <c r="V175" s="578"/>
      <c r="W175" s="578"/>
      <c r="X175" s="578"/>
      <c r="Y175" s="578"/>
      <c r="Z175" s="578"/>
      <c r="AA175" s="578"/>
      <c r="AB175" s="578"/>
      <c r="AC175" s="578"/>
      <c r="AD175" s="578"/>
      <c r="AE175" s="578"/>
      <c r="AF175" s="578"/>
      <c r="AG175" s="578"/>
      <c r="AH175" s="578"/>
      <c r="AI175" s="578"/>
      <c r="AJ175" s="578"/>
      <c r="AK175" s="578"/>
      <c r="AL175" s="578"/>
      <c r="AM175" s="578"/>
      <c r="AN175" s="578"/>
      <c r="AO175" s="578"/>
      <c r="AP175" s="578"/>
      <c r="AQ175" s="578"/>
      <c r="AR175" s="816"/>
      <c r="AS175" s="578"/>
      <c r="AT175" s="578"/>
      <c r="AU175" s="578"/>
      <c r="AV175" s="578"/>
      <c r="AW175" s="578"/>
      <c r="AX175" s="578"/>
      <c r="AY175" s="818"/>
      <c r="AZ175" s="578"/>
      <c r="BA175" s="578"/>
      <c r="BB175" s="578"/>
      <c r="BC175" s="578"/>
      <c r="BD175" s="578"/>
      <c r="BE175" s="578"/>
      <c r="BF175" s="578"/>
      <c r="BG175" s="578"/>
      <c r="BH175" s="578"/>
      <c r="BI175" s="578"/>
      <c r="BJ175" s="578"/>
      <c r="BK175" s="578"/>
      <c r="BL175" s="578"/>
      <c r="BM175" s="578"/>
      <c r="BN175" s="578"/>
      <c r="BO175" s="578"/>
      <c r="BP175" s="578"/>
      <c r="BQ175" s="578"/>
      <c r="BR175" s="578"/>
      <c r="BS175" s="578"/>
      <c r="BT175" s="578"/>
      <c r="BU175" s="578"/>
      <c r="BV175" s="578"/>
      <c r="BW175" s="578"/>
    </row>
    <row r="176" spans="1:75" ht="14.25" customHeight="1" x14ac:dyDescent="0.3">
      <c r="A176" s="578"/>
      <c r="B176" s="815"/>
      <c r="C176" s="578"/>
      <c r="D176" s="578"/>
      <c r="E176" s="578"/>
      <c r="F176" s="578"/>
      <c r="G176" s="578"/>
      <c r="H176" s="578"/>
      <c r="I176" s="578"/>
      <c r="J176" s="578"/>
      <c r="K176" s="578"/>
      <c r="L176" s="578"/>
      <c r="M176" s="578"/>
      <c r="N176" s="578"/>
      <c r="O176" s="578"/>
      <c r="P176" s="578"/>
      <c r="Q176" s="578"/>
      <c r="R176" s="578"/>
      <c r="S176" s="578"/>
      <c r="T176" s="578"/>
      <c r="U176" s="578"/>
      <c r="V176" s="578"/>
      <c r="W176" s="578"/>
      <c r="X176" s="578"/>
      <c r="Y176" s="578"/>
      <c r="Z176" s="578"/>
      <c r="AA176" s="578"/>
      <c r="AB176" s="578"/>
      <c r="AC176" s="578"/>
      <c r="AD176" s="578"/>
      <c r="AE176" s="578"/>
      <c r="AF176" s="578"/>
      <c r="AG176" s="578"/>
      <c r="AH176" s="578"/>
      <c r="AI176" s="578"/>
      <c r="AJ176" s="578"/>
      <c r="AK176" s="578"/>
      <c r="AL176" s="578"/>
      <c r="AM176" s="578"/>
      <c r="AN176" s="578"/>
      <c r="AO176" s="578"/>
      <c r="AP176" s="578"/>
      <c r="AQ176" s="578"/>
      <c r="AR176" s="816"/>
      <c r="AS176" s="578"/>
      <c r="AT176" s="578"/>
      <c r="AU176" s="578"/>
      <c r="AV176" s="578"/>
      <c r="AW176" s="578"/>
      <c r="AX176" s="578"/>
      <c r="AY176" s="818"/>
      <c r="AZ176" s="578"/>
      <c r="BA176" s="578"/>
      <c r="BB176" s="578"/>
      <c r="BC176" s="578"/>
      <c r="BD176" s="578"/>
      <c r="BE176" s="578"/>
      <c r="BF176" s="578"/>
      <c r="BG176" s="578"/>
      <c r="BH176" s="578"/>
      <c r="BI176" s="578"/>
      <c r="BJ176" s="578"/>
      <c r="BK176" s="578"/>
      <c r="BL176" s="578"/>
      <c r="BM176" s="578"/>
      <c r="BN176" s="578"/>
      <c r="BO176" s="578"/>
      <c r="BP176" s="578"/>
      <c r="BQ176" s="578"/>
      <c r="BR176" s="578"/>
      <c r="BS176" s="578"/>
      <c r="BT176" s="578"/>
      <c r="BU176" s="578"/>
      <c r="BV176" s="578"/>
      <c r="BW176" s="578"/>
    </row>
    <row r="177" spans="1:75" ht="14.25" customHeight="1" x14ac:dyDescent="0.3">
      <c r="A177" s="578"/>
      <c r="B177" s="815"/>
      <c r="C177" s="578"/>
      <c r="D177" s="578"/>
      <c r="E177" s="578"/>
      <c r="F177" s="578"/>
      <c r="G177" s="578"/>
      <c r="H177" s="578"/>
      <c r="I177" s="578"/>
      <c r="J177" s="578"/>
      <c r="K177" s="578"/>
      <c r="L177" s="578"/>
      <c r="M177" s="578"/>
      <c r="N177" s="578"/>
      <c r="O177" s="578"/>
      <c r="P177" s="578"/>
      <c r="Q177" s="578"/>
      <c r="R177" s="578"/>
      <c r="S177" s="578"/>
      <c r="T177" s="578"/>
      <c r="U177" s="578"/>
      <c r="V177" s="578"/>
      <c r="W177" s="578"/>
      <c r="X177" s="578"/>
      <c r="Y177" s="578"/>
      <c r="Z177" s="578"/>
      <c r="AA177" s="578"/>
      <c r="AB177" s="578"/>
      <c r="AC177" s="578"/>
      <c r="AD177" s="578"/>
      <c r="AE177" s="578"/>
      <c r="AF177" s="578"/>
      <c r="AG177" s="578"/>
      <c r="AH177" s="578"/>
      <c r="AI177" s="578"/>
      <c r="AJ177" s="578"/>
      <c r="AK177" s="578"/>
      <c r="AL177" s="578"/>
      <c r="AM177" s="578"/>
      <c r="AN177" s="578"/>
      <c r="AO177" s="578"/>
      <c r="AP177" s="578"/>
      <c r="AQ177" s="578"/>
      <c r="AR177" s="816"/>
      <c r="AS177" s="578"/>
      <c r="AT177" s="578"/>
      <c r="AU177" s="578"/>
      <c r="AV177" s="578"/>
      <c r="AW177" s="578"/>
      <c r="AX177" s="578"/>
      <c r="AY177" s="818"/>
      <c r="AZ177" s="578"/>
      <c r="BA177" s="578"/>
      <c r="BB177" s="578"/>
      <c r="BC177" s="578"/>
      <c r="BD177" s="578"/>
      <c r="BE177" s="578"/>
      <c r="BF177" s="578"/>
      <c r="BG177" s="578"/>
      <c r="BH177" s="578"/>
      <c r="BI177" s="578"/>
      <c r="BJ177" s="578"/>
      <c r="BK177" s="578"/>
      <c r="BL177" s="578"/>
      <c r="BM177" s="578"/>
      <c r="BN177" s="578"/>
      <c r="BO177" s="578"/>
      <c r="BP177" s="578"/>
      <c r="BQ177" s="578"/>
      <c r="BR177" s="578"/>
      <c r="BS177" s="578"/>
      <c r="BT177" s="578"/>
      <c r="BU177" s="578"/>
      <c r="BV177" s="578"/>
      <c r="BW177" s="578"/>
    </row>
    <row r="178" spans="1:75" ht="14.25" customHeight="1" x14ac:dyDescent="0.3">
      <c r="A178" s="578"/>
      <c r="B178" s="815"/>
      <c r="C178" s="578"/>
      <c r="D178" s="578"/>
      <c r="E178" s="578"/>
      <c r="F178" s="578"/>
      <c r="G178" s="578"/>
      <c r="H178" s="578"/>
      <c r="I178" s="578"/>
      <c r="J178" s="578"/>
      <c r="K178" s="578"/>
      <c r="L178" s="578"/>
      <c r="M178" s="578"/>
      <c r="N178" s="578"/>
      <c r="O178" s="578"/>
      <c r="P178" s="578"/>
      <c r="Q178" s="578"/>
      <c r="R178" s="578"/>
      <c r="S178" s="578"/>
      <c r="T178" s="578"/>
      <c r="U178" s="578"/>
      <c r="V178" s="578"/>
      <c r="W178" s="578"/>
      <c r="X178" s="578"/>
      <c r="Y178" s="578"/>
      <c r="Z178" s="578"/>
      <c r="AA178" s="578"/>
      <c r="AB178" s="578"/>
      <c r="AC178" s="578"/>
      <c r="AD178" s="578"/>
      <c r="AE178" s="578"/>
      <c r="AF178" s="578"/>
      <c r="AG178" s="578"/>
      <c r="AH178" s="578"/>
      <c r="AI178" s="578"/>
      <c r="AJ178" s="578"/>
      <c r="AK178" s="578"/>
      <c r="AL178" s="578"/>
      <c r="AM178" s="578"/>
      <c r="AN178" s="578"/>
      <c r="AO178" s="578"/>
      <c r="AP178" s="578"/>
      <c r="AQ178" s="578"/>
      <c r="AR178" s="816"/>
      <c r="AS178" s="578"/>
      <c r="AT178" s="578"/>
      <c r="AU178" s="578"/>
      <c r="AV178" s="578"/>
      <c r="AW178" s="578"/>
      <c r="AX178" s="578"/>
      <c r="AY178" s="818"/>
      <c r="AZ178" s="578"/>
      <c r="BA178" s="578"/>
      <c r="BB178" s="578"/>
      <c r="BC178" s="578"/>
      <c r="BD178" s="578"/>
      <c r="BE178" s="578"/>
      <c r="BF178" s="578"/>
      <c r="BG178" s="578"/>
      <c r="BH178" s="578"/>
      <c r="BI178" s="578"/>
      <c r="BJ178" s="578"/>
      <c r="BK178" s="578"/>
      <c r="BL178" s="578"/>
      <c r="BM178" s="578"/>
      <c r="BN178" s="578"/>
      <c r="BO178" s="578"/>
      <c r="BP178" s="578"/>
      <c r="BQ178" s="578"/>
      <c r="BR178" s="578"/>
      <c r="BS178" s="578"/>
      <c r="BT178" s="578"/>
      <c r="BU178" s="578"/>
      <c r="BV178" s="578"/>
      <c r="BW178" s="578"/>
    </row>
    <row r="179" spans="1:75" ht="14.25" customHeight="1" x14ac:dyDescent="0.3">
      <c r="A179" s="578"/>
      <c r="B179" s="815"/>
      <c r="C179" s="578"/>
      <c r="D179" s="578"/>
      <c r="E179" s="578"/>
      <c r="F179" s="578"/>
      <c r="G179" s="578"/>
      <c r="H179" s="578"/>
      <c r="I179" s="578"/>
      <c r="J179" s="578"/>
      <c r="K179" s="578"/>
      <c r="L179" s="578"/>
      <c r="M179" s="578"/>
      <c r="N179" s="578"/>
      <c r="O179" s="578"/>
      <c r="P179" s="578"/>
      <c r="Q179" s="578"/>
      <c r="R179" s="578"/>
      <c r="S179" s="578"/>
      <c r="T179" s="578"/>
      <c r="U179" s="578"/>
      <c r="V179" s="578"/>
      <c r="W179" s="578"/>
      <c r="X179" s="578"/>
      <c r="Y179" s="578"/>
      <c r="Z179" s="578"/>
      <c r="AA179" s="578"/>
      <c r="AB179" s="578"/>
      <c r="AC179" s="578"/>
      <c r="AD179" s="578"/>
      <c r="AE179" s="578"/>
      <c r="AF179" s="578"/>
      <c r="AG179" s="578"/>
      <c r="AH179" s="578"/>
      <c r="AI179" s="578"/>
      <c r="AJ179" s="578"/>
      <c r="AK179" s="578"/>
      <c r="AL179" s="578"/>
      <c r="AM179" s="578"/>
      <c r="AN179" s="578"/>
      <c r="AO179" s="578"/>
      <c r="AP179" s="578"/>
      <c r="AQ179" s="578"/>
      <c r="AR179" s="816"/>
      <c r="AS179" s="578"/>
      <c r="AT179" s="578"/>
      <c r="AU179" s="578"/>
      <c r="AV179" s="578"/>
      <c r="AW179" s="578"/>
      <c r="AX179" s="578"/>
      <c r="AY179" s="818"/>
      <c r="AZ179" s="578"/>
      <c r="BA179" s="578"/>
      <c r="BB179" s="578"/>
      <c r="BC179" s="578"/>
      <c r="BD179" s="578"/>
      <c r="BE179" s="578"/>
      <c r="BF179" s="578"/>
      <c r="BG179" s="578"/>
      <c r="BH179" s="578"/>
      <c r="BI179" s="578"/>
      <c r="BJ179" s="578"/>
      <c r="BK179" s="578"/>
      <c r="BL179" s="578"/>
      <c r="BM179" s="578"/>
      <c r="BN179" s="578"/>
      <c r="BO179" s="578"/>
      <c r="BP179" s="578"/>
      <c r="BQ179" s="578"/>
      <c r="BR179" s="578"/>
      <c r="BS179" s="578"/>
      <c r="BT179" s="578"/>
      <c r="BU179" s="578"/>
      <c r="BV179" s="578"/>
      <c r="BW179" s="578"/>
    </row>
    <row r="180" spans="1:75" ht="14.25" customHeight="1" x14ac:dyDescent="0.3">
      <c r="A180" s="578"/>
      <c r="B180" s="815"/>
      <c r="C180" s="578"/>
      <c r="D180" s="578"/>
      <c r="E180" s="578"/>
      <c r="F180" s="578"/>
      <c r="G180" s="578"/>
      <c r="H180" s="578"/>
      <c r="I180" s="578"/>
      <c r="J180" s="578"/>
      <c r="K180" s="578"/>
      <c r="L180" s="578"/>
      <c r="M180" s="578"/>
      <c r="N180" s="578"/>
      <c r="O180" s="578"/>
      <c r="P180" s="578"/>
      <c r="Q180" s="578"/>
      <c r="R180" s="578"/>
      <c r="S180" s="578"/>
      <c r="T180" s="578"/>
      <c r="U180" s="578"/>
      <c r="V180" s="578"/>
      <c r="W180" s="578"/>
      <c r="X180" s="578"/>
      <c r="Y180" s="578"/>
      <c r="Z180" s="578"/>
      <c r="AA180" s="578"/>
      <c r="AB180" s="578"/>
      <c r="AC180" s="578"/>
      <c r="AD180" s="578"/>
      <c r="AE180" s="578"/>
      <c r="AF180" s="578"/>
      <c r="AG180" s="578"/>
      <c r="AH180" s="578"/>
      <c r="AI180" s="578"/>
      <c r="AJ180" s="578"/>
      <c r="AK180" s="578"/>
      <c r="AL180" s="578"/>
      <c r="AM180" s="578"/>
      <c r="AN180" s="578"/>
      <c r="AO180" s="578"/>
      <c r="AP180" s="578"/>
      <c r="AQ180" s="578"/>
      <c r="AR180" s="816"/>
      <c r="AS180" s="578"/>
      <c r="AT180" s="578"/>
      <c r="AU180" s="578"/>
      <c r="AV180" s="578"/>
      <c r="AW180" s="578"/>
      <c r="AX180" s="578"/>
      <c r="AY180" s="818"/>
      <c r="AZ180" s="578"/>
      <c r="BA180" s="578"/>
      <c r="BB180" s="578"/>
      <c r="BC180" s="578"/>
      <c r="BD180" s="578"/>
      <c r="BE180" s="578"/>
      <c r="BF180" s="578"/>
      <c r="BG180" s="578"/>
      <c r="BH180" s="578"/>
      <c r="BI180" s="578"/>
      <c r="BJ180" s="578"/>
      <c r="BK180" s="578"/>
      <c r="BL180" s="578"/>
      <c r="BM180" s="578"/>
      <c r="BN180" s="578"/>
      <c r="BO180" s="578"/>
      <c r="BP180" s="578"/>
      <c r="BQ180" s="578"/>
      <c r="BR180" s="578"/>
      <c r="BS180" s="578"/>
      <c r="BT180" s="578"/>
      <c r="BU180" s="578"/>
      <c r="BV180" s="578"/>
      <c r="BW180" s="578"/>
    </row>
    <row r="181" spans="1:75" ht="14.25" customHeight="1" x14ac:dyDescent="0.3">
      <c r="A181" s="578"/>
      <c r="B181" s="815"/>
      <c r="C181" s="578"/>
      <c r="D181" s="578"/>
      <c r="E181" s="578"/>
      <c r="F181" s="578"/>
      <c r="G181" s="578"/>
      <c r="H181" s="578"/>
      <c r="I181" s="578"/>
      <c r="J181" s="578"/>
      <c r="K181" s="578"/>
      <c r="L181" s="578"/>
      <c r="M181" s="578"/>
      <c r="N181" s="578"/>
      <c r="O181" s="578"/>
      <c r="P181" s="578"/>
      <c r="Q181" s="578"/>
      <c r="R181" s="578"/>
      <c r="S181" s="578"/>
      <c r="T181" s="578"/>
      <c r="U181" s="578"/>
      <c r="V181" s="578"/>
      <c r="W181" s="578"/>
      <c r="X181" s="578"/>
      <c r="Y181" s="578"/>
      <c r="Z181" s="578"/>
      <c r="AA181" s="578"/>
      <c r="AB181" s="578"/>
      <c r="AC181" s="578"/>
      <c r="AD181" s="578"/>
      <c r="AE181" s="578"/>
      <c r="AF181" s="578"/>
      <c r="AG181" s="578"/>
      <c r="AH181" s="578"/>
      <c r="AI181" s="578"/>
      <c r="AJ181" s="578"/>
      <c r="AK181" s="578"/>
      <c r="AL181" s="578"/>
      <c r="AM181" s="578"/>
      <c r="AN181" s="578"/>
      <c r="AO181" s="578"/>
      <c r="AP181" s="578"/>
      <c r="AQ181" s="578"/>
      <c r="AR181" s="816"/>
      <c r="AS181" s="578"/>
      <c r="AT181" s="578"/>
      <c r="AU181" s="578"/>
      <c r="AV181" s="578"/>
      <c r="AW181" s="578"/>
      <c r="AX181" s="578"/>
      <c r="AY181" s="818"/>
      <c r="AZ181" s="578"/>
      <c r="BA181" s="578"/>
      <c r="BB181" s="578"/>
      <c r="BC181" s="578"/>
      <c r="BD181" s="578"/>
      <c r="BE181" s="578"/>
      <c r="BF181" s="578"/>
      <c r="BG181" s="578"/>
      <c r="BH181" s="578"/>
      <c r="BI181" s="578"/>
      <c r="BJ181" s="578"/>
      <c r="BK181" s="578"/>
      <c r="BL181" s="578"/>
      <c r="BM181" s="578"/>
      <c r="BN181" s="578"/>
      <c r="BO181" s="578"/>
      <c r="BP181" s="578"/>
      <c r="BQ181" s="578"/>
      <c r="BR181" s="578"/>
      <c r="BS181" s="578"/>
      <c r="BT181" s="578"/>
      <c r="BU181" s="578"/>
      <c r="BV181" s="578"/>
      <c r="BW181" s="578"/>
    </row>
    <row r="182" spans="1:75" ht="14.25" customHeight="1" x14ac:dyDescent="0.3">
      <c r="A182" s="578"/>
      <c r="B182" s="815"/>
      <c r="C182" s="578"/>
      <c r="D182" s="578"/>
      <c r="E182" s="578"/>
      <c r="F182" s="578"/>
      <c r="G182" s="578"/>
      <c r="H182" s="578"/>
      <c r="I182" s="578"/>
      <c r="J182" s="578"/>
      <c r="K182" s="578"/>
      <c r="L182" s="578"/>
      <c r="M182" s="578"/>
      <c r="N182" s="578"/>
      <c r="O182" s="578"/>
      <c r="P182" s="578"/>
      <c r="Q182" s="578"/>
      <c r="R182" s="578"/>
      <c r="S182" s="578"/>
      <c r="T182" s="578"/>
      <c r="U182" s="578"/>
      <c r="V182" s="578"/>
      <c r="W182" s="578"/>
      <c r="X182" s="578"/>
      <c r="Y182" s="578"/>
      <c r="Z182" s="578"/>
      <c r="AA182" s="578"/>
      <c r="AB182" s="578"/>
      <c r="AC182" s="578"/>
      <c r="AD182" s="578"/>
      <c r="AE182" s="578"/>
      <c r="AF182" s="578"/>
      <c r="AG182" s="578"/>
      <c r="AH182" s="578"/>
      <c r="AI182" s="578"/>
      <c r="AJ182" s="578"/>
      <c r="AK182" s="578"/>
      <c r="AL182" s="578"/>
      <c r="AM182" s="578"/>
      <c r="AN182" s="578"/>
      <c r="AO182" s="578"/>
      <c r="AP182" s="578"/>
      <c r="AQ182" s="578"/>
      <c r="AR182" s="816"/>
      <c r="AS182" s="578"/>
      <c r="AT182" s="578"/>
      <c r="AU182" s="578"/>
      <c r="AV182" s="578"/>
      <c r="AW182" s="578"/>
      <c r="AX182" s="578"/>
      <c r="AY182" s="818"/>
      <c r="AZ182" s="578"/>
      <c r="BA182" s="578"/>
      <c r="BB182" s="578"/>
      <c r="BC182" s="578"/>
      <c r="BD182" s="578"/>
      <c r="BE182" s="578"/>
      <c r="BF182" s="578"/>
      <c r="BG182" s="578"/>
      <c r="BH182" s="578"/>
      <c r="BI182" s="578"/>
      <c r="BJ182" s="578"/>
      <c r="BK182" s="578"/>
      <c r="BL182" s="578"/>
      <c r="BM182" s="578"/>
      <c r="BN182" s="578"/>
      <c r="BO182" s="578"/>
      <c r="BP182" s="578"/>
      <c r="BQ182" s="578"/>
      <c r="BR182" s="578"/>
      <c r="BS182" s="578"/>
      <c r="BT182" s="578"/>
      <c r="BU182" s="578"/>
      <c r="BV182" s="578"/>
      <c r="BW182" s="578"/>
    </row>
    <row r="183" spans="1:75" ht="14.25" customHeight="1" x14ac:dyDescent="0.3">
      <c r="A183" s="578"/>
      <c r="B183" s="815"/>
      <c r="C183" s="578"/>
      <c r="D183" s="578"/>
      <c r="E183" s="578"/>
      <c r="F183" s="578"/>
      <c r="G183" s="578"/>
      <c r="H183" s="578"/>
      <c r="I183" s="578"/>
      <c r="J183" s="578"/>
      <c r="K183" s="578"/>
      <c r="L183" s="578"/>
      <c r="M183" s="578"/>
      <c r="N183" s="578"/>
      <c r="O183" s="578"/>
      <c r="P183" s="578"/>
      <c r="Q183" s="578"/>
      <c r="R183" s="578"/>
      <c r="S183" s="578"/>
      <c r="T183" s="578"/>
      <c r="U183" s="578"/>
      <c r="V183" s="578"/>
      <c r="W183" s="578"/>
      <c r="X183" s="578"/>
      <c r="Y183" s="578"/>
      <c r="Z183" s="578"/>
      <c r="AA183" s="578"/>
      <c r="AB183" s="578"/>
      <c r="AC183" s="578"/>
      <c r="AD183" s="578"/>
      <c r="AE183" s="578"/>
      <c r="AF183" s="578"/>
      <c r="AG183" s="578"/>
      <c r="AH183" s="578"/>
      <c r="AI183" s="578"/>
      <c r="AJ183" s="578"/>
      <c r="AK183" s="578"/>
      <c r="AL183" s="578"/>
      <c r="AM183" s="578"/>
      <c r="AN183" s="578"/>
      <c r="AO183" s="578"/>
      <c r="AP183" s="578"/>
      <c r="AQ183" s="578"/>
      <c r="AR183" s="816"/>
      <c r="AS183" s="578"/>
      <c r="AT183" s="578"/>
      <c r="AU183" s="578"/>
      <c r="AV183" s="578"/>
      <c r="AW183" s="578"/>
      <c r="AX183" s="578"/>
      <c r="AY183" s="818"/>
      <c r="AZ183" s="578"/>
      <c r="BA183" s="578"/>
      <c r="BB183" s="578"/>
      <c r="BC183" s="578"/>
      <c r="BD183" s="578"/>
      <c r="BE183" s="578"/>
      <c r="BF183" s="578"/>
      <c r="BG183" s="578"/>
      <c r="BH183" s="578"/>
      <c r="BI183" s="578"/>
      <c r="BJ183" s="578"/>
      <c r="BK183" s="578"/>
      <c r="BL183" s="578"/>
      <c r="BM183" s="578"/>
      <c r="BN183" s="578"/>
      <c r="BO183" s="578"/>
      <c r="BP183" s="578"/>
      <c r="BQ183" s="578"/>
      <c r="BR183" s="578"/>
      <c r="BS183" s="578"/>
      <c r="BT183" s="578"/>
      <c r="BU183" s="578"/>
      <c r="BV183" s="578"/>
      <c r="BW183" s="578"/>
    </row>
    <row r="184" spans="1:75" ht="14.25" customHeight="1" x14ac:dyDescent="0.3">
      <c r="A184" s="578"/>
      <c r="B184" s="815"/>
      <c r="C184" s="578"/>
      <c r="D184" s="578"/>
      <c r="E184" s="578"/>
      <c r="F184" s="578"/>
      <c r="G184" s="578"/>
      <c r="H184" s="578"/>
      <c r="I184" s="578"/>
      <c r="J184" s="578"/>
      <c r="K184" s="578"/>
      <c r="L184" s="578"/>
      <c r="M184" s="578"/>
      <c r="N184" s="578"/>
      <c r="O184" s="578"/>
      <c r="P184" s="578"/>
      <c r="Q184" s="578"/>
      <c r="R184" s="578"/>
      <c r="S184" s="578"/>
      <c r="T184" s="578"/>
      <c r="U184" s="578"/>
      <c r="V184" s="578"/>
      <c r="W184" s="578"/>
      <c r="X184" s="578"/>
      <c r="Y184" s="578"/>
      <c r="Z184" s="578"/>
      <c r="AA184" s="578"/>
      <c r="AB184" s="578"/>
      <c r="AC184" s="578"/>
      <c r="AD184" s="578"/>
      <c r="AE184" s="578"/>
      <c r="AF184" s="578"/>
      <c r="AG184" s="578"/>
      <c r="AH184" s="578"/>
      <c r="AI184" s="578"/>
      <c r="AJ184" s="578"/>
      <c r="AK184" s="578"/>
      <c r="AL184" s="578"/>
      <c r="AM184" s="578"/>
      <c r="AN184" s="578"/>
      <c r="AO184" s="578"/>
      <c r="AP184" s="578"/>
      <c r="AQ184" s="578"/>
      <c r="AR184" s="816"/>
      <c r="AS184" s="578"/>
      <c r="AT184" s="578"/>
      <c r="AU184" s="578"/>
      <c r="AV184" s="578"/>
      <c r="AW184" s="578"/>
      <c r="AX184" s="578"/>
      <c r="AY184" s="818"/>
      <c r="AZ184" s="578"/>
      <c r="BA184" s="578"/>
      <c r="BB184" s="578"/>
      <c r="BC184" s="578"/>
      <c r="BD184" s="578"/>
      <c r="BE184" s="578"/>
      <c r="BF184" s="578"/>
      <c r="BG184" s="578"/>
      <c r="BH184" s="578"/>
      <c r="BI184" s="578"/>
      <c r="BJ184" s="578"/>
      <c r="BK184" s="578"/>
      <c r="BL184" s="578"/>
      <c r="BM184" s="578"/>
      <c r="BN184" s="578"/>
      <c r="BO184" s="578"/>
      <c r="BP184" s="578"/>
      <c r="BQ184" s="578"/>
      <c r="BR184" s="578"/>
      <c r="BS184" s="578"/>
      <c r="BT184" s="578"/>
      <c r="BU184" s="578"/>
      <c r="BV184" s="578"/>
      <c r="BW184" s="578"/>
    </row>
    <row r="185" spans="1:75" ht="14.25" customHeight="1" x14ac:dyDescent="0.3">
      <c r="A185" s="578"/>
      <c r="B185" s="815"/>
      <c r="C185" s="578"/>
      <c r="D185" s="578"/>
      <c r="E185" s="578"/>
      <c r="F185" s="578"/>
      <c r="G185" s="578"/>
      <c r="H185" s="578"/>
      <c r="I185" s="578"/>
      <c r="J185" s="578"/>
      <c r="K185" s="578"/>
      <c r="L185" s="578"/>
      <c r="M185" s="578"/>
      <c r="N185" s="578"/>
      <c r="O185" s="578"/>
      <c r="P185" s="578"/>
      <c r="Q185" s="578"/>
      <c r="R185" s="578"/>
      <c r="S185" s="578"/>
      <c r="T185" s="578"/>
      <c r="U185" s="578"/>
      <c r="V185" s="578"/>
      <c r="W185" s="578"/>
      <c r="X185" s="578"/>
      <c r="Y185" s="578"/>
      <c r="Z185" s="578"/>
      <c r="AA185" s="578"/>
      <c r="AB185" s="578"/>
      <c r="AC185" s="578"/>
      <c r="AD185" s="578"/>
      <c r="AE185" s="578"/>
      <c r="AF185" s="578"/>
      <c r="AG185" s="578"/>
      <c r="AH185" s="578"/>
      <c r="AI185" s="578"/>
      <c r="AJ185" s="578"/>
      <c r="AK185" s="578"/>
      <c r="AL185" s="578"/>
      <c r="AM185" s="578"/>
      <c r="AN185" s="578"/>
      <c r="AO185" s="578"/>
      <c r="AP185" s="578"/>
      <c r="AQ185" s="578"/>
      <c r="AR185" s="816"/>
      <c r="AS185" s="578"/>
      <c r="AT185" s="578"/>
      <c r="AU185" s="578"/>
      <c r="AV185" s="578"/>
      <c r="AW185" s="578"/>
      <c r="AX185" s="578"/>
      <c r="AY185" s="818"/>
      <c r="AZ185" s="578"/>
      <c r="BA185" s="578"/>
      <c r="BB185" s="578"/>
      <c r="BC185" s="578"/>
      <c r="BD185" s="578"/>
      <c r="BE185" s="578"/>
      <c r="BF185" s="578"/>
      <c r="BG185" s="578"/>
      <c r="BH185" s="578"/>
      <c r="BI185" s="578"/>
      <c r="BJ185" s="578"/>
      <c r="BK185" s="578"/>
      <c r="BL185" s="578"/>
      <c r="BM185" s="578"/>
      <c r="BN185" s="578"/>
      <c r="BO185" s="578"/>
      <c r="BP185" s="578"/>
      <c r="BQ185" s="578"/>
      <c r="BR185" s="578"/>
      <c r="BS185" s="578"/>
      <c r="BT185" s="578"/>
      <c r="BU185" s="578"/>
      <c r="BV185" s="578"/>
      <c r="BW185" s="578"/>
    </row>
    <row r="186" spans="1:75" ht="14.25" customHeight="1" x14ac:dyDescent="0.3">
      <c r="A186" s="578"/>
      <c r="B186" s="815"/>
      <c r="C186" s="578"/>
      <c r="D186" s="578"/>
      <c r="E186" s="578"/>
      <c r="F186" s="578"/>
      <c r="G186" s="578"/>
      <c r="H186" s="578"/>
      <c r="I186" s="578"/>
      <c r="J186" s="578"/>
      <c r="K186" s="578"/>
      <c r="L186" s="578"/>
      <c r="M186" s="578"/>
      <c r="N186" s="578"/>
      <c r="O186" s="578"/>
      <c r="P186" s="578"/>
      <c r="Q186" s="578"/>
      <c r="R186" s="578"/>
      <c r="S186" s="578"/>
      <c r="T186" s="578"/>
      <c r="U186" s="578"/>
      <c r="V186" s="578"/>
      <c r="W186" s="578"/>
      <c r="X186" s="578"/>
      <c r="Y186" s="578"/>
      <c r="Z186" s="578"/>
      <c r="AA186" s="578"/>
      <c r="AB186" s="578"/>
      <c r="AC186" s="578"/>
      <c r="AD186" s="578"/>
      <c r="AE186" s="578"/>
      <c r="AF186" s="578"/>
      <c r="AG186" s="578"/>
      <c r="AH186" s="578"/>
      <c r="AI186" s="578"/>
      <c r="AJ186" s="578"/>
      <c r="AK186" s="578"/>
      <c r="AL186" s="578"/>
      <c r="AM186" s="578"/>
      <c r="AN186" s="578"/>
      <c r="AO186" s="578"/>
      <c r="AP186" s="578"/>
      <c r="AQ186" s="578"/>
      <c r="AR186" s="816"/>
      <c r="AS186" s="578"/>
      <c r="AT186" s="578"/>
      <c r="AU186" s="578"/>
      <c r="AV186" s="578"/>
      <c r="AW186" s="578"/>
      <c r="AX186" s="578"/>
      <c r="AY186" s="818"/>
      <c r="AZ186" s="578"/>
      <c r="BA186" s="578"/>
      <c r="BB186" s="578"/>
      <c r="BC186" s="578"/>
      <c r="BD186" s="578"/>
      <c r="BE186" s="578"/>
      <c r="BF186" s="578"/>
      <c r="BG186" s="578"/>
      <c r="BH186" s="578"/>
      <c r="BI186" s="578"/>
      <c r="BJ186" s="578"/>
      <c r="BK186" s="578"/>
      <c r="BL186" s="578"/>
      <c r="BM186" s="578"/>
      <c r="BN186" s="578"/>
      <c r="BO186" s="578"/>
      <c r="BP186" s="578"/>
      <c r="BQ186" s="578"/>
      <c r="BR186" s="578"/>
      <c r="BS186" s="578"/>
      <c r="BT186" s="578"/>
      <c r="BU186" s="578"/>
      <c r="BV186" s="578"/>
      <c r="BW186" s="578"/>
    </row>
    <row r="187" spans="1:75" ht="14.25" customHeight="1" x14ac:dyDescent="0.3">
      <c r="A187" s="578"/>
      <c r="B187" s="815"/>
      <c r="C187" s="578"/>
      <c r="D187" s="578"/>
      <c r="E187" s="578"/>
      <c r="F187" s="578"/>
      <c r="G187" s="578"/>
      <c r="H187" s="578"/>
      <c r="I187" s="578"/>
      <c r="J187" s="578"/>
      <c r="K187" s="578"/>
      <c r="L187" s="578"/>
      <c r="M187" s="578"/>
      <c r="N187" s="578"/>
      <c r="O187" s="578"/>
      <c r="P187" s="578"/>
      <c r="Q187" s="578"/>
      <c r="R187" s="578"/>
      <c r="S187" s="578"/>
      <c r="T187" s="578"/>
      <c r="U187" s="578"/>
      <c r="V187" s="578"/>
      <c r="W187" s="578"/>
      <c r="X187" s="578"/>
      <c r="Y187" s="578"/>
      <c r="Z187" s="578"/>
      <c r="AA187" s="578"/>
      <c r="AB187" s="578"/>
      <c r="AC187" s="578"/>
      <c r="AD187" s="578"/>
      <c r="AE187" s="578"/>
      <c r="AF187" s="578"/>
      <c r="AG187" s="578"/>
      <c r="AH187" s="578"/>
      <c r="AI187" s="578"/>
      <c r="AJ187" s="578"/>
      <c r="AK187" s="578"/>
      <c r="AL187" s="578"/>
      <c r="AM187" s="578"/>
      <c r="AN187" s="578"/>
      <c r="AO187" s="578"/>
      <c r="AP187" s="578"/>
      <c r="AQ187" s="578"/>
      <c r="AR187" s="816"/>
      <c r="AS187" s="578"/>
      <c r="AT187" s="578"/>
      <c r="AU187" s="578"/>
      <c r="AV187" s="578"/>
      <c r="AW187" s="578"/>
      <c r="AX187" s="578"/>
      <c r="AY187" s="818"/>
      <c r="AZ187" s="578"/>
      <c r="BA187" s="578"/>
      <c r="BB187" s="578"/>
      <c r="BC187" s="578"/>
      <c r="BD187" s="578"/>
      <c r="BE187" s="578"/>
      <c r="BF187" s="578"/>
      <c r="BG187" s="578"/>
      <c r="BH187" s="578"/>
      <c r="BI187" s="578"/>
      <c r="BJ187" s="578"/>
      <c r="BK187" s="578"/>
      <c r="BL187" s="578"/>
      <c r="BM187" s="578"/>
      <c r="BN187" s="578"/>
      <c r="BO187" s="578"/>
      <c r="BP187" s="578"/>
      <c r="BQ187" s="578"/>
      <c r="BR187" s="578"/>
      <c r="BS187" s="578"/>
      <c r="BT187" s="578"/>
      <c r="BU187" s="578"/>
      <c r="BV187" s="578"/>
      <c r="BW187" s="578"/>
    </row>
    <row r="188" spans="1:75" ht="14.25" customHeight="1" x14ac:dyDescent="0.3">
      <c r="A188" s="578"/>
      <c r="B188" s="815"/>
      <c r="C188" s="578"/>
      <c r="D188" s="578"/>
      <c r="E188" s="578"/>
      <c r="F188" s="578"/>
      <c r="G188" s="578"/>
      <c r="H188" s="578"/>
      <c r="I188" s="578"/>
      <c r="J188" s="578"/>
      <c r="K188" s="578"/>
      <c r="L188" s="578"/>
      <c r="M188" s="578"/>
      <c r="N188" s="578"/>
      <c r="O188" s="578"/>
      <c r="P188" s="578"/>
      <c r="Q188" s="578"/>
      <c r="R188" s="578"/>
      <c r="S188" s="578"/>
      <c r="T188" s="578"/>
      <c r="U188" s="578"/>
      <c r="V188" s="578"/>
      <c r="W188" s="578"/>
      <c r="X188" s="578"/>
      <c r="Y188" s="578"/>
      <c r="Z188" s="578"/>
      <c r="AA188" s="578"/>
      <c r="AB188" s="578"/>
      <c r="AC188" s="578"/>
      <c r="AD188" s="578"/>
      <c r="AE188" s="578"/>
      <c r="AF188" s="578"/>
      <c r="AG188" s="578"/>
      <c r="AH188" s="578"/>
      <c r="AI188" s="578"/>
      <c r="AJ188" s="578"/>
      <c r="AK188" s="578"/>
      <c r="AL188" s="578"/>
      <c r="AM188" s="578"/>
      <c r="AN188" s="578"/>
      <c r="AO188" s="578"/>
      <c r="AP188" s="578"/>
      <c r="AQ188" s="578"/>
      <c r="AR188" s="816"/>
      <c r="AS188" s="578"/>
      <c r="AT188" s="578"/>
      <c r="AU188" s="578"/>
      <c r="AV188" s="578"/>
      <c r="AW188" s="578"/>
      <c r="AX188" s="578"/>
      <c r="AY188" s="818"/>
      <c r="AZ188" s="578"/>
      <c r="BA188" s="578"/>
      <c r="BB188" s="578"/>
      <c r="BC188" s="578"/>
      <c r="BD188" s="578"/>
      <c r="BE188" s="578"/>
      <c r="BF188" s="578"/>
      <c r="BG188" s="578"/>
      <c r="BH188" s="578"/>
      <c r="BI188" s="578"/>
      <c r="BJ188" s="578"/>
      <c r="BK188" s="578"/>
      <c r="BL188" s="578"/>
      <c r="BM188" s="578"/>
      <c r="BN188" s="578"/>
      <c r="BO188" s="578"/>
      <c r="BP188" s="578"/>
      <c r="BQ188" s="578"/>
      <c r="BR188" s="578"/>
      <c r="BS188" s="578"/>
      <c r="BT188" s="578"/>
      <c r="BU188" s="578"/>
      <c r="BV188" s="578"/>
      <c r="BW188" s="578"/>
    </row>
    <row r="189" spans="1:75" ht="14.25" customHeight="1" x14ac:dyDescent="0.3">
      <c r="A189" s="578"/>
      <c r="B189" s="815"/>
      <c r="C189" s="578"/>
      <c r="D189" s="578"/>
      <c r="E189" s="578"/>
      <c r="F189" s="578"/>
      <c r="G189" s="578"/>
      <c r="H189" s="578"/>
      <c r="I189" s="578"/>
      <c r="J189" s="578"/>
      <c r="K189" s="578"/>
      <c r="L189" s="578"/>
      <c r="M189" s="578"/>
      <c r="N189" s="578"/>
      <c r="O189" s="578"/>
      <c r="P189" s="578"/>
      <c r="Q189" s="578"/>
      <c r="R189" s="578"/>
      <c r="S189" s="578"/>
      <c r="T189" s="578"/>
      <c r="U189" s="578"/>
      <c r="V189" s="578"/>
      <c r="W189" s="578"/>
      <c r="X189" s="578"/>
      <c r="Y189" s="578"/>
      <c r="Z189" s="578"/>
      <c r="AA189" s="578"/>
      <c r="AB189" s="578"/>
      <c r="AC189" s="578"/>
      <c r="AD189" s="578"/>
      <c r="AE189" s="578"/>
      <c r="AF189" s="578"/>
      <c r="AG189" s="578"/>
      <c r="AH189" s="578"/>
      <c r="AI189" s="578"/>
      <c r="AJ189" s="578"/>
      <c r="AK189" s="578"/>
      <c r="AL189" s="578"/>
      <c r="AM189" s="578"/>
      <c r="AN189" s="578"/>
      <c r="AO189" s="578"/>
      <c r="AP189" s="578"/>
      <c r="AQ189" s="578"/>
      <c r="AR189" s="816"/>
      <c r="AS189" s="578"/>
      <c r="AT189" s="578"/>
      <c r="AU189" s="578"/>
      <c r="AV189" s="578"/>
      <c r="AW189" s="578"/>
      <c r="AX189" s="578"/>
      <c r="AY189" s="818"/>
      <c r="AZ189" s="578"/>
      <c r="BA189" s="578"/>
      <c r="BB189" s="578"/>
      <c r="BC189" s="578"/>
      <c r="BD189" s="578"/>
      <c r="BE189" s="578"/>
      <c r="BF189" s="578"/>
      <c r="BG189" s="578"/>
      <c r="BH189" s="578"/>
      <c r="BI189" s="578"/>
      <c r="BJ189" s="578"/>
      <c r="BK189" s="578"/>
      <c r="BL189" s="578"/>
      <c r="BM189" s="578"/>
      <c r="BN189" s="578"/>
      <c r="BO189" s="578"/>
      <c r="BP189" s="578"/>
      <c r="BQ189" s="578"/>
      <c r="BR189" s="578"/>
      <c r="BS189" s="578"/>
      <c r="BT189" s="578"/>
      <c r="BU189" s="578"/>
      <c r="BV189" s="578"/>
      <c r="BW189" s="578"/>
    </row>
    <row r="190" spans="1:75" ht="14.25" customHeight="1" x14ac:dyDescent="0.3">
      <c r="A190" s="578"/>
      <c r="B190" s="815"/>
      <c r="C190" s="578"/>
      <c r="D190" s="578"/>
      <c r="E190" s="578"/>
      <c r="F190" s="578"/>
      <c r="G190" s="578"/>
      <c r="H190" s="578"/>
      <c r="I190" s="578"/>
      <c r="J190" s="578"/>
      <c r="K190" s="578"/>
      <c r="L190" s="578"/>
      <c r="M190" s="578"/>
      <c r="N190" s="578"/>
      <c r="O190" s="578"/>
      <c r="P190" s="578"/>
      <c r="Q190" s="578"/>
      <c r="R190" s="578"/>
      <c r="S190" s="578"/>
      <c r="T190" s="578"/>
      <c r="U190" s="578"/>
      <c r="V190" s="578"/>
      <c r="W190" s="578"/>
      <c r="X190" s="578"/>
      <c r="Y190" s="578"/>
      <c r="Z190" s="578"/>
      <c r="AA190" s="578"/>
      <c r="AB190" s="578"/>
      <c r="AC190" s="578"/>
      <c r="AD190" s="578"/>
      <c r="AE190" s="578"/>
      <c r="AF190" s="578"/>
      <c r="AG190" s="578"/>
      <c r="AH190" s="578"/>
      <c r="AI190" s="578"/>
      <c r="AJ190" s="578"/>
      <c r="AK190" s="578"/>
      <c r="AL190" s="578"/>
      <c r="AM190" s="578"/>
      <c r="AN190" s="578"/>
      <c r="AO190" s="578"/>
      <c r="AP190" s="578"/>
      <c r="AQ190" s="578"/>
      <c r="AR190" s="816"/>
      <c r="AS190" s="578"/>
      <c r="AT190" s="578"/>
      <c r="AU190" s="578"/>
      <c r="AV190" s="578"/>
      <c r="AW190" s="578"/>
      <c r="AX190" s="578"/>
      <c r="AY190" s="818"/>
      <c r="AZ190" s="578"/>
      <c r="BA190" s="578"/>
      <c r="BB190" s="578"/>
      <c r="BC190" s="578"/>
      <c r="BD190" s="578"/>
      <c r="BE190" s="578"/>
      <c r="BF190" s="578"/>
      <c r="BG190" s="578"/>
      <c r="BH190" s="578"/>
      <c r="BI190" s="578"/>
      <c r="BJ190" s="578"/>
      <c r="BK190" s="578"/>
      <c r="BL190" s="578"/>
      <c r="BM190" s="578"/>
      <c r="BN190" s="578"/>
      <c r="BO190" s="578"/>
      <c r="BP190" s="578"/>
      <c r="BQ190" s="578"/>
      <c r="BR190" s="578"/>
      <c r="BS190" s="578"/>
      <c r="BT190" s="578"/>
      <c r="BU190" s="578"/>
      <c r="BV190" s="578"/>
      <c r="BW190" s="578"/>
    </row>
    <row r="191" spans="1:75" ht="14.25" customHeight="1" x14ac:dyDescent="0.3">
      <c r="A191" s="578"/>
      <c r="B191" s="815"/>
      <c r="C191" s="578"/>
      <c r="D191" s="578"/>
      <c r="E191" s="578"/>
      <c r="F191" s="578"/>
      <c r="G191" s="578"/>
      <c r="H191" s="578"/>
      <c r="I191" s="578"/>
      <c r="J191" s="578"/>
      <c r="K191" s="578"/>
      <c r="L191" s="578"/>
      <c r="M191" s="578"/>
      <c r="N191" s="578"/>
      <c r="O191" s="578"/>
      <c r="P191" s="578"/>
      <c r="Q191" s="578"/>
      <c r="R191" s="578"/>
      <c r="S191" s="578"/>
      <c r="T191" s="578"/>
      <c r="U191" s="578"/>
      <c r="V191" s="578"/>
      <c r="W191" s="578"/>
      <c r="X191" s="578"/>
      <c r="Y191" s="578"/>
      <c r="Z191" s="578"/>
      <c r="AA191" s="578"/>
      <c r="AB191" s="578"/>
      <c r="AC191" s="578"/>
      <c r="AD191" s="578"/>
      <c r="AE191" s="578"/>
      <c r="AF191" s="578"/>
      <c r="AG191" s="578"/>
      <c r="AH191" s="578"/>
      <c r="AI191" s="578"/>
      <c r="AJ191" s="578"/>
      <c r="AK191" s="578"/>
      <c r="AL191" s="578"/>
      <c r="AM191" s="578"/>
      <c r="AN191" s="578"/>
      <c r="AO191" s="578"/>
      <c r="AP191" s="578"/>
      <c r="AQ191" s="578"/>
      <c r="AR191" s="816"/>
      <c r="AS191" s="578"/>
      <c r="AT191" s="578"/>
      <c r="AU191" s="578"/>
      <c r="AV191" s="578"/>
      <c r="AW191" s="578"/>
      <c r="AX191" s="578"/>
      <c r="AY191" s="818"/>
      <c r="AZ191" s="578"/>
      <c r="BA191" s="578"/>
      <c r="BB191" s="578"/>
      <c r="BC191" s="578"/>
      <c r="BD191" s="578"/>
      <c r="BE191" s="578"/>
      <c r="BF191" s="578"/>
      <c r="BG191" s="578"/>
      <c r="BH191" s="578"/>
      <c r="BI191" s="578"/>
      <c r="BJ191" s="578"/>
      <c r="BK191" s="578"/>
      <c r="BL191" s="578"/>
      <c r="BM191" s="578"/>
      <c r="BN191" s="578"/>
      <c r="BO191" s="578"/>
      <c r="BP191" s="578"/>
      <c r="BQ191" s="578"/>
      <c r="BR191" s="578"/>
      <c r="BS191" s="578"/>
      <c r="BT191" s="578"/>
      <c r="BU191" s="578"/>
      <c r="BV191" s="578"/>
      <c r="BW191" s="578"/>
    </row>
    <row r="192" spans="1:75" ht="14.25" customHeight="1" x14ac:dyDescent="0.3">
      <c r="A192" s="578"/>
      <c r="B192" s="815"/>
      <c r="C192" s="578"/>
      <c r="D192" s="578"/>
      <c r="E192" s="578"/>
      <c r="F192" s="578"/>
      <c r="G192" s="578"/>
      <c r="H192" s="578"/>
      <c r="I192" s="578"/>
      <c r="J192" s="578"/>
      <c r="K192" s="578"/>
      <c r="L192" s="578"/>
      <c r="M192" s="578"/>
      <c r="N192" s="578"/>
      <c r="O192" s="578"/>
      <c r="P192" s="578"/>
      <c r="Q192" s="578"/>
      <c r="R192" s="578"/>
      <c r="S192" s="578"/>
      <c r="T192" s="578"/>
      <c r="U192" s="578"/>
      <c r="V192" s="578"/>
      <c r="W192" s="578"/>
      <c r="X192" s="578"/>
      <c r="Y192" s="578"/>
      <c r="Z192" s="578"/>
      <c r="AA192" s="578"/>
      <c r="AB192" s="578"/>
      <c r="AC192" s="578"/>
      <c r="AD192" s="578"/>
      <c r="AE192" s="578"/>
      <c r="AF192" s="578"/>
      <c r="AG192" s="578"/>
      <c r="AH192" s="578"/>
      <c r="AI192" s="578"/>
      <c r="AJ192" s="578"/>
      <c r="AK192" s="578"/>
      <c r="AL192" s="578"/>
      <c r="AM192" s="578"/>
      <c r="AN192" s="578"/>
      <c r="AO192" s="578"/>
      <c r="AP192" s="578"/>
      <c r="AQ192" s="578"/>
      <c r="AR192" s="816"/>
      <c r="AS192" s="578"/>
      <c r="AT192" s="578"/>
      <c r="AU192" s="578"/>
      <c r="AV192" s="578"/>
      <c r="AW192" s="578"/>
      <c r="AX192" s="578"/>
      <c r="AY192" s="818"/>
      <c r="AZ192" s="578"/>
      <c r="BA192" s="578"/>
      <c r="BB192" s="578"/>
      <c r="BC192" s="578"/>
      <c r="BD192" s="578"/>
      <c r="BE192" s="578"/>
      <c r="BF192" s="578"/>
      <c r="BG192" s="578"/>
      <c r="BH192" s="578"/>
      <c r="BI192" s="578"/>
      <c r="BJ192" s="578"/>
      <c r="BK192" s="578"/>
      <c r="BL192" s="578"/>
      <c r="BM192" s="578"/>
      <c r="BN192" s="578"/>
      <c r="BO192" s="578"/>
      <c r="BP192" s="578"/>
      <c r="BQ192" s="578"/>
      <c r="BR192" s="578"/>
      <c r="BS192" s="578"/>
      <c r="BT192" s="578"/>
      <c r="BU192" s="578"/>
      <c r="BV192" s="578"/>
      <c r="BW192" s="578"/>
    </row>
    <row r="193" spans="1:75" ht="14.25" customHeight="1" x14ac:dyDescent="0.3">
      <c r="A193" s="578"/>
      <c r="B193" s="815"/>
      <c r="C193" s="578"/>
      <c r="D193" s="578"/>
      <c r="E193" s="578"/>
      <c r="F193" s="578"/>
      <c r="G193" s="578"/>
      <c r="H193" s="578"/>
      <c r="I193" s="578"/>
      <c r="J193" s="578"/>
      <c r="K193" s="578"/>
      <c r="L193" s="578"/>
      <c r="M193" s="578"/>
      <c r="N193" s="578"/>
      <c r="O193" s="578"/>
      <c r="P193" s="578"/>
      <c r="Q193" s="578"/>
      <c r="R193" s="578"/>
      <c r="S193" s="578"/>
      <c r="T193" s="578"/>
      <c r="U193" s="578"/>
      <c r="V193" s="578"/>
      <c r="W193" s="578"/>
      <c r="X193" s="578"/>
      <c r="Y193" s="578"/>
      <c r="Z193" s="578"/>
      <c r="AA193" s="578"/>
      <c r="AB193" s="578"/>
      <c r="AC193" s="578"/>
      <c r="AD193" s="578"/>
      <c r="AE193" s="578"/>
      <c r="AF193" s="578"/>
      <c r="AG193" s="578"/>
      <c r="AH193" s="578"/>
      <c r="AI193" s="578"/>
      <c r="AJ193" s="578"/>
      <c r="AK193" s="578"/>
      <c r="AL193" s="578"/>
      <c r="AM193" s="578"/>
      <c r="AN193" s="578"/>
      <c r="AO193" s="578"/>
      <c r="AP193" s="578"/>
      <c r="AQ193" s="578"/>
      <c r="AR193" s="816"/>
      <c r="AS193" s="578"/>
      <c r="AT193" s="578"/>
      <c r="AU193" s="578"/>
      <c r="AV193" s="578"/>
      <c r="AW193" s="578"/>
      <c r="AX193" s="578"/>
      <c r="AY193" s="818"/>
      <c r="AZ193" s="578"/>
      <c r="BA193" s="578"/>
      <c r="BB193" s="578"/>
      <c r="BC193" s="578"/>
      <c r="BD193" s="578"/>
      <c r="BE193" s="578"/>
      <c r="BF193" s="578"/>
      <c r="BG193" s="578"/>
      <c r="BH193" s="578"/>
      <c r="BI193" s="578"/>
      <c r="BJ193" s="578"/>
      <c r="BK193" s="578"/>
      <c r="BL193" s="578"/>
      <c r="BM193" s="578"/>
      <c r="BN193" s="578"/>
      <c r="BO193" s="578"/>
      <c r="BP193" s="578"/>
      <c r="BQ193" s="578"/>
      <c r="BR193" s="578"/>
      <c r="BS193" s="578"/>
      <c r="BT193" s="578"/>
      <c r="BU193" s="578"/>
      <c r="BV193" s="578"/>
      <c r="BW193" s="578"/>
    </row>
    <row r="194" spans="1:75" ht="14.25" customHeight="1" x14ac:dyDescent="0.3">
      <c r="A194" s="578"/>
      <c r="B194" s="815"/>
      <c r="C194" s="578"/>
      <c r="D194" s="578"/>
      <c r="E194" s="578"/>
      <c r="F194" s="578"/>
      <c r="G194" s="578"/>
      <c r="H194" s="578"/>
      <c r="I194" s="578"/>
      <c r="J194" s="578"/>
      <c r="K194" s="578"/>
      <c r="L194" s="578"/>
      <c r="M194" s="578"/>
      <c r="N194" s="578"/>
      <c r="O194" s="578"/>
      <c r="P194" s="578"/>
      <c r="Q194" s="578"/>
      <c r="R194" s="578"/>
      <c r="S194" s="578"/>
      <c r="T194" s="578"/>
      <c r="U194" s="578"/>
      <c r="V194" s="578"/>
      <c r="W194" s="578"/>
      <c r="X194" s="578"/>
      <c r="Y194" s="578"/>
      <c r="Z194" s="578"/>
      <c r="AA194" s="578"/>
      <c r="AB194" s="578"/>
      <c r="AC194" s="578"/>
      <c r="AD194" s="578"/>
      <c r="AE194" s="578"/>
      <c r="AF194" s="578"/>
      <c r="AG194" s="578"/>
      <c r="AH194" s="578"/>
      <c r="AI194" s="578"/>
      <c r="AJ194" s="578"/>
      <c r="AK194" s="578"/>
      <c r="AL194" s="578"/>
      <c r="AM194" s="578"/>
      <c r="AN194" s="578"/>
      <c r="AO194" s="578"/>
      <c r="AP194" s="578"/>
      <c r="AQ194" s="578"/>
      <c r="AR194" s="816"/>
      <c r="AS194" s="578"/>
      <c r="AT194" s="578"/>
      <c r="AU194" s="578"/>
      <c r="AV194" s="578"/>
      <c r="AW194" s="578"/>
      <c r="AX194" s="578"/>
      <c r="AY194" s="818"/>
      <c r="AZ194" s="578"/>
      <c r="BA194" s="578"/>
      <c r="BB194" s="578"/>
      <c r="BC194" s="578"/>
      <c r="BD194" s="578"/>
      <c r="BE194" s="578"/>
      <c r="BF194" s="578"/>
      <c r="BG194" s="578"/>
      <c r="BH194" s="578"/>
      <c r="BI194" s="578"/>
      <c r="BJ194" s="578"/>
      <c r="BK194" s="578"/>
      <c r="BL194" s="578"/>
      <c r="BM194" s="578"/>
      <c r="BN194" s="578"/>
      <c r="BO194" s="578"/>
      <c r="BP194" s="578"/>
      <c r="BQ194" s="578"/>
      <c r="BR194" s="578"/>
      <c r="BS194" s="578"/>
      <c r="BT194" s="578"/>
      <c r="BU194" s="578"/>
      <c r="BV194" s="578"/>
      <c r="BW194" s="578"/>
    </row>
    <row r="195" spans="1:75" ht="14.25" customHeight="1" x14ac:dyDescent="0.3">
      <c r="A195" s="578"/>
      <c r="B195" s="815"/>
      <c r="C195" s="578"/>
      <c r="D195" s="578"/>
      <c r="E195" s="578"/>
      <c r="F195" s="578"/>
      <c r="G195" s="578"/>
      <c r="H195" s="578"/>
      <c r="I195" s="578"/>
      <c r="J195" s="578"/>
      <c r="K195" s="578"/>
      <c r="L195" s="578"/>
      <c r="M195" s="578"/>
      <c r="N195" s="578"/>
      <c r="O195" s="578"/>
      <c r="P195" s="578"/>
      <c r="Q195" s="578"/>
      <c r="R195" s="578"/>
      <c r="S195" s="578"/>
      <c r="T195" s="578"/>
      <c r="U195" s="578"/>
      <c r="V195" s="578"/>
      <c r="W195" s="578"/>
      <c r="X195" s="578"/>
      <c r="Y195" s="578"/>
      <c r="Z195" s="578"/>
      <c r="AA195" s="578"/>
      <c r="AB195" s="578"/>
      <c r="AC195" s="578"/>
      <c r="AD195" s="578"/>
      <c r="AE195" s="578"/>
      <c r="AF195" s="578"/>
      <c r="AG195" s="578"/>
      <c r="AH195" s="578"/>
      <c r="AI195" s="578"/>
      <c r="AJ195" s="578"/>
      <c r="AK195" s="578"/>
      <c r="AL195" s="578"/>
      <c r="AM195" s="578"/>
      <c r="AN195" s="578"/>
      <c r="AO195" s="578"/>
      <c r="AP195" s="578"/>
      <c r="AQ195" s="578"/>
      <c r="AR195" s="816"/>
      <c r="AS195" s="578"/>
      <c r="AT195" s="578"/>
      <c r="AU195" s="578"/>
      <c r="AV195" s="578"/>
      <c r="AW195" s="578"/>
      <c r="AX195" s="578"/>
      <c r="AY195" s="818"/>
      <c r="AZ195" s="578"/>
      <c r="BA195" s="578"/>
      <c r="BB195" s="578"/>
      <c r="BC195" s="578"/>
      <c r="BD195" s="578"/>
      <c r="BE195" s="578"/>
      <c r="BF195" s="578"/>
      <c r="BG195" s="578"/>
      <c r="BH195" s="578"/>
      <c r="BI195" s="578"/>
      <c r="BJ195" s="578"/>
      <c r="BK195" s="578"/>
      <c r="BL195" s="578"/>
      <c r="BM195" s="578"/>
      <c r="BN195" s="578"/>
      <c r="BO195" s="578"/>
      <c r="BP195" s="578"/>
      <c r="BQ195" s="578"/>
      <c r="BR195" s="578"/>
      <c r="BS195" s="578"/>
      <c r="BT195" s="578"/>
      <c r="BU195" s="578"/>
      <c r="BV195" s="578"/>
      <c r="BW195" s="578"/>
    </row>
    <row r="196" spans="1:75" ht="14.25" customHeight="1" x14ac:dyDescent="0.3">
      <c r="A196" s="578"/>
      <c r="B196" s="815"/>
      <c r="C196" s="578"/>
      <c r="D196" s="578"/>
      <c r="E196" s="578"/>
      <c r="F196" s="578"/>
      <c r="G196" s="578"/>
      <c r="H196" s="578"/>
      <c r="I196" s="578"/>
      <c r="J196" s="578"/>
      <c r="K196" s="578"/>
      <c r="L196" s="578"/>
      <c r="M196" s="578"/>
      <c r="N196" s="578"/>
      <c r="O196" s="578"/>
      <c r="P196" s="578"/>
      <c r="Q196" s="578"/>
      <c r="R196" s="578"/>
      <c r="S196" s="578"/>
      <c r="T196" s="578"/>
      <c r="U196" s="578"/>
      <c r="V196" s="578"/>
      <c r="W196" s="578"/>
      <c r="X196" s="578"/>
      <c r="Y196" s="578"/>
      <c r="Z196" s="578"/>
      <c r="AA196" s="578"/>
      <c r="AB196" s="578"/>
      <c r="AC196" s="578"/>
      <c r="AD196" s="578"/>
      <c r="AE196" s="578"/>
      <c r="AF196" s="578"/>
      <c r="AG196" s="578"/>
      <c r="AH196" s="578"/>
      <c r="AI196" s="578"/>
      <c r="AJ196" s="578"/>
      <c r="AK196" s="578"/>
      <c r="AL196" s="578"/>
      <c r="AM196" s="578"/>
      <c r="AN196" s="578"/>
      <c r="AO196" s="578"/>
      <c r="AP196" s="578"/>
      <c r="AQ196" s="578"/>
      <c r="AR196" s="816"/>
      <c r="AS196" s="578"/>
      <c r="AT196" s="578"/>
      <c r="AU196" s="578"/>
      <c r="AV196" s="578"/>
      <c r="AW196" s="578"/>
      <c r="AX196" s="578"/>
      <c r="AY196" s="818"/>
      <c r="AZ196" s="578"/>
      <c r="BA196" s="578"/>
      <c r="BB196" s="578"/>
      <c r="BC196" s="578"/>
      <c r="BD196" s="578"/>
      <c r="BE196" s="578"/>
      <c r="BF196" s="578"/>
      <c r="BG196" s="578"/>
      <c r="BH196" s="578"/>
      <c r="BI196" s="578"/>
      <c r="BJ196" s="578"/>
      <c r="BK196" s="578"/>
      <c r="BL196" s="578"/>
      <c r="BM196" s="578"/>
      <c r="BN196" s="578"/>
      <c r="BO196" s="578"/>
      <c r="BP196" s="578"/>
      <c r="BQ196" s="578"/>
      <c r="BR196" s="578"/>
      <c r="BS196" s="578"/>
      <c r="BT196" s="578"/>
      <c r="BU196" s="578"/>
      <c r="BV196" s="578"/>
      <c r="BW196" s="578"/>
    </row>
    <row r="197" spans="1:75" ht="14.25" customHeight="1" x14ac:dyDescent="0.3">
      <c r="A197" s="578"/>
      <c r="B197" s="815"/>
      <c r="C197" s="578"/>
      <c r="D197" s="578"/>
      <c r="E197" s="578"/>
      <c r="F197" s="578"/>
      <c r="G197" s="578"/>
      <c r="H197" s="578"/>
      <c r="I197" s="578"/>
      <c r="J197" s="578"/>
      <c r="K197" s="578"/>
      <c r="L197" s="578"/>
      <c r="M197" s="578"/>
      <c r="N197" s="578"/>
      <c r="O197" s="578"/>
      <c r="P197" s="578"/>
      <c r="Q197" s="578"/>
      <c r="R197" s="578"/>
      <c r="S197" s="578"/>
      <c r="T197" s="578"/>
      <c r="U197" s="578"/>
      <c r="V197" s="578"/>
      <c r="W197" s="578"/>
      <c r="X197" s="578"/>
      <c r="Y197" s="578"/>
      <c r="Z197" s="578"/>
      <c r="AA197" s="578"/>
      <c r="AB197" s="578"/>
      <c r="AC197" s="578"/>
      <c r="AD197" s="578"/>
      <c r="AE197" s="578"/>
      <c r="AF197" s="578"/>
      <c r="AG197" s="578"/>
      <c r="AH197" s="578"/>
      <c r="AI197" s="578"/>
      <c r="AJ197" s="578"/>
      <c r="AK197" s="578"/>
      <c r="AL197" s="578"/>
      <c r="AM197" s="578"/>
      <c r="AN197" s="578"/>
      <c r="AO197" s="578"/>
      <c r="AP197" s="578"/>
      <c r="AQ197" s="578"/>
      <c r="AR197" s="816"/>
      <c r="AS197" s="578"/>
      <c r="AT197" s="578"/>
      <c r="AU197" s="578"/>
      <c r="AV197" s="578"/>
      <c r="AW197" s="578"/>
      <c r="AX197" s="578"/>
      <c r="AY197" s="818"/>
      <c r="AZ197" s="578"/>
      <c r="BA197" s="578"/>
      <c r="BB197" s="578"/>
      <c r="BC197" s="578"/>
      <c r="BD197" s="578"/>
      <c r="BE197" s="578"/>
      <c r="BF197" s="578"/>
      <c r="BG197" s="578"/>
      <c r="BH197" s="578"/>
      <c r="BI197" s="578"/>
      <c r="BJ197" s="578"/>
      <c r="BK197" s="578"/>
      <c r="BL197" s="578"/>
      <c r="BM197" s="578"/>
      <c r="BN197" s="578"/>
      <c r="BO197" s="578"/>
      <c r="BP197" s="578"/>
      <c r="BQ197" s="578"/>
      <c r="BR197" s="578"/>
      <c r="BS197" s="578"/>
      <c r="BT197" s="578"/>
      <c r="BU197" s="578"/>
      <c r="BV197" s="578"/>
      <c r="BW197" s="578"/>
    </row>
    <row r="198" spans="1:75" ht="14.25" customHeight="1" x14ac:dyDescent="0.3">
      <c r="A198" s="578"/>
      <c r="B198" s="815"/>
      <c r="C198" s="578"/>
      <c r="D198" s="578"/>
      <c r="E198" s="578"/>
      <c r="F198" s="578"/>
      <c r="G198" s="578"/>
      <c r="H198" s="578"/>
      <c r="I198" s="578"/>
      <c r="J198" s="578"/>
      <c r="K198" s="578"/>
      <c r="L198" s="578"/>
      <c r="M198" s="578"/>
      <c r="N198" s="578"/>
      <c r="O198" s="578"/>
      <c r="P198" s="578"/>
      <c r="Q198" s="578"/>
      <c r="R198" s="578"/>
      <c r="S198" s="578"/>
      <c r="T198" s="578"/>
      <c r="U198" s="578"/>
      <c r="V198" s="578"/>
      <c r="W198" s="578"/>
      <c r="X198" s="578"/>
      <c r="Y198" s="578"/>
      <c r="Z198" s="578"/>
      <c r="AA198" s="578"/>
      <c r="AB198" s="578"/>
      <c r="AC198" s="578"/>
      <c r="AD198" s="578"/>
      <c r="AE198" s="578"/>
      <c r="AF198" s="578"/>
      <c r="AG198" s="578"/>
      <c r="AH198" s="578"/>
      <c r="AI198" s="578"/>
      <c r="AJ198" s="578"/>
      <c r="AK198" s="578"/>
      <c r="AL198" s="578"/>
      <c r="AM198" s="578"/>
      <c r="AN198" s="578"/>
      <c r="AO198" s="578"/>
      <c r="AP198" s="578"/>
      <c r="AQ198" s="578"/>
      <c r="AR198" s="816"/>
      <c r="AS198" s="578"/>
      <c r="AT198" s="578"/>
      <c r="AU198" s="578"/>
      <c r="AV198" s="578"/>
      <c r="AW198" s="578"/>
      <c r="AX198" s="578"/>
      <c r="AY198" s="818"/>
      <c r="AZ198" s="578"/>
      <c r="BA198" s="578"/>
      <c r="BB198" s="578"/>
      <c r="BC198" s="578"/>
      <c r="BD198" s="578"/>
      <c r="BE198" s="578"/>
      <c r="BF198" s="578"/>
      <c r="BG198" s="578"/>
      <c r="BH198" s="578"/>
      <c r="BI198" s="578"/>
      <c r="BJ198" s="578"/>
      <c r="BK198" s="578"/>
      <c r="BL198" s="578"/>
      <c r="BM198" s="578"/>
      <c r="BN198" s="578"/>
      <c r="BO198" s="578"/>
      <c r="BP198" s="578"/>
      <c r="BQ198" s="578"/>
      <c r="BR198" s="578"/>
      <c r="BS198" s="578"/>
      <c r="BT198" s="578"/>
      <c r="BU198" s="578"/>
      <c r="BV198" s="578"/>
      <c r="BW198" s="578"/>
    </row>
    <row r="199" spans="1:75" ht="14.25" customHeight="1" x14ac:dyDescent="0.3">
      <c r="A199" s="578"/>
      <c r="B199" s="815"/>
      <c r="C199" s="578"/>
      <c r="D199" s="578"/>
      <c r="E199" s="578"/>
      <c r="F199" s="578"/>
      <c r="G199" s="578"/>
      <c r="H199" s="578"/>
      <c r="I199" s="578"/>
      <c r="J199" s="578"/>
      <c r="K199" s="578"/>
      <c r="L199" s="578"/>
      <c r="M199" s="578"/>
      <c r="N199" s="578"/>
      <c r="O199" s="578"/>
      <c r="P199" s="578"/>
      <c r="Q199" s="578"/>
      <c r="R199" s="578"/>
      <c r="S199" s="578"/>
      <c r="T199" s="578"/>
      <c r="U199" s="578"/>
      <c r="V199" s="578"/>
      <c r="W199" s="578"/>
      <c r="X199" s="578"/>
      <c r="Y199" s="578"/>
      <c r="Z199" s="578"/>
      <c r="AA199" s="578"/>
      <c r="AB199" s="578"/>
      <c r="AC199" s="578"/>
      <c r="AD199" s="578"/>
      <c r="AE199" s="578"/>
      <c r="AF199" s="578"/>
      <c r="AG199" s="578"/>
      <c r="AH199" s="578"/>
      <c r="AI199" s="578"/>
      <c r="AJ199" s="578"/>
      <c r="AK199" s="578"/>
      <c r="AL199" s="578"/>
      <c r="AM199" s="578"/>
      <c r="AN199" s="578"/>
      <c r="AO199" s="578"/>
      <c r="AP199" s="578"/>
      <c r="AQ199" s="578"/>
      <c r="AR199" s="816"/>
      <c r="AS199" s="578"/>
      <c r="AT199" s="578"/>
      <c r="AU199" s="578"/>
      <c r="AV199" s="578"/>
      <c r="AW199" s="578"/>
      <c r="AX199" s="578"/>
      <c r="AY199" s="818"/>
      <c r="AZ199" s="578"/>
      <c r="BA199" s="578"/>
      <c r="BB199" s="578"/>
      <c r="BC199" s="578"/>
      <c r="BD199" s="578"/>
      <c r="BE199" s="578"/>
      <c r="BF199" s="578"/>
      <c r="BG199" s="578"/>
      <c r="BH199" s="578"/>
      <c r="BI199" s="578"/>
      <c r="BJ199" s="578"/>
      <c r="BK199" s="578"/>
      <c r="BL199" s="578"/>
      <c r="BM199" s="578"/>
      <c r="BN199" s="578"/>
      <c r="BO199" s="578"/>
      <c r="BP199" s="578"/>
      <c r="BQ199" s="578"/>
      <c r="BR199" s="578"/>
      <c r="BS199" s="578"/>
      <c r="BT199" s="578"/>
      <c r="BU199" s="578"/>
      <c r="BV199" s="578"/>
      <c r="BW199" s="578"/>
    </row>
    <row r="200" spans="1:75" ht="14.25" customHeight="1" x14ac:dyDescent="0.3">
      <c r="A200" s="578"/>
      <c r="B200" s="815"/>
      <c r="C200" s="578"/>
      <c r="D200" s="578"/>
      <c r="E200" s="578"/>
      <c r="F200" s="578"/>
      <c r="G200" s="578"/>
      <c r="H200" s="578"/>
      <c r="I200" s="578"/>
      <c r="J200" s="578"/>
      <c r="K200" s="578"/>
      <c r="L200" s="578"/>
      <c r="M200" s="578"/>
      <c r="N200" s="578"/>
      <c r="O200" s="578"/>
      <c r="P200" s="578"/>
      <c r="Q200" s="578"/>
      <c r="R200" s="578"/>
      <c r="S200" s="578"/>
      <c r="T200" s="578"/>
      <c r="U200" s="578"/>
      <c r="V200" s="578"/>
      <c r="W200" s="578"/>
      <c r="X200" s="578"/>
      <c r="Y200" s="578"/>
      <c r="Z200" s="578"/>
      <c r="AA200" s="578"/>
      <c r="AB200" s="578"/>
      <c r="AC200" s="578"/>
      <c r="AD200" s="578"/>
      <c r="AE200" s="578"/>
      <c r="AF200" s="578"/>
      <c r="AG200" s="578"/>
      <c r="AH200" s="578"/>
      <c r="AI200" s="578"/>
      <c r="AJ200" s="578"/>
      <c r="AK200" s="578"/>
      <c r="AL200" s="578"/>
      <c r="AM200" s="578"/>
      <c r="AN200" s="578"/>
      <c r="AO200" s="578"/>
      <c r="AP200" s="578"/>
      <c r="AQ200" s="578"/>
      <c r="AR200" s="816"/>
      <c r="AS200" s="578"/>
      <c r="AT200" s="578"/>
      <c r="AU200" s="578"/>
      <c r="AV200" s="578"/>
      <c r="AW200" s="578"/>
      <c r="AX200" s="578"/>
      <c r="AY200" s="818"/>
      <c r="AZ200" s="578"/>
      <c r="BA200" s="578"/>
      <c r="BB200" s="578"/>
      <c r="BC200" s="578"/>
      <c r="BD200" s="578"/>
      <c r="BE200" s="578"/>
      <c r="BF200" s="578"/>
      <c r="BG200" s="578"/>
      <c r="BH200" s="578"/>
      <c r="BI200" s="578"/>
      <c r="BJ200" s="578"/>
      <c r="BK200" s="578"/>
      <c r="BL200" s="578"/>
      <c r="BM200" s="578"/>
      <c r="BN200" s="578"/>
      <c r="BO200" s="578"/>
      <c r="BP200" s="578"/>
      <c r="BQ200" s="578"/>
      <c r="BR200" s="578"/>
      <c r="BS200" s="578"/>
      <c r="BT200" s="578"/>
      <c r="BU200" s="578"/>
      <c r="BV200" s="578"/>
      <c r="BW200" s="578"/>
    </row>
    <row r="201" spans="1:75" ht="14.25" customHeight="1" x14ac:dyDescent="0.3">
      <c r="A201" s="578"/>
      <c r="B201" s="815"/>
      <c r="C201" s="578"/>
      <c r="D201" s="578"/>
      <c r="E201" s="578"/>
      <c r="F201" s="578"/>
      <c r="G201" s="578"/>
      <c r="H201" s="578"/>
      <c r="I201" s="578"/>
      <c r="J201" s="578"/>
      <c r="K201" s="578"/>
      <c r="L201" s="578"/>
      <c r="M201" s="578"/>
      <c r="N201" s="578"/>
      <c r="O201" s="578"/>
      <c r="P201" s="578"/>
      <c r="Q201" s="578"/>
      <c r="R201" s="578"/>
      <c r="S201" s="578"/>
      <c r="T201" s="578"/>
      <c r="U201" s="578"/>
      <c r="V201" s="578"/>
      <c r="W201" s="578"/>
      <c r="X201" s="578"/>
      <c r="Y201" s="578"/>
      <c r="Z201" s="578"/>
      <c r="AA201" s="578"/>
      <c r="AB201" s="578"/>
      <c r="AC201" s="578"/>
      <c r="AD201" s="578"/>
      <c r="AE201" s="578"/>
      <c r="AF201" s="578"/>
      <c r="AG201" s="578"/>
      <c r="AH201" s="578"/>
      <c r="AI201" s="578"/>
      <c r="AJ201" s="578"/>
      <c r="AK201" s="578"/>
      <c r="AL201" s="578"/>
      <c r="AM201" s="578"/>
      <c r="AN201" s="578"/>
      <c r="AO201" s="578"/>
      <c r="AP201" s="578"/>
      <c r="AQ201" s="578"/>
      <c r="AR201" s="816"/>
      <c r="AS201" s="578"/>
      <c r="AT201" s="578"/>
      <c r="AU201" s="578"/>
      <c r="AV201" s="578"/>
      <c r="AW201" s="578"/>
      <c r="AX201" s="578"/>
      <c r="AY201" s="818"/>
      <c r="AZ201" s="578"/>
      <c r="BA201" s="578"/>
      <c r="BB201" s="578"/>
      <c r="BC201" s="578"/>
      <c r="BD201" s="578"/>
      <c r="BE201" s="578"/>
      <c r="BF201" s="578"/>
      <c r="BG201" s="578"/>
      <c r="BH201" s="578"/>
      <c r="BI201" s="578"/>
      <c r="BJ201" s="578"/>
      <c r="BK201" s="578"/>
      <c r="BL201" s="578"/>
      <c r="BM201" s="578"/>
      <c r="BN201" s="578"/>
      <c r="BO201" s="578"/>
      <c r="BP201" s="578"/>
      <c r="BQ201" s="578"/>
      <c r="BR201" s="578"/>
      <c r="BS201" s="578"/>
      <c r="BT201" s="578"/>
      <c r="BU201" s="578"/>
      <c r="BV201" s="578"/>
      <c r="BW201" s="578"/>
    </row>
    <row r="202" spans="1:75" ht="14.25" customHeight="1" x14ac:dyDescent="0.3">
      <c r="A202" s="578"/>
      <c r="B202" s="815"/>
      <c r="C202" s="578"/>
      <c r="D202" s="578"/>
      <c r="E202" s="578"/>
      <c r="F202" s="578"/>
      <c r="G202" s="578"/>
      <c r="H202" s="578"/>
      <c r="I202" s="578"/>
      <c r="J202" s="578"/>
      <c r="K202" s="578"/>
      <c r="L202" s="578"/>
      <c r="M202" s="578"/>
      <c r="N202" s="578"/>
      <c r="O202" s="578"/>
      <c r="P202" s="578"/>
      <c r="Q202" s="578"/>
      <c r="R202" s="578"/>
      <c r="S202" s="578"/>
      <c r="T202" s="578"/>
      <c r="U202" s="578"/>
      <c r="V202" s="578"/>
      <c r="W202" s="578"/>
      <c r="X202" s="578"/>
      <c r="Y202" s="578"/>
      <c r="Z202" s="578"/>
      <c r="AA202" s="578"/>
      <c r="AB202" s="578"/>
      <c r="AC202" s="578"/>
      <c r="AD202" s="578"/>
      <c r="AE202" s="578"/>
      <c r="AF202" s="578"/>
      <c r="AG202" s="578"/>
      <c r="AH202" s="578"/>
      <c r="AI202" s="578"/>
      <c r="AJ202" s="578"/>
      <c r="AK202" s="578"/>
      <c r="AL202" s="578"/>
      <c r="AM202" s="578"/>
      <c r="AN202" s="578"/>
      <c r="AO202" s="578"/>
      <c r="AP202" s="578"/>
      <c r="AQ202" s="578"/>
      <c r="AR202" s="816"/>
      <c r="AS202" s="578"/>
      <c r="AT202" s="578"/>
      <c r="AU202" s="578"/>
      <c r="AV202" s="578"/>
      <c r="AW202" s="578"/>
      <c r="AX202" s="578"/>
      <c r="AY202" s="818"/>
      <c r="AZ202" s="578"/>
      <c r="BA202" s="578"/>
      <c r="BB202" s="578"/>
      <c r="BC202" s="578"/>
      <c r="BD202" s="578"/>
      <c r="BE202" s="578"/>
      <c r="BF202" s="578"/>
      <c r="BG202" s="578"/>
      <c r="BH202" s="578"/>
      <c r="BI202" s="578"/>
      <c r="BJ202" s="578"/>
      <c r="BK202" s="578"/>
      <c r="BL202" s="578"/>
      <c r="BM202" s="578"/>
      <c r="BN202" s="578"/>
      <c r="BO202" s="578"/>
      <c r="BP202" s="578"/>
      <c r="BQ202" s="578"/>
      <c r="BR202" s="578"/>
      <c r="BS202" s="578"/>
      <c r="BT202" s="578"/>
      <c r="BU202" s="578"/>
      <c r="BV202" s="578"/>
      <c r="BW202" s="578"/>
    </row>
    <row r="203" spans="1:75" ht="14.25" customHeight="1" x14ac:dyDescent="0.3">
      <c r="A203" s="578"/>
      <c r="B203" s="815"/>
      <c r="C203" s="578"/>
      <c r="D203" s="578"/>
      <c r="E203" s="578"/>
      <c r="F203" s="578"/>
      <c r="G203" s="578"/>
      <c r="H203" s="578"/>
      <c r="I203" s="578"/>
      <c r="J203" s="578"/>
      <c r="K203" s="578"/>
      <c r="L203" s="578"/>
      <c r="M203" s="578"/>
      <c r="N203" s="578"/>
      <c r="O203" s="578"/>
      <c r="P203" s="578"/>
      <c r="Q203" s="578"/>
      <c r="R203" s="578"/>
      <c r="S203" s="578"/>
      <c r="T203" s="578"/>
      <c r="U203" s="578"/>
      <c r="V203" s="578"/>
      <c r="W203" s="578"/>
      <c r="X203" s="578"/>
      <c r="Y203" s="578"/>
      <c r="Z203" s="578"/>
      <c r="AA203" s="578"/>
      <c r="AB203" s="578"/>
      <c r="AC203" s="578"/>
      <c r="AD203" s="578"/>
      <c r="AE203" s="578"/>
      <c r="AF203" s="578"/>
      <c r="AG203" s="578"/>
      <c r="AH203" s="578"/>
      <c r="AI203" s="578"/>
      <c r="AJ203" s="578"/>
      <c r="AK203" s="578"/>
      <c r="AL203" s="578"/>
      <c r="AM203" s="578"/>
      <c r="AN203" s="578"/>
      <c r="AO203" s="578"/>
      <c r="AP203" s="578"/>
      <c r="AQ203" s="578"/>
      <c r="AR203" s="816"/>
      <c r="AS203" s="578"/>
      <c r="AT203" s="578"/>
      <c r="AU203" s="578"/>
      <c r="AV203" s="578"/>
      <c r="AW203" s="578"/>
      <c r="AX203" s="578"/>
      <c r="AY203" s="818"/>
      <c r="AZ203" s="578"/>
      <c r="BA203" s="578"/>
      <c r="BB203" s="578"/>
      <c r="BC203" s="578"/>
      <c r="BD203" s="578"/>
      <c r="BE203" s="578"/>
      <c r="BF203" s="578"/>
      <c r="BG203" s="578"/>
      <c r="BH203" s="578"/>
      <c r="BI203" s="578"/>
      <c r="BJ203" s="578"/>
      <c r="BK203" s="578"/>
      <c r="BL203" s="578"/>
      <c r="BM203" s="578"/>
      <c r="BN203" s="578"/>
      <c r="BO203" s="578"/>
      <c r="BP203" s="578"/>
      <c r="BQ203" s="578"/>
      <c r="BR203" s="578"/>
      <c r="BS203" s="578"/>
      <c r="BT203" s="578"/>
      <c r="BU203" s="578"/>
      <c r="BV203" s="578"/>
      <c r="BW203" s="578"/>
    </row>
    <row r="204" spans="1:75" ht="14.25" customHeight="1" x14ac:dyDescent="0.3">
      <c r="A204" s="578"/>
      <c r="B204" s="815"/>
      <c r="C204" s="578"/>
      <c r="D204" s="578"/>
      <c r="E204" s="578"/>
      <c r="F204" s="578"/>
      <c r="G204" s="578"/>
      <c r="H204" s="578"/>
      <c r="I204" s="578"/>
      <c r="J204" s="578"/>
      <c r="K204" s="578"/>
      <c r="L204" s="578"/>
      <c r="M204" s="578"/>
      <c r="N204" s="578"/>
      <c r="O204" s="578"/>
      <c r="P204" s="578"/>
      <c r="Q204" s="578"/>
      <c r="R204" s="578"/>
      <c r="S204" s="578"/>
      <c r="T204" s="578"/>
      <c r="U204" s="578"/>
      <c r="V204" s="578"/>
      <c r="W204" s="578"/>
      <c r="X204" s="578"/>
      <c r="Y204" s="578"/>
      <c r="Z204" s="578"/>
      <c r="AA204" s="578"/>
      <c r="AB204" s="578"/>
      <c r="AC204" s="578"/>
      <c r="AD204" s="578"/>
      <c r="AE204" s="578"/>
      <c r="AF204" s="578"/>
      <c r="AG204" s="578"/>
      <c r="AH204" s="578"/>
      <c r="AI204" s="578"/>
      <c r="AJ204" s="578"/>
      <c r="AK204" s="578"/>
      <c r="AL204" s="578"/>
      <c r="AM204" s="578"/>
      <c r="AN204" s="578"/>
      <c r="AO204" s="578"/>
      <c r="AP204" s="578"/>
      <c r="AQ204" s="578"/>
      <c r="AR204" s="816"/>
      <c r="AS204" s="578"/>
      <c r="AT204" s="578"/>
      <c r="AU204" s="578"/>
      <c r="AV204" s="578"/>
      <c r="AW204" s="578"/>
      <c r="AX204" s="578"/>
      <c r="AY204" s="818"/>
      <c r="AZ204" s="578"/>
      <c r="BA204" s="578"/>
      <c r="BB204" s="578"/>
      <c r="BC204" s="578"/>
      <c r="BD204" s="578"/>
      <c r="BE204" s="578"/>
      <c r="BF204" s="578"/>
      <c r="BG204" s="578"/>
      <c r="BH204" s="578"/>
      <c r="BI204" s="578"/>
      <c r="BJ204" s="578"/>
      <c r="BK204" s="578"/>
      <c r="BL204" s="578"/>
      <c r="BM204" s="578"/>
      <c r="BN204" s="578"/>
      <c r="BO204" s="578"/>
      <c r="BP204" s="578"/>
      <c r="BQ204" s="578"/>
      <c r="BR204" s="578"/>
      <c r="BS204" s="578"/>
      <c r="BT204" s="578"/>
      <c r="BU204" s="578"/>
      <c r="BV204" s="578"/>
      <c r="BW204" s="578"/>
    </row>
    <row r="205" spans="1:75" ht="14.25" customHeight="1" x14ac:dyDescent="0.3">
      <c r="A205" s="578"/>
      <c r="B205" s="815"/>
      <c r="C205" s="578"/>
      <c r="D205" s="578"/>
      <c r="E205" s="578"/>
      <c r="F205" s="578"/>
      <c r="G205" s="578"/>
      <c r="H205" s="578"/>
      <c r="I205" s="578"/>
      <c r="J205" s="578"/>
      <c r="K205" s="578"/>
      <c r="L205" s="578"/>
      <c r="M205" s="578"/>
      <c r="N205" s="578"/>
      <c r="O205" s="578"/>
      <c r="P205" s="578"/>
      <c r="Q205" s="578"/>
      <c r="R205" s="578"/>
      <c r="S205" s="578"/>
      <c r="T205" s="578"/>
      <c r="U205" s="578"/>
      <c r="V205" s="578"/>
      <c r="W205" s="578"/>
      <c r="X205" s="578"/>
      <c r="Y205" s="578"/>
      <c r="Z205" s="578"/>
      <c r="AA205" s="578"/>
      <c r="AB205" s="578"/>
      <c r="AC205" s="578"/>
      <c r="AD205" s="578"/>
      <c r="AE205" s="578"/>
      <c r="AF205" s="578"/>
      <c r="AG205" s="578"/>
      <c r="AH205" s="578"/>
      <c r="AI205" s="578"/>
      <c r="AJ205" s="578"/>
      <c r="AK205" s="578"/>
      <c r="AL205" s="578"/>
      <c r="AM205" s="578"/>
      <c r="AN205" s="578"/>
      <c r="AO205" s="578"/>
      <c r="AP205" s="578"/>
      <c r="AQ205" s="578"/>
      <c r="AR205" s="816"/>
      <c r="AS205" s="578"/>
      <c r="AT205" s="578"/>
      <c r="AU205" s="578"/>
      <c r="AV205" s="578"/>
      <c r="AW205" s="578"/>
      <c r="AX205" s="578"/>
      <c r="AY205" s="818"/>
      <c r="AZ205" s="578"/>
      <c r="BA205" s="578"/>
      <c r="BB205" s="578"/>
      <c r="BC205" s="578"/>
      <c r="BD205" s="578"/>
      <c r="BE205" s="578"/>
      <c r="BF205" s="578"/>
      <c r="BG205" s="578"/>
      <c r="BH205" s="578"/>
      <c r="BI205" s="578"/>
      <c r="BJ205" s="578"/>
      <c r="BK205" s="578"/>
      <c r="BL205" s="578"/>
      <c r="BM205" s="578"/>
      <c r="BN205" s="578"/>
      <c r="BO205" s="578"/>
      <c r="BP205" s="578"/>
      <c r="BQ205" s="578"/>
      <c r="BR205" s="578"/>
      <c r="BS205" s="578"/>
      <c r="BT205" s="578"/>
      <c r="BU205" s="578"/>
      <c r="BV205" s="578"/>
      <c r="BW205" s="578"/>
    </row>
    <row r="206" spans="1:75" ht="14.25" customHeight="1" x14ac:dyDescent="0.3">
      <c r="A206" s="578"/>
      <c r="B206" s="815"/>
      <c r="C206" s="578"/>
      <c r="D206" s="578"/>
      <c r="E206" s="578"/>
      <c r="F206" s="578"/>
      <c r="G206" s="578"/>
      <c r="H206" s="578"/>
      <c r="I206" s="578"/>
      <c r="J206" s="578"/>
      <c r="K206" s="578"/>
      <c r="L206" s="578"/>
      <c r="M206" s="578"/>
      <c r="N206" s="578"/>
      <c r="O206" s="578"/>
      <c r="P206" s="578"/>
      <c r="Q206" s="578"/>
      <c r="R206" s="578"/>
      <c r="S206" s="578"/>
      <c r="T206" s="578"/>
      <c r="U206" s="578"/>
      <c r="V206" s="578"/>
      <c r="W206" s="578"/>
      <c r="X206" s="578"/>
      <c r="Y206" s="578"/>
      <c r="Z206" s="578"/>
      <c r="AA206" s="578"/>
      <c r="AB206" s="578"/>
      <c r="AC206" s="578"/>
      <c r="AD206" s="578"/>
      <c r="AE206" s="578"/>
      <c r="AF206" s="578"/>
      <c r="AG206" s="578"/>
      <c r="AH206" s="578"/>
      <c r="AI206" s="578"/>
      <c r="AJ206" s="578"/>
      <c r="AK206" s="578"/>
      <c r="AL206" s="578"/>
      <c r="AM206" s="578"/>
      <c r="AN206" s="578"/>
      <c r="AO206" s="578"/>
      <c r="AP206" s="578"/>
      <c r="AQ206" s="578"/>
      <c r="AR206" s="816"/>
      <c r="AS206" s="578"/>
      <c r="AT206" s="578"/>
      <c r="AU206" s="578"/>
      <c r="AV206" s="578"/>
      <c r="AW206" s="578"/>
      <c r="AX206" s="578"/>
      <c r="AY206" s="818"/>
      <c r="AZ206" s="578"/>
      <c r="BA206" s="578"/>
      <c r="BB206" s="578"/>
      <c r="BC206" s="578"/>
      <c r="BD206" s="578"/>
      <c r="BE206" s="578"/>
      <c r="BF206" s="578"/>
      <c r="BG206" s="578"/>
      <c r="BH206" s="578"/>
      <c r="BI206" s="578"/>
      <c r="BJ206" s="578"/>
      <c r="BK206" s="578"/>
      <c r="BL206" s="578"/>
      <c r="BM206" s="578"/>
      <c r="BN206" s="578"/>
      <c r="BO206" s="578"/>
      <c r="BP206" s="578"/>
      <c r="BQ206" s="578"/>
      <c r="BR206" s="578"/>
      <c r="BS206" s="578"/>
      <c r="BT206" s="578"/>
      <c r="BU206" s="578"/>
      <c r="BV206" s="578"/>
      <c r="BW206" s="578"/>
    </row>
    <row r="207" spans="1:75" ht="14.25" customHeight="1" x14ac:dyDescent="0.3">
      <c r="A207" s="578"/>
      <c r="B207" s="815"/>
      <c r="C207" s="578"/>
      <c r="D207" s="578"/>
      <c r="E207" s="578"/>
      <c r="F207" s="578"/>
      <c r="G207" s="578"/>
      <c r="H207" s="578"/>
      <c r="I207" s="578"/>
      <c r="J207" s="578"/>
      <c r="K207" s="578"/>
      <c r="L207" s="578"/>
      <c r="M207" s="578"/>
      <c r="N207" s="578"/>
      <c r="O207" s="578"/>
      <c r="P207" s="578"/>
      <c r="Q207" s="578"/>
      <c r="R207" s="578"/>
      <c r="S207" s="578"/>
      <c r="T207" s="578"/>
      <c r="U207" s="578"/>
      <c r="V207" s="578"/>
      <c r="W207" s="578"/>
      <c r="X207" s="578"/>
      <c r="Y207" s="578"/>
      <c r="Z207" s="578"/>
      <c r="AA207" s="578"/>
      <c r="AB207" s="578"/>
      <c r="AC207" s="578"/>
      <c r="AD207" s="578"/>
      <c r="AE207" s="578"/>
      <c r="AF207" s="578"/>
      <c r="AG207" s="578"/>
      <c r="AH207" s="578"/>
      <c r="AI207" s="578"/>
      <c r="AJ207" s="578"/>
      <c r="AK207" s="578"/>
      <c r="AL207" s="578"/>
      <c r="AM207" s="578"/>
      <c r="AN207" s="578"/>
      <c r="AO207" s="578"/>
      <c r="AP207" s="578"/>
      <c r="AQ207" s="578"/>
      <c r="AR207" s="816"/>
      <c r="AS207" s="578"/>
      <c r="AT207" s="578"/>
      <c r="AU207" s="578"/>
      <c r="AV207" s="578"/>
      <c r="AW207" s="578"/>
      <c r="AX207" s="578"/>
      <c r="AY207" s="818"/>
      <c r="AZ207" s="578"/>
      <c r="BA207" s="578"/>
      <c r="BB207" s="578"/>
      <c r="BC207" s="578"/>
      <c r="BD207" s="578"/>
      <c r="BE207" s="578"/>
      <c r="BF207" s="578"/>
      <c r="BG207" s="578"/>
      <c r="BH207" s="578"/>
      <c r="BI207" s="578"/>
      <c r="BJ207" s="578"/>
      <c r="BK207" s="578"/>
      <c r="BL207" s="578"/>
      <c r="BM207" s="578"/>
      <c r="BN207" s="578"/>
      <c r="BO207" s="578"/>
      <c r="BP207" s="578"/>
      <c r="BQ207" s="578"/>
      <c r="BR207" s="578"/>
      <c r="BS207" s="578"/>
      <c r="BT207" s="578"/>
      <c r="BU207" s="578"/>
      <c r="BV207" s="578"/>
      <c r="BW207" s="578"/>
    </row>
    <row r="208" spans="1:75" ht="14.25" customHeight="1" x14ac:dyDescent="0.3">
      <c r="A208" s="578"/>
      <c r="B208" s="815"/>
      <c r="C208" s="578"/>
      <c r="D208" s="578"/>
      <c r="E208" s="578"/>
      <c r="F208" s="578"/>
      <c r="G208" s="578"/>
      <c r="H208" s="578"/>
      <c r="I208" s="578"/>
      <c r="J208" s="578"/>
      <c r="K208" s="578"/>
      <c r="L208" s="578"/>
      <c r="M208" s="578"/>
      <c r="N208" s="578"/>
      <c r="O208" s="578"/>
      <c r="P208" s="578"/>
      <c r="Q208" s="578"/>
      <c r="R208" s="578"/>
      <c r="S208" s="578"/>
      <c r="T208" s="578"/>
      <c r="U208" s="578"/>
      <c r="V208" s="578"/>
      <c r="W208" s="578"/>
      <c r="X208" s="578"/>
      <c r="Y208" s="578"/>
      <c r="Z208" s="578"/>
      <c r="AA208" s="578"/>
      <c r="AB208" s="578"/>
      <c r="AC208" s="578"/>
      <c r="AD208" s="578"/>
      <c r="AE208" s="578"/>
      <c r="AF208" s="578"/>
      <c r="AG208" s="578"/>
      <c r="AH208" s="578"/>
      <c r="AI208" s="578"/>
      <c r="AJ208" s="578"/>
      <c r="AK208" s="578"/>
      <c r="AL208" s="578"/>
      <c r="AM208" s="578"/>
      <c r="AN208" s="578"/>
      <c r="AO208" s="578"/>
      <c r="AP208" s="578"/>
      <c r="AQ208" s="578"/>
      <c r="AR208" s="816"/>
      <c r="AS208" s="578"/>
      <c r="AT208" s="578"/>
      <c r="AU208" s="578"/>
      <c r="AV208" s="578"/>
      <c r="AW208" s="578"/>
      <c r="AX208" s="578"/>
      <c r="AY208" s="818"/>
      <c r="AZ208" s="578"/>
      <c r="BA208" s="578"/>
      <c r="BB208" s="578"/>
      <c r="BC208" s="578"/>
      <c r="BD208" s="578"/>
      <c r="BE208" s="578"/>
      <c r="BF208" s="578"/>
      <c r="BG208" s="578"/>
      <c r="BH208" s="578"/>
      <c r="BI208" s="578"/>
      <c r="BJ208" s="578"/>
      <c r="BK208" s="578"/>
      <c r="BL208" s="578"/>
      <c r="BM208" s="578"/>
      <c r="BN208" s="578"/>
      <c r="BO208" s="578"/>
      <c r="BP208" s="578"/>
      <c r="BQ208" s="578"/>
      <c r="BR208" s="578"/>
      <c r="BS208" s="578"/>
      <c r="BT208" s="578"/>
      <c r="BU208" s="578"/>
      <c r="BV208" s="578"/>
      <c r="BW208" s="578"/>
    </row>
    <row r="209" spans="1:75" ht="14.25" customHeight="1" x14ac:dyDescent="0.3">
      <c r="A209" s="578"/>
      <c r="B209" s="815"/>
      <c r="C209" s="578"/>
      <c r="D209" s="578"/>
      <c r="E209" s="578"/>
      <c r="F209" s="578"/>
      <c r="G209" s="578"/>
      <c r="H209" s="578"/>
      <c r="I209" s="578"/>
      <c r="J209" s="578"/>
      <c r="K209" s="578"/>
      <c r="L209" s="578"/>
      <c r="M209" s="578"/>
      <c r="N209" s="578"/>
      <c r="O209" s="578"/>
      <c r="P209" s="578"/>
      <c r="Q209" s="578"/>
      <c r="R209" s="578"/>
      <c r="S209" s="578"/>
      <c r="T209" s="578"/>
      <c r="U209" s="578"/>
      <c r="V209" s="578"/>
      <c r="W209" s="578"/>
      <c r="X209" s="578"/>
      <c r="Y209" s="578"/>
      <c r="Z209" s="578"/>
      <c r="AA209" s="578"/>
      <c r="AB209" s="578"/>
      <c r="AC209" s="578"/>
      <c r="AD209" s="578"/>
      <c r="AE209" s="578"/>
      <c r="AF209" s="578"/>
      <c r="AG209" s="578"/>
      <c r="AH209" s="578"/>
      <c r="AI209" s="578"/>
      <c r="AJ209" s="578"/>
      <c r="AK209" s="578"/>
      <c r="AL209" s="578"/>
      <c r="AM209" s="578"/>
      <c r="AN209" s="578"/>
      <c r="AO209" s="578"/>
      <c r="AP209" s="578"/>
      <c r="AQ209" s="578"/>
      <c r="AR209" s="816"/>
      <c r="AS209" s="578"/>
      <c r="AT209" s="578"/>
      <c r="AU209" s="578"/>
      <c r="AV209" s="578"/>
      <c r="AW209" s="578"/>
      <c r="AX209" s="578"/>
      <c r="AY209" s="818"/>
      <c r="AZ209" s="578"/>
      <c r="BA209" s="578"/>
      <c r="BB209" s="578"/>
      <c r="BC209" s="578"/>
      <c r="BD209" s="578"/>
      <c r="BE209" s="578"/>
      <c r="BF209" s="578"/>
      <c r="BG209" s="578"/>
      <c r="BH209" s="578"/>
      <c r="BI209" s="578"/>
      <c r="BJ209" s="578"/>
      <c r="BK209" s="578"/>
      <c r="BL209" s="578"/>
      <c r="BM209" s="578"/>
      <c r="BN209" s="578"/>
      <c r="BO209" s="578"/>
      <c r="BP209" s="578"/>
      <c r="BQ209" s="578"/>
      <c r="BR209" s="578"/>
      <c r="BS209" s="578"/>
      <c r="BT209" s="578"/>
      <c r="BU209" s="578"/>
      <c r="BV209" s="578"/>
      <c r="BW209" s="578"/>
    </row>
    <row r="210" spans="1:75" ht="14.25" customHeight="1" x14ac:dyDescent="0.3">
      <c r="A210" s="578"/>
      <c r="B210" s="815"/>
      <c r="C210" s="578"/>
      <c r="D210" s="578"/>
      <c r="E210" s="578"/>
      <c r="F210" s="578"/>
      <c r="G210" s="578"/>
      <c r="H210" s="578"/>
      <c r="I210" s="578"/>
      <c r="J210" s="578"/>
      <c r="K210" s="578"/>
      <c r="L210" s="578"/>
      <c r="M210" s="578"/>
      <c r="N210" s="578"/>
      <c r="O210" s="578"/>
      <c r="P210" s="578"/>
      <c r="Q210" s="578"/>
      <c r="R210" s="578"/>
      <c r="S210" s="578"/>
      <c r="T210" s="578"/>
      <c r="U210" s="578"/>
      <c r="V210" s="578"/>
      <c r="W210" s="578"/>
      <c r="X210" s="578"/>
      <c r="Y210" s="578"/>
      <c r="Z210" s="578"/>
      <c r="AA210" s="578"/>
      <c r="AB210" s="578"/>
      <c r="AC210" s="578"/>
      <c r="AD210" s="578"/>
      <c r="AE210" s="578"/>
      <c r="AF210" s="578"/>
      <c r="AG210" s="578"/>
      <c r="AH210" s="578"/>
      <c r="AI210" s="578"/>
      <c r="AJ210" s="578"/>
      <c r="AK210" s="578"/>
      <c r="AL210" s="578"/>
      <c r="AM210" s="578"/>
      <c r="AN210" s="578"/>
      <c r="AO210" s="578"/>
      <c r="AP210" s="578"/>
      <c r="AQ210" s="578"/>
      <c r="AR210" s="816"/>
      <c r="AS210" s="578"/>
      <c r="AT210" s="578"/>
      <c r="AU210" s="578"/>
      <c r="AV210" s="578"/>
      <c r="AW210" s="578"/>
      <c r="AX210" s="578"/>
      <c r="AY210" s="818"/>
      <c r="AZ210" s="578"/>
      <c r="BA210" s="578"/>
      <c r="BB210" s="578"/>
      <c r="BC210" s="578"/>
      <c r="BD210" s="578"/>
      <c r="BE210" s="578"/>
      <c r="BF210" s="578"/>
      <c r="BG210" s="578"/>
      <c r="BH210" s="578"/>
      <c r="BI210" s="578"/>
      <c r="BJ210" s="578"/>
      <c r="BK210" s="578"/>
      <c r="BL210" s="578"/>
      <c r="BM210" s="578"/>
      <c r="BN210" s="578"/>
      <c r="BO210" s="578"/>
      <c r="BP210" s="578"/>
      <c r="BQ210" s="578"/>
      <c r="BR210" s="578"/>
      <c r="BS210" s="578"/>
      <c r="BT210" s="578"/>
      <c r="BU210" s="578"/>
      <c r="BV210" s="578"/>
      <c r="BW210" s="578"/>
    </row>
    <row r="211" spans="1:75" ht="14.25" customHeight="1" x14ac:dyDescent="0.3">
      <c r="A211" s="578"/>
      <c r="B211" s="815"/>
      <c r="C211" s="578"/>
      <c r="D211" s="578"/>
      <c r="E211" s="578"/>
      <c r="F211" s="578"/>
      <c r="G211" s="578"/>
      <c r="H211" s="578"/>
      <c r="I211" s="578"/>
      <c r="J211" s="578"/>
      <c r="K211" s="578"/>
      <c r="L211" s="578"/>
      <c r="M211" s="578"/>
      <c r="N211" s="578"/>
      <c r="O211" s="578"/>
      <c r="P211" s="578"/>
      <c r="Q211" s="578"/>
      <c r="R211" s="578"/>
      <c r="S211" s="578"/>
      <c r="T211" s="578"/>
      <c r="U211" s="578"/>
      <c r="V211" s="578"/>
      <c r="W211" s="578"/>
      <c r="X211" s="578"/>
      <c r="Y211" s="578"/>
      <c r="Z211" s="578"/>
      <c r="AA211" s="578"/>
      <c r="AB211" s="578"/>
      <c r="AC211" s="578"/>
      <c r="AD211" s="578"/>
      <c r="AE211" s="578"/>
      <c r="AF211" s="578"/>
      <c r="AG211" s="578"/>
      <c r="AH211" s="578"/>
      <c r="AI211" s="578"/>
      <c r="AJ211" s="578"/>
      <c r="AK211" s="578"/>
      <c r="AL211" s="578"/>
      <c r="AM211" s="578"/>
      <c r="AN211" s="578"/>
      <c r="AO211" s="578"/>
      <c r="AP211" s="578"/>
      <c r="AQ211" s="578"/>
      <c r="AR211" s="816"/>
      <c r="AS211" s="578"/>
      <c r="AT211" s="578"/>
      <c r="AU211" s="578"/>
      <c r="AV211" s="578"/>
      <c r="AW211" s="578"/>
      <c r="AX211" s="578"/>
      <c r="AY211" s="818"/>
      <c r="AZ211" s="578"/>
      <c r="BA211" s="578"/>
      <c r="BB211" s="578"/>
      <c r="BC211" s="578"/>
      <c r="BD211" s="578"/>
      <c r="BE211" s="578"/>
      <c r="BF211" s="578"/>
      <c r="BG211" s="578"/>
      <c r="BH211" s="578"/>
      <c r="BI211" s="578"/>
      <c r="BJ211" s="578"/>
      <c r="BK211" s="578"/>
      <c r="BL211" s="578"/>
      <c r="BM211" s="578"/>
      <c r="BN211" s="578"/>
      <c r="BO211" s="578"/>
      <c r="BP211" s="578"/>
      <c r="BQ211" s="578"/>
      <c r="BR211" s="578"/>
      <c r="BS211" s="578"/>
      <c r="BT211" s="578"/>
      <c r="BU211" s="578"/>
      <c r="BV211" s="578"/>
      <c r="BW211" s="578"/>
    </row>
    <row r="212" spans="1:75" ht="14.25" customHeight="1" x14ac:dyDescent="0.3">
      <c r="A212" s="578"/>
      <c r="B212" s="815"/>
      <c r="C212" s="578"/>
      <c r="D212" s="578"/>
      <c r="E212" s="578"/>
      <c r="F212" s="578"/>
      <c r="G212" s="578"/>
      <c r="H212" s="578"/>
      <c r="I212" s="578"/>
      <c r="J212" s="578"/>
      <c r="K212" s="578"/>
      <c r="L212" s="578"/>
      <c r="M212" s="578"/>
      <c r="N212" s="578"/>
      <c r="O212" s="578"/>
      <c r="P212" s="578"/>
      <c r="Q212" s="578"/>
      <c r="R212" s="578"/>
      <c r="S212" s="578"/>
      <c r="T212" s="578"/>
      <c r="U212" s="578"/>
      <c r="V212" s="578"/>
      <c r="W212" s="578"/>
      <c r="X212" s="578"/>
      <c r="Y212" s="578"/>
      <c r="Z212" s="578"/>
      <c r="AA212" s="578"/>
      <c r="AB212" s="578"/>
      <c r="AC212" s="578"/>
      <c r="AD212" s="578"/>
      <c r="AE212" s="578"/>
      <c r="AF212" s="578"/>
      <c r="AG212" s="578"/>
      <c r="AH212" s="578"/>
      <c r="AI212" s="578"/>
      <c r="AJ212" s="578"/>
      <c r="AK212" s="578"/>
      <c r="AL212" s="578"/>
      <c r="AM212" s="578"/>
      <c r="AN212" s="578"/>
      <c r="AO212" s="578"/>
      <c r="AP212" s="578"/>
      <c r="AQ212" s="578"/>
      <c r="AR212" s="816"/>
      <c r="AS212" s="578"/>
      <c r="AT212" s="578"/>
      <c r="AU212" s="578"/>
      <c r="AV212" s="578"/>
      <c r="AW212" s="578"/>
      <c r="AX212" s="578"/>
      <c r="AY212" s="818"/>
      <c r="AZ212" s="578"/>
      <c r="BA212" s="578"/>
      <c r="BB212" s="578"/>
      <c r="BC212" s="578"/>
      <c r="BD212" s="578"/>
      <c r="BE212" s="578"/>
      <c r="BF212" s="578"/>
      <c r="BG212" s="578"/>
      <c r="BH212" s="578"/>
      <c r="BI212" s="578"/>
      <c r="BJ212" s="578"/>
      <c r="BK212" s="578"/>
      <c r="BL212" s="578"/>
      <c r="BM212" s="578"/>
      <c r="BN212" s="578"/>
      <c r="BO212" s="578"/>
      <c r="BP212" s="578"/>
      <c r="BQ212" s="578"/>
      <c r="BR212" s="578"/>
      <c r="BS212" s="578"/>
      <c r="BT212" s="578"/>
      <c r="BU212" s="578"/>
      <c r="BV212" s="578"/>
      <c r="BW212" s="578"/>
    </row>
    <row r="213" spans="1:75" ht="14.25" customHeight="1" x14ac:dyDescent="0.3">
      <c r="A213" s="578"/>
      <c r="B213" s="815"/>
      <c r="C213" s="578"/>
      <c r="D213" s="578"/>
      <c r="E213" s="578"/>
      <c r="F213" s="578"/>
      <c r="G213" s="578"/>
      <c r="H213" s="578"/>
      <c r="I213" s="578"/>
      <c r="J213" s="578"/>
      <c r="K213" s="578"/>
      <c r="L213" s="578"/>
      <c r="M213" s="578"/>
      <c r="N213" s="578"/>
      <c r="O213" s="578"/>
      <c r="P213" s="578"/>
      <c r="Q213" s="578"/>
      <c r="R213" s="578"/>
      <c r="S213" s="578"/>
      <c r="T213" s="578"/>
      <c r="U213" s="578"/>
      <c r="V213" s="578"/>
      <c r="W213" s="578"/>
      <c r="X213" s="578"/>
      <c r="Y213" s="578"/>
      <c r="Z213" s="578"/>
      <c r="AA213" s="578"/>
      <c r="AB213" s="578"/>
      <c r="AC213" s="578"/>
      <c r="AD213" s="578"/>
      <c r="AE213" s="578"/>
      <c r="AF213" s="578"/>
      <c r="AG213" s="578"/>
      <c r="AH213" s="578"/>
      <c r="AI213" s="578"/>
      <c r="AJ213" s="578"/>
      <c r="AK213" s="578"/>
      <c r="AL213" s="578"/>
      <c r="AM213" s="578"/>
      <c r="AN213" s="578"/>
      <c r="AO213" s="578"/>
      <c r="AP213" s="578"/>
      <c r="AQ213" s="578"/>
      <c r="AR213" s="816"/>
      <c r="AS213" s="578"/>
      <c r="AT213" s="578"/>
      <c r="AU213" s="578"/>
      <c r="AV213" s="578"/>
      <c r="AW213" s="578"/>
      <c r="AX213" s="578"/>
      <c r="AY213" s="818"/>
      <c r="AZ213" s="578"/>
      <c r="BA213" s="578"/>
      <c r="BB213" s="578"/>
      <c r="BC213" s="578"/>
      <c r="BD213" s="578"/>
      <c r="BE213" s="578"/>
      <c r="BF213" s="578"/>
      <c r="BG213" s="578"/>
      <c r="BH213" s="578"/>
      <c r="BI213" s="578"/>
      <c r="BJ213" s="578"/>
      <c r="BK213" s="578"/>
      <c r="BL213" s="578"/>
      <c r="BM213" s="578"/>
      <c r="BN213" s="578"/>
      <c r="BO213" s="578"/>
      <c r="BP213" s="578"/>
      <c r="BQ213" s="578"/>
      <c r="BR213" s="578"/>
      <c r="BS213" s="578"/>
      <c r="BT213" s="578"/>
      <c r="BU213" s="578"/>
      <c r="BV213" s="578"/>
      <c r="BW213" s="578"/>
    </row>
    <row r="214" spans="1:75" ht="14.25" customHeight="1" x14ac:dyDescent="0.3">
      <c r="A214" s="578"/>
      <c r="B214" s="815"/>
      <c r="C214" s="578"/>
      <c r="D214" s="578"/>
      <c r="E214" s="578"/>
      <c r="F214" s="578"/>
      <c r="G214" s="578"/>
      <c r="H214" s="578"/>
      <c r="I214" s="578"/>
      <c r="J214" s="578"/>
      <c r="K214" s="578"/>
      <c r="L214" s="578"/>
      <c r="M214" s="578"/>
      <c r="N214" s="578"/>
      <c r="O214" s="578"/>
      <c r="P214" s="578"/>
      <c r="Q214" s="578"/>
      <c r="R214" s="578"/>
      <c r="S214" s="578"/>
      <c r="T214" s="578"/>
      <c r="U214" s="578"/>
      <c r="V214" s="578"/>
      <c r="W214" s="578"/>
      <c r="X214" s="578"/>
      <c r="Y214" s="578"/>
      <c r="Z214" s="578"/>
      <c r="AA214" s="578"/>
      <c r="AB214" s="578"/>
      <c r="AC214" s="578"/>
      <c r="AD214" s="578"/>
      <c r="AE214" s="578"/>
      <c r="AF214" s="578"/>
      <c r="AG214" s="578"/>
      <c r="AH214" s="578"/>
      <c r="AI214" s="578"/>
      <c r="AJ214" s="578"/>
      <c r="AK214" s="578"/>
      <c r="AL214" s="578"/>
      <c r="AM214" s="578"/>
      <c r="AN214" s="578"/>
      <c r="AO214" s="578"/>
      <c r="AP214" s="578"/>
      <c r="AQ214" s="578"/>
      <c r="AR214" s="816"/>
      <c r="AS214" s="578"/>
      <c r="AT214" s="578"/>
      <c r="AU214" s="578"/>
      <c r="AV214" s="578"/>
      <c r="AW214" s="578"/>
      <c r="AX214" s="578"/>
      <c r="AY214" s="818"/>
      <c r="AZ214" s="578"/>
      <c r="BA214" s="578"/>
      <c r="BB214" s="578"/>
      <c r="BC214" s="578"/>
      <c r="BD214" s="578"/>
      <c r="BE214" s="578"/>
      <c r="BF214" s="578"/>
      <c r="BG214" s="578"/>
      <c r="BH214" s="578"/>
      <c r="BI214" s="578"/>
      <c r="BJ214" s="578"/>
      <c r="BK214" s="578"/>
      <c r="BL214" s="578"/>
      <c r="BM214" s="578"/>
      <c r="BN214" s="578"/>
      <c r="BO214" s="578"/>
      <c r="BP214" s="578"/>
      <c r="BQ214" s="578"/>
      <c r="BR214" s="578"/>
      <c r="BS214" s="578"/>
      <c r="BT214" s="578"/>
      <c r="BU214" s="578"/>
      <c r="BV214" s="578"/>
      <c r="BW214" s="578"/>
    </row>
    <row r="215" spans="1:75" ht="14.25" customHeight="1" x14ac:dyDescent="0.3">
      <c r="A215" s="578"/>
      <c r="B215" s="815"/>
      <c r="C215" s="578"/>
      <c r="D215" s="578"/>
      <c r="E215" s="578"/>
      <c r="F215" s="578"/>
      <c r="G215" s="578"/>
      <c r="H215" s="578"/>
      <c r="I215" s="578"/>
      <c r="J215" s="578"/>
      <c r="K215" s="578"/>
      <c r="L215" s="578"/>
      <c r="M215" s="578"/>
      <c r="N215" s="578"/>
      <c r="O215" s="578"/>
      <c r="P215" s="578"/>
      <c r="Q215" s="578"/>
      <c r="R215" s="578"/>
      <c r="S215" s="578"/>
      <c r="T215" s="578"/>
      <c r="U215" s="578"/>
      <c r="V215" s="578"/>
      <c r="W215" s="578"/>
      <c r="X215" s="578"/>
      <c r="Y215" s="578"/>
      <c r="Z215" s="578"/>
      <c r="AA215" s="578"/>
      <c r="AB215" s="578"/>
      <c r="AC215" s="578"/>
      <c r="AD215" s="578"/>
      <c r="AE215" s="578"/>
      <c r="AF215" s="578"/>
      <c r="AG215" s="578"/>
      <c r="AH215" s="578"/>
      <c r="AI215" s="578"/>
      <c r="AJ215" s="578"/>
      <c r="AK215" s="578"/>
      <c r="AL215" s="578"/>
      <c r="AM215" s="578"/>
      <c r="AN215" s="578"/>
      <c r="AO215" s="578"/>
      <c r="AP215" s="578"/>
      <c r="AQ215" s="578"/>
      <c r="AR215" s="816"/>
      <c r="AS215" s="578"/>
      <c r="AT215" s="578"/>
      <c r="AU215" s="578"/>
      <c r="AV215" s="578"/>
      <c r="AW215" s="578"/>
      <c r="AX215" s="578"/>
      <c r="AY215" s="818"/>
      <c r="AZ215" s="578"/>
      <c r="BA215" s="578"/>
      <c r="BB215" s="578"/>
      <c r="BC215" s="578"/>
      <c r="BD215" s="578"/>
      <c r="BE215" s="578"/>
      <c r="BF215" s="578"/>
      <c r="BG215" s="578"/>
      <c r="BH215" s="578"/>
      <c r="BI215" s="578"/>
      <c r="BJ215" s="578"/>
      <c r="BK215" s="578"/>
      <c r="BL215" s="578"/>
      <c r="BM215" s="578"/>
      <c r="BN215" s="578"/>
      <c r="BO215" s="578"/>
      <c r="BP215" s="578"/>
      <c r="BQ215" s="578"/>
      <c r="BR215" s="578"/>
      <c r="BS215" s="578"/>
      <c r="BT215" s="578"/>
      <c r="BU215" s="578"/>
      <c r="BV215" s="578"/>
      <c r="BW215" s="578"/>
    </row>
    <row r="216" spans="1:75" ht="14.25" customHeight="1" x14ac:dyDescent="0.3">
      <c r="A216" s="578"/>
      <c r="B216" s="815"/>
      <c r="C216" s="578"/>
      <c r="D216" s="578"/>
      <c r="E216" s="578"/>
      <c r="F216" s="578"/>
      <c r="G216" s="578"/>
      <c r="H216" s="578"/>
      <c r="I216" s="578"/>
      <c r="J216" s="578"/>
      <c r="K216" s="578"/>
      <c r="L216" s="578"/>
      <c r="M216" s="578"/>
      <c r="N216" s="578"/>
      <c r="O216" s="578"/>
      <c r="P216" s="578"/>
      <c r="Q216" s="578"/>
      <c r="R216" s="578"/>
      <c r="S216" s="578"/>
      <c r="T216" s="578"/>
      <c r="U216" s="578"/>
      <c r="V216" s="578"/>
      <c r="W216" s="578"/>
      <c r="X216" s="578"/>
      <c r="Y216" s="578"/>
      <c r="Z216" s="578"/>
      <c r="AA216" s="578"/>
      <c r="AB216" s="578"/>
      <c r="AC216" s="578"/>
      <c r="AD216" s="578"/>
      <c r="AE216" s="578"/>
      <c r="AF216" s="578"/>
      <c r="AG216" s="578"/>
      <c r="AH216" s="578"/>
      <c r="AI216" s="578"/>
      <c r="AJ216" s="578"/>
      <c r="AK216" s="578"/>
      <c r="AL216" s="578"/>
      <c r="AM216" s="578"/>
      <c r="AN216" s="578"/>
      <c r="AO216" s="578"/>
      <c r="AP216" s="578"/>
      <c r="AQ216" s="578"/>
      <c r="AR216" s="816"/>
      <c r="AS216" s="578"/>
      <c r="AT216" s="578"/>
      <c r="AU216" s="578"/>
      <c r="AV216" s="578"/>
      <c r="AW216" s="578"/>
      <c r="AX216" s="578"/>
      <c r="AY216" s="818"/>
      <c r="AZ216" s="578"/>
      <c r="BA216" s="578"/>
      <c r="BB216" s="578"/>
      <c r="BC216" s="578"/>
      <c r="BD216" s="578"/>
      <c r="BE216" s="578"/>
      <c r="BF216" s="578"/>
      <c r="BG216" s="578"/>
      <c r="BH216" s="578"/>
      <c r="BI216" s="578"/>
      <c r="BJ216" s="578"/>
      <c r="BK216" s="578"/>
      <c r="BL216" s="578"/>
      <c r="BM216" s="578"/>
      <c r="BN216" s="578"/>
      <c r="BO216" s="578"/>
      <c r="BP216" s="578"/>
      <c r="BQ216" s="578"/>
      <c r="BR216" s="578"/>
      <c r="BS216" s="578"/>
      <c r="BT216" s="578"/>
      <c r="BU216" s="578"/>
      <c r="BV216" s="578"/>
      <c r="BW216" s="578"/>
    </row>
    <row r="217" spans="1:75" ht="14.25" customHeight="1" x14ac:dyDescent="0.3">
      <c r="A217" s="578"/>
      <c r="B217" s="815"/>
      <c r="C217" s="578"/>
      <c r="D217" s="578"/>
      <c r="E217" s="578"/>
      <c r="F217" s="578"/>
      <c r="G217" s="578"/>
      <c r="H217" s="578"/>
      <c r="I217" s="578"/>
      <c r="J217" s="578"/>
      <c r="K217" s="578"/>
      <c r="L217" s="578"/>
      <c r="M217" s="578"/>
      <c r="N217" s="578"/>
      <c r="O217" s="578"/>
      <c r="P217" s="578"/>
      <c r="Q217" s="578"/>
      <c r="R217" s="578"/>
      <c r="S217" s="578"/>
      <c r="T217" s="578"/>
      <c r="U217" s="578"/>
      <c r="V217" s="578"/>
      <c r="W217" s="578"/>
      <c r="X217" s="578"/>
      <c r="Y217" s="578"/>
      <c r="Z217" s="578"/>
      <c r="AA217" s="578"/>
      <c r="AB217" s="578"/>
      <c r="AC217" s="578"/>
      <c r="AD217" s="578"/>
      <c r="AE217" s="578"/>
      <c r="AF217" s="578"/>
      <c r="AG217" s="578"/>
      <c r="AH217" s="578"/>
      <c r="AI217" s="578"/>
      <c r="AJ217" s="578"/>
      <c r="AK217" s="578"/>
      <c r="AL217" s="578"/>
      <c r="AM217" s="578"/>
      <c r="AN217" s="578"/>
      <c r="AO217" s="578"/>
      <c r="AP217" s="578"/>
      <c r="AQ217" s="578"/>
      <c r="AR217" s="816"/>
      <c r="AS217" s="578"/>
      <c r="AT217" s="578"/>
      <c r="AU217" s="578"/>
      <c r="AV217" s="578"/>
      <c r="AW217" s="578"/>
      <c r="AX217" s="578"/>
      <c r="AY217" s="818"/>
      <c r="AZ217" s="578"/>
      <c r="BA217" s="578"/>
      <c r="BB217" s="578"/>
      <c r="BC217" s="578"/>
      <c r="BD217" s="578"/>
      <c r="BE217" s="578"/>
      <c r="BF217" s="578"/>
      <c r="BG217" s="578"/>
      <c r="BH217" s="578"/>
      <c r="BI217" s="578"/>
      <c r="BJ217" s="578"/>
      <c r="BK217" s="578"/>
      <c r="BL217" s="578"/>
      <c r="BM217" s="578"/>
      <c r="BN217" s="578"/>
      <c r="BO217" s="578"/>
      <c r="BP217" s="578"/>
      <c r="BQ217" s="578"/>
      <c r="BR217" s="578"/>
      <c r="BS217" s="578"/>
      <c r="BT217" s="578"/>
      <c r="BU217" s="578"/>
      <c r="BV217" s="578"/>
      <c r="BW217" s="578"/>
    </row>
    <row r="218" spans="1:75" ht="14.25" customHeight="1" x14ac:dyDescent="0.3">
      <c r="A218" s="578"/>
      <c r="B218" s="815"/>
      <c r="C218" s="578"/>
      <c r="D218" s="578"/>
      <c r="E218" s="578"/>
      <c r="F218" s="578"/>
      <c r="G218" s="578"/>
      <c r="H218" s="578"/>
      <c r="I218" s="578"/>
      <c r="J218" s="578"/>
      <c r="K218" s="578"/>
      <c r="L218" s="578"/>
      <c r="M218" s="578"/>
      <c r="N218" s="578"/>
      <c r="O218" s="578"/>
      <c r="P218" s="578"/>
      <c r="Q218" s="578"/>
      <c r="R218" s="578"/>
      <c r="S218" s="578"/>
      <c r="T218" s="578"/>
      <c r="U218" s="578"/>
      <c r="V218" s="578"/>
      <c r="W218" s="578"/>
      <c r="X218" s="578"/>
      <c r="Y218" s="578"/>
      <c r="Z218" s="578"/>
      <c r="AA218" s="578"/>
      <c r="AB218" s="578"/>
      <c r="AC218" s="578"/>
      <c r="AD218" s="578"/>
      <c r="AE218" s="578"/>
      <c r="AF218" s="578"/>
      <c r="AG218" s="578"/>
      <c r="AH218" s="578"/>
      <c r="AI218" s="578"/>
      <c r="AJ218" s="578"/>
      <c r="AK218" s="578"/>
      <c r="AL218" s="578"/>
      <c r="AM218" s="578"/>
      <c r="AN218" s="578"/>
      <c r="AO218" s="578"/>
      <c r="AP218" s="578"/>
      <c r="AQ218" s="578"/>
      <c r="AR218" s="816"/>
      <c r="AS218" s="578"/>
      <c r="AT218" s="578"/>
      <c r="AU218" s="578"/>
      <c r="AV218" s="578"/>
      <c r="AW218" s="578"/>
      <c r="AX218" s="578"/>
      <c r="AY218" s="818"/>
      <c r="AZ218" s="578"/>
      <c r="BA218" s="578"/>
      <c r="BB218" s="578"/>
      <c r="BC218" s="578"/>
      <c r="BD218" s="578"/>
      <c r="BE218" s="578"/>
      <c r="BF218" s="578"/>
      <c r="BG218" s="578"/>
      <c r="BH218" s="578"/>
      <c r="BI218" s="578"/>
      <c r="BJ218" s="578"/>
      <c r="BK218" s="578"/>
      <c r="BL218" s="578"/>
      <c r="BM218" s="578"/>
      <c r="BN218" s="578"/>
      <c r="BO218" s="578"/>
      <c r="BP218" s="578"/>
      <c r="BQ218" s="578"/>
      <c r="BR218" s="578"/>
      <c r="BS218" s="578"/>
      <c r="BT218" s="578"/>
      <c r="BU218" s="578"/>
      <c r="BV218" s="578"/>
      <c r="BW218" s="578"/>
    </row>
    <row r="219" spans="1:75" ht="14.25" customHeight="1" x14ac:dyDescent="0.3">
      <c r="A219" s="578"/>
      <c r="B219" s="815"/>
      <c r="C219" s="578"/>
      <c r="D219" s="578"/>
      <c r="E219" s="578"/>
      <c r="F219" s="578"/>
      <c r="G219" s="578"/>
      <c r="H219" s="578"/>
      <c r="I219" s="578"/>
      <c r="J219" s="578"/>
      <c r="K219" s="578"/>
      <c r="L219" s="578"/>
      <c r="M219" s="578"/>
      <c r="N219" s="578"/>
      <c r="O219" s="578"/>
      <c r="P219" s="578"/>
      <c r="Q219" s="578"/>
      <c r="R219" s="578"/>
      <c r="S219" s="578"/>
      <c r="T219" s="578"/>
      <c r="U219" s="578"/>
      <c r="V219" s="578"/>
      <c r="W219" s="578"/>
      <c r="X219" s="578"/>
      <c r="Y219" s="578"/>
      <c r="Z219" s="578"/>
      <c r="AA219" s="578"/>
      <c r="AB219" s="578"/>
      <c r="AC219" s="578"/>
      <c r="AD219" s="578"/>
      <c r="AE219" s="578"/>
      <c r="AF219" s="578"/>
      <c r="AG219" s="578"/>
      <c r="AH219" s="578"/>
      <c r="AI219" s="578"/>
      <c r="AJ219" s="578"/>
      <c r="AK219" s="578"/>
      <c r="AL219" s="578"/>
      <c r="AM219" s="578"/>
      <c r="AN219" s="578"/>
      <c r="AO219" s="578"/>
      <c r="AP219" s="578"/>
      <c r="AQ219" s="578"/>
      <c r="AR219" s="816"/>
      <c r="AS219" s="578"/>
      <c r="AT219" s="578"/>
      <c r="AU219" s="578"/>
      <c r="AV219" s="578"/>
      <c r="AW219" s="578"/>
      <c r="AX219" s="578"/>
      <c r="AY219" s="818"/>
      <c r="AZ219" s="578"/>
      <c r="BA219" s="578"/>
      <c r="BB219" s="578"/>
      <c r="BC219" s="578"/>
      <c r="BD219" s="578"/>
      <c r="BE219" s="578"/>
      <c r="BF219" s="578"/>
      <c r="BG219" s="578"/>
      <c r="BH219" s="578"/>
      <c r="BI219" s="578"/>
      <c r="BJ219" s="578"/>
      <c r="BK219" s="578"/>
      <c r="BL219" s="578"/>
      <c r="BM219" s="578"/>
      <c r="BN219" s="578"/>
      <c r="BO219" s="578"/>
      <c r="BP219" s="578"/>
      <c r="BQ219" s="578"/>
      <c r="BR219" s="578"/>
      <c r="BS219" s="578"/>
      <c r="BT219" s="578"/>
      <c r="BU219" s="578"/>
      <c r="BV219" s="578"/>
      <c r="BW219" s="578"/>
    </row>
    <row r="220" spans="1:75" ht="14.25" customHeight="1" x14ac:dyDescent="0.3">
      <c r="A220" s="578"/>
      <c r="B220" s="815"/>
      <c r="C220" s="578"/>
      <c r="D220" s="578"/>
      <c r="E220" s="578"/>
      <c r="F220" s="578"/>
      <c r="G220" s="578"/>
      <c r="H220" s="578"/>
      <c r="I220" s="578"/>
      <c r="J220" s="578"/>
      <c r="K220" s="578"/>
      <c r="L220" s="578"/>
      <c r="M220" s="578"/>
      <c r="N220" s="578"/>
      <c r="O220" s="578"/>
      <c r="P220" s="578"/>
      <c r="Q220" s="578"/>
      <c r="R220" s="578"/>
      <c r="S220" s="578"/>
      <c r="T220" s="578"/>
      <c r="U220" s="578"/>
      <c r="V220" s="578"/>
      <c r="W220" s="578"/>
      <c r="X220" s="578"/>
      <c r="Y220" s="578"/>
      <c r="Z220" s="578"/>
      <c r="AA220" s="578"/>
      <c r="AB220" s="578"/>
      <c r="AC220" s="578"/>
      <c r="AD220" s="578"/>
      <c r="AE220" s="578"/>
      <c r="AF220" s="578"/>
      <c r="AG220" s="578"/>
      <c r="AH220" s="578"/>
      <c r="AI220" s="578"/>
      <c r="AJ220" s="578"/>
      <c r="AK220" s="578"/>
      <c r="AL220" s="578"/>
      <c r="AM220" s="578"/>
      <c r="AN220" s="578"/>
      <c r="AO220" s="578"/>
      <c r="AP220" s="578"/>
      <c r="AQ220" s="578"/>
      <c r="AR220" s="816"/>
      <c r="AS220" s="578"/>
      <c r="AT220" s="578"/>
      <c r="AU220" s="578"/>
      <c r="AV220" s="578"/>
      <c r="AW220" s="578"/>
      <c r="AX220" s="578"/>
      <c r="AY220" s="818"/>
      <c r="AZ220" s="578"/>
      <c r="BA220" s="578"/>
      <c r="BB220" s="578"/>
      <c r="BC220" s="578"/>
      <c r="BD220" s="578"/>
      <c r="BE220" s="578"/>
      <c r="BF220" s="578"/>
      <c r="BG220" s="578"/>
      <c r="BH220" s="578"/>
      <c r="BI220" s="578"/>
      <c r="BJ220" s="578"/>
      <c r="BK220" s="578"/>
      <c r="BL220" s="578"/>
      <c r="BM220" s="578"/>
      <c r="BN220" s="578"/>
      <c r="BO220" s="578"/>
      <c r="BP220" s="578"/>
      <c r="BQ220" s="578"/>
      <c r="BR220" s="578"/>
      <c r="BS220" s="578"/>
      <c r="BT220" s="578"/>
      <c r="BU220" s="578"/>
      <c r="BV220" s="578"/>
      <c r="BW220" s="578"/>
    </row>
    <row r="221" spans="1:75" ht="14.25" customHeight="1" x14ac:dyDescent="0.3">
      <c r="A221" s="578"/>
      <c r="B221" s="815"/>
      <c r="C221" s="578"/>
      <c r="D221" s="578"/>
      <c r="E221" s="578"/>
      <c r="F221" s="578"/>
      <c r="G221" s="578"/>
      <c r="H221" s="578"/>
      <c r="I221" s="578"/>
      <c r="J221" s="578"/>
      <c r="K221" s="578"/>
      <c r="L221" s="578"/>
      <c r="M221" s="578"/>
      <c r="N221" s="578"/>
      <c r="O221" s="578"/>
      <c r="P221" s="578"/>
      <c r="Q221" s="578"/>
      <c r="R221" s="578"/>
      <c r="S221" s="578"/>
      <c r="T221" s="578"/>
      <c r="U221" s="578"/>
      <c r="V221" s="578"/>
      <c r="W221" s="578"/>
      <c r="X221" s="578"/>
      <c r="Y221" s="578"/>
      <c r="Z221" s="578"/>
      <c r="AA221" s="578"/>
      <c r="AB221" s="578"/>
      <c r="AC221" s="578"/>
      <c r="AD221" s="578"/>
      <c r="AE221" s="578"/>
      <c r="AF221" s="578"/>
      <c r="AG221" s="578"/>
      <c r="AH221" s="578"/>
      <c r="AI221" s="578"/>
      <c r="AJ221" s="578"/>
      <c r="AK221" s="578"/>
      <c r="AL221" s="578"/>
      <c r="AM221" s="578"/>
      <c r="AN221" s="578"/>
      <c r="AO221" s="578"/>
      <c r="AP221" s="578"/>
      <c r="AQ221" s="578"/>
      <c r="AR221" s="816"/>
      <c r="AS221" s="578"/>
      <c r="AT221" s="578"/>
      <c r="AU221" s="578"/>
      <c r="AV221" s="578"/>
      <c r="AW221" s="578"/>
      <c r="AX221" s="578"/>
      <c r="AY221" s="818"/>
      <c r="AZ221" s="578"/>
      <c r="BA221" s="578"/>
      <c r="BB221" s="578"/>
      <c r="BC221" s="578"/>
      <c r="BD221" s="578"/>
      <c r="BE221" s="578"/>
      <c r="BF221" s="578"/>
      <c r="BG221" s="578"/>
      <c r="BH221" s="578"/>
      <c r="BI221" s="578"/>
      <c r="BJ221" s="578"/>
      <c r="BK221" s="578"/>
      <c r="BL221" s="578"/>
      <c r="BM221" s="578"/>
      <c r="BN221" s="578"/>
      <c r="BO221" s="578"/>
      <c r="BP221" s="578"/>
      <c r="BQ221" s="578"/>
      <c r="BR221" s="578"/>
      <c r="BS221" s="578"/>
      <c r="BT221" s="578"/>
      <c r="BU221" s="578"/>
      <c r="BV221" s="578"/>
      <c r="BW221" s="578"/>
    </row>
    <row r="222" spans="1:75" ht="14.25" customHeight="1" x14ac:dyDescent="0.3">
      <c r="A222" s="578"/>
      <c r="B222" s="815"/>
      <c r="C222" s="578"/>
      <c r="D222" s="578"/>
      <c r="E222" s="578"/>
      <c r="F222" s="578"/>
      <c r="G222" s="578"/>
      <c r="H222" s="578"/>
      <c r="I222" s="578"/>
      <c r="J222" s="578"/>
      <c r="K222" s="578"/>
      <c r="L222" s="578"/>
      <c r="M222" s="578"/>
      <c r="N222" s="578"/>
      <c r="O222" s="578"/>
      <c r="P222" s="578"/>
      <c r="Q222" s="578"/>
      <c r="R222" s="578"/>
      <c r="S222" s="578"/>
      <c r="T222" s="578"/>
      <c r="U222" s="578"/>
      <c r="V222" s="578"/>
      <c r="W222" s="578"/>
      <c r="X222" s="578"/>
      <c r="Y222" s="578"/>
      <c r="Z222" s="578"/>
      <c r="AA222" s="578"/>
      <c r="AB222" s="578"/>
      <c r="AC222" s="578"/>
      <c r="AD222" s="578"/>
      <c r="AE222" s="578"/>
      <c r="AF222" s="578"/>
      <c r="AG222" s="578"/>
      <c r="AH222" s="578"/>
      <c r="AI222" s="578"/>
      <c r="AJ222" s="578"/>
      <c r="AK222" s="578"/>
      <c r="AL222" s="578"/>
      <c r="AM222" s="578"/>
      <c r="AN222" s="578"/>
      <c r="AO222" s="578"/>
      <c r="AP222" s="578"/>
      <c r="AQ222" s="578"/>
      <c r="AR222" s="816"/>
      <c r="AS222" s="578"/>
      <c r="AT222" s="578"/>
      <c r="AU222" s="578"/>
      <c r="AV222" s="578"/>
      <c r="AW222" s="578"/>
      <c r="AX222" s="578"/>
      <c r="AY222" s="818"/>
      <c r="AZ222" s="578"/>
      <c r="BA222" s="578"/>
      <c r="BB222" s="578"/>
      <c r="BC222" s="578"/>
      <c r="BD222" s="578"/>
      <c r="BE222" s="578"/>
      <c r="BF222" s="578"/>
      <c r="BG222" s="578"/>
      <c r="BH222" s="578"/>
      <c r="BI222" s="578"/>
      <c r="BJ222" s="578"/>
      <c r="BK222" s="578"/>
      <c r="BL222" s="578"/>
      <c r="BM222" s="578"/>
      <c r="BN222" s="578"/>
      <c r="BO222" s="578"/>
      <c r="BP222" s="578"/>
      <c r="BQ222" s="578"/>
      <c r="BR222" s="578"/>
      <c r="BS222" s="578"/>
      <c r="BT222" s="578"/>
      <c r="BU222" s="578"/>
      <c r="BV222" s="578"/>
      <c r="BW222" s="578"/>
    </row>
    <row r="223" spans="1:75" ht="14.25" customHeight="1" x14ac:dyDescent="0.3">
      <c r="A223" s="578"/>
      <c r="B223" s="815"/>
      <c r="C223" s="578"/>
      <c r="D223" s="578"/>
      <c r="E223" s="578"/>
      <c r="F223" s="578"/>
      <c r="G223" s="578"/>
      <c r="H223" s="578"/>
      <c r="I223" s="578"/>
      <c r="J223" s="578"/>
      <c r="K223" s="578"/>
      <c r="L223" s="578"/>
      <c r="M223" s="578"/>
      <c r="N223" s="578"/>
      <c r="O223" s="578"/>
      <c r="P223" s="578"/>
      <c r="Q223" s="578"/>
      <c r="R223" s="578"/>
      <c r="S223" s="578"/>
      <c r="T223" s="578"/>
      <c r="U223" s="578"/>
      <c r="V223" s="578"/>
      <c r="W223" s="578"/>
      <c r="X223" s="578"/>
      <c r="Y223" s="578"/>
      <c r="Z223" s="578"/>
      <c r="AA223" s="578"/>
      <c r="AB223" s="578"/>
      <c r="AC223" s="578"/>
      <c r="AD223" s="578"/>
      <c r="AE223" s="578"/>
      <c r="AF223" s="578"/>
      <c r="AG223" s="578"/>
      <c r="AH223" s="578"/>
      <c r="AI223" s="578"/>
      <c r="AJ223" s="578"/>
      <c r="AK223" s="578"/>
      <c r="AL223" s="578"/>
      <c r="AM223" s="578"/>
      <c r="AN223" s="578"/>
      <c r="AO223" s="578"/>
      <c r="AP223" s="578"/>
      <c r="AQ223" s="578"/>
      <c r="AR223" s="816"/>
      <c r="AS223" s="578"/>
      <c r="AT223" s="578"/>
      <c r="AU223" s="578"/>
      <c r="AV223" s="578"/>
      <c r="AW223" s="578"/>
      <c r="AX223" s="578"/>
      <c r="AY223" s="818"/>
      <c r="AZ223" s="578"/>
      <c r="BA223" s="578"/>
      <c r="BB223" s="578"/>
      <c r="BC223" s="578"/>
      <c r="BD223" s="578"/>
      <c r="BE223" s="578"/>
      <c r="BF223" s="578"/>
      <c r="BG223" s="578"/>
      <c r="BH223" s="578"/>
      <c r="BI223" s="578"/>
      <c r="BJ223" s="578"/>
      <c r="BK223" s="578"/>
      <c r="BL223" s="578"/>
      <c r="BM223" s="578"/>
      <c r="BN223" s="578"/>
      <c r="BO223" s="578"/>
      <c r="BP223" s="578"/>
      <c r="BQ223" s="578"/>
      <c r="BR223" s="578"/>
      <c r="BS223" s="578"/>
      <c r="BT223" s="578"/>
      <c r="BU223" s="578"/>
      <c r="BV223" s="578"/>
      <c r="BW223" s="578"/>
    </row>
    <row r="224" spans="1:75" ht="14.25" customHeight="1" x14ac:dyDescent="0.3">
      <c r="A224" s="578"/>
      <c r="B224" s="815"/>
      <c r="C224" s="578"/>
      <c r="D224" s="578"/>
      <c r="E224" s="578"/>
      <c r="F224" s="578"/>
      <c r="G224" s="578"/>
      <c r="H224" s="578"/>
      <c r="I224" s="578"/>
      <c r="J224" s="578"/>
      <c r="K224" s="578"/>
      <c r="L224" s="578"/>
      <c r="M224" s="578"/>
      <c r="N224" s="578"/>
      <c r="O224" s="578"/>
      <c r="P224" s="578"/>
      <c r="Q224" s="578"/>
      <c r="R224" s="578"/>
      <c r="S224" s="578"/>
      <c r="T224" s="578"/>
      <c r="U224" s="578"/>
      <c r="V224" s="578"/>
      <c r="W224" s="578"/>
      <c r="X224" s="578"/>
      <c r="Y224" s="578"/>
      <c r="Z224" s="578"/>
      <c r="AA224" s="578"/>
      <c r="AB224" s="578"/>
      <c r="AC224" s="578"/>
      <c r="AD224" s="578"/>
      <c r="AE224" s="578"/>
      <c r="AF224" s="578"/>
      <c r="AG224" s="578"/>
      <c r="AH224" s="578"/>
      <c r="AI224" s="578"/>
      <c r="AJ224" s="578"/>
      <c r="AK224" s="578"/>
      <c r="AL224" s="578"/>
      <c r="AM224" s="578"/>
      <c r="AN224" s="578"/>
      <c r="AO224" s="578"/>
      <c r="AP224" s="578"/>
      <c r="AQ224" s="578"/>
      <c r="AR224" s="816"/>
      <c r="AS224" s="578"/>
      <c r="AT224" s="578"/>
      <c r="AU224" s="578"/>
      <c r="AV224" s="578"/>
      <c r="AW224" s="578"/>
      <c r="AX224" s="578"/>
      <c r="AY224" s="818"/>
      <c r="AZ224" s="578"/>
      <c r="BA224" s="578"/>
      <c r="BB224" s="578"/>
      <c r="BC224" s="578"/>
      <c r="BD224" s="578"/>
      <c r="BE224" s="578"/>
      <c r="BF224" s="578"/>
      <c r="BG224" s="578"/>
      <c r="BH224" s="578"/>
      <c r="BI224" s="578"/>
      <c r="BJ224" s="578"/>
      <c r="BK224" s="578"/>
      <c r="BL224" s="578"/>
      <c r="BM224" s="578"/>
      <c r="BN224" s="578"/>
      <c r="BO224" s="578"/>
      <c r="BP224" s="578"/>
      <c r="BQ224" s="578"/>
      <c r="BR224" s="578"/>
      <c r="BS224" s="578"/>
      <c r="BT224" s="578"/>
      <c r="BU224" s="578"/>
      <c r="BV224" s="578"/>
      <c r="BW224" s="578"/>
    </row>
    <row r="225" spans="1:75" ht="14.25" customHeight="1" x14ac:dyDescent="0.3">
      <c r="A225" s="578"/>
      <c r="B225" s="815"/>
      <c r="C225" s="578"/>
      <c r="D225" s="578"/>
      <c r="E225" s="578"/>
      <c r="F225" s="578"/>
      <c r="G225" s="578"/>
      <c r="H225" s="578"/>
      <c r="I225" s="578"/>
      <c r="J225" s="578"/>
      <c r="K225" s="578"/>
      <c r="L225" s="578"/>
      <c r="M225" s="578"/>
      <c r="N225" s="578"/>
      <c r="O225" s="578"/>
      <c r="P225" s="578"/>
      <c r="Q225" s="578"/>
      <c r="R225" s="578"/>
      <c r="S225" s="578"/>
      <c r="T225" s="578"/>
      <c r="U225" s="578"/>
      <c r="V225" s="578"/>
      <c r="W225" s="578"/>
      <c r="X225" s="578"/>
      <c r="Y225" s="578"/>
      <c r="Z225" s="578"/>
      <c r="AA225" s="578"/>
      <c r="AB225" s="578"/>
      <c r="AC225" s="578"/>
      <c r="AD225" s="578"/>
      <c r="AE225" s="578"/>
      <c r="AF225" s="578"/>
      <c r="AG225" s="578"/>
      <c r="AH225" s="578"/>
      <c r="AI225" s="578"/>
      <c r="AJ225" s="578"/>
      <c r="AK225" s="578"/>
      <c r="AL225" s="578"/>
      <c r="AM225" s="578"/>
      <c r="AN225" s="578"/>
      <c r="AO225" s="578"/>
      <c r="AP225" s="578"/>
      <c r="AQ225" s="578"/>
      <c r="AR225" s="816"/>
      <c r="AS225" s="578"/>
      <c r="AT225" s="578"/>
      <c r="AU225" s="578"/>
      <c r="AV225" s="578"/>
      <c r="AW225" s="578"/>
      <c r="AX225" s="578"/>
      <c r="AY225" s="818"/>
      <c r="AZ225" s="578"/>
      <c r="BA225" s="578"/>
      <c r="BB225" s="578"/>
      <c r="BC225" s="578"/>
      <c r="BD225" s="578"/>
      <c r="BE225" s="578"/>
      <c r="BF225" s="578"/>
      <c r="BG225" s="578"/>
      <c r="BH225" s="578"/>
      <c r="BI225" s="578"/>
      <c r="BJ225" s="578"/>
      <c r="BK225" s="578"/>
      <c r="BL225" s="578"/>
      <c r="BM225" s="578"/>
      <c r="BN225" s="578"/>
      <c r="BO225" s="578"/>
      <c r="BP225" s="578"/>
      <c r="BQ225" s="578"/>
      <c r="BR225" s="578"/>
      <c r="BS225" s="578"/>
      <c r="BT225" s="578"/>
      <c r="BU225" s="578"/>
      <c r="BV225" s="578"/>
      <c r="BW225" s="578"/>
    </row>
    <row r="226" spans="1:75" ht="14.25" customHeight="1" x14ac:dyDescent="0.3">
      <c r="A226" s="578"/>
      <c r="B226" s="815"/>
      <c r="C226" s="578"/>
      <c r="D226" s="578"/>
      <c r="E226" s="578"/>
      <c r="F226" s="578"/>
      <c r="G226" s="578"/>
      <c r="H226" s="578"/>
      <c r="I226" s="578"/>
      <c r="J226" s="578"/>
      <c r="K226" s="578"/>
      <c r="L226" s="578"/>
      <c r="M226" s="578"/>
      <c r="N226" s="578"/>
      <c r="O226" s="578"/>
      <c r="P226" s="578"/>
      <c r="Q226" s="578"/>
      <c r="R226" s="578"/>
      <c r="S226" s="578"/>
      <c r="T226" s="578"/>
      <c r="U226" s="578"/>
      <c r="V226" s="578"/>
      <c r="W226" s="578"/>
      <c r="X226" s="578"/>
      <c r="Y226" s="578"/>
      <c r="Z226" s="578"/>
      <c r="AA226" s="578"/>
      <c r="AB226" s="578"/>
      <c r="AC226" s="578"/>
      <c r="AD226" s="578"/>
      <c r="AE226" s="578"/>
      <c r="AF226" s="578"/>
      <c r="AG226" s="578"/>
      <c r="AH226" s="578"/>
      <c r="AI226" s="578"/>
      <c r="AJ226" s="578"/>
      <c r="AK226" s="578"/>
      <c r="AL226" s="578"/>
      <c r="AM226" s="578"/>
      <c r="AN226" s="578"/>
      <c r="AO226" s="578"/>
      <c r="AP226" s="578"/>
      <c r="AQ226" s="578"/>
      <c r="AR226" s="816"/>
      <c r="AS226" s="578"/>
      <c r="AT226" s="578"/>
      <c r="AU226" s="578"/>
      <c r="AV226" s="578"/>
      <c r="AW226" s="578"/>
      <c r="AX226" s="578"/>
      <c r="AY226" s="818"/>
      <c r="AZ226" s="578"/>
      <c r="BA226" s="578"/>
      <c r="BB226" s="578"/>
      <c r="BC226" s="578"/>
      <c r="BD226" s="578"/>
      <c r="BE226" s="578"/>
      <c r="BF226" s="578"/>
      <c r="BG226" s="578"/>
      <c r="BH226" s="578"/>
      <c r="BI226" s="578"/>
      <c r="BJ226" s="578"/>
      <c r="BK226" s="578"/>
      <c r="BL226" s="578"/>
      <c r="BM226" s="578"/>
      <c r="BN226" s="578"/>
      <c r="BO226" s="578"/>
      <c r="BP226" s="578"/>
      <c r="BQ226" s="578"/>
      <c r="BR226" s="578"/>
      <c r="BS226" s="578"/>
      <c r="BT226" s="578"/>
      <c r="BU226" s="578"/>
      <c r="BV226" s="578"/>
      <c r="BW226" s="578"/>
    </row>
    <row r="227" spans="1:75" ht="14.25" customHeight="1" x14ac:dyDescent="0.3">
      <c r="A227" s="578"/>
      <c r="B227" s="815"/>
      <c r="C227" s="578"/>
      <c r="D227" s="578"/>
      <c r="E227" s="578"/>
      <c r="F227" s="578"/>
      <c r="G227" s="578"/>
      <c r="H227" s="578"/>
      <c r="I227" s="578"/>
      <c r="J227" s="578"/>
      <c r="K227" s="578"/>
      <c r="L227" s="578"/>
      <c r="M227" s="578"/>
      <c r="N227" s="578"/>
      <c r="O227" s="578"/>
      <c r="P227" s="578"/>
      <c r="Q227" s="578"/>
      <c r="R227" s="578"/>
      <c r="S227" s="578"/>
      <c r="T227" s="578"/>
      <c r="U227" s="578"/>
      <c r="V227" s="578"/>
      <c r="W227" s="578"/>
      <c r="X227" s="578"/>
      <c r="Y227" s="578"/>
      <c r="Z227" s="578"/>
      <c r="AA227" s="578"/>
      <c r="AB227" s="578"/>
      <c r="AC227" s="578"/>
      <c r="AD227" s="578"/>
      <c r="AE227" s="578"/>
      <c r="AF227" s="578"/>
      <c r="AG227" s="578"/>
      <c r="AH227" s="578"/>
      <c r="AI227" s="578"/>
      <c r="AJ227" s="578"/>
      <c r="AK227" s="578"/>
      <c r="AL227" s="578"/>
      <c r="AM227" s="578"/>
      <c r="AN227" s="578"/>
      <c r="AO227" s="578"/>
      <c r="AP227" s="578"/>
      <c r="AQ227" s="578"/>
      <c r="AR227" s="816"/>
      <c r="AS227" s="578"/>
      <c r="AT227" s="578"/>
      <c r="AU227" s="578"/>
      <c r="AV227" s="578"/>
      <c r="AW227" s="578"/>
      <c r="AX227" s="578"/>
      <c r="AY227" s="818"/>
      <c r="AZ227" s="578"/>
      <c r="BA227" s="578"/>
      <c r="BB227" s="578"/>
      <c r="BC227" s="578"/>
      <c r="BD227" s="578"/>
      <c r="BE227" s="578"/>
      <c r="BF227" s="578"/>
      <c r="BG227" s="578"/>
      <c r="BH227" s="578"/>
      <c r="BI227" s="578"/>
      <c r="BJ227" s="578"/>
      <c r="BK227" s="578"/>
      <c r="BL227" s="578"/>
      <c r="BM227" s="578"/>
      <c r="BN227" s="578"/>
      <c r="BO227" s="578"/>
      <c r="BP227" s="578"/>
      <c r="BQ227" s="578"/>
      <c r="BR227" s="578"/>
      <c r="BS227" s="578"/>
      <c r="BT227" s="578"/>
      <c r="BU227" s="578"/>
      <c r="BV227" s="578"/>
      <c r="BW227" s="578"/>
    </row>
    <row r="228" spans="1:75" ht="14.25" customHeight="1" x14ac:dyDescent="0.3">
      <c r="A228" s="578"/>
      <c r="B228" s="815"/>
      <c r="C228" s="578"/>
      <c r="D228" s="578"/>
      <c r="E228" s="578"/>
      <c r="F228" s="578"/>
      <c r="G228" s="578"/>
      <c r="H228" s="578"/>
      <c r="I228" s="578"/>
      <c r="J228" s="578"/>
      <c r="K228" s="578"/>
      <c r="L228" s="578"/>
      <c r="M228" s="578"/>
      <c r="N228" s="578"/>
      <c r="O228" s="578"/>
      <c r="P228" s="578"/>
      <c r="Q228" s="578"/>
      <c r="R228" s="578"/>
      <c r="S228" s="578"/>
      <c r="T228" s="578"/>
      <c r="U228" s="578"/>
      <c r="V228" s="578"/>
      <c r="W228" s="578"/>
      <c r="X228" s="578"/>
      <c r="Y228" s="578"/>
      <c r="Z228" s="578"/>
      <c r="AA228" s="578"/>
      <c r="AB228" s="578"/>
      <c r="AC228" s="578"/>
      <c r="AD228" s="578"/>
      <c r="AE228" s="578"/>
      <c r="AF228" s="578"/>
      <c r="AG228" s="578"/>
      <c r="AH228" s="578"/>
      <c r="AI228" s="578"/>
      <c r="AJ228" s="578"/>
      <c r="AK228" s="578"/>
      <c r="AL228" s="578"/>
      <c r="AM228" s="578"/>
      <c r="AN228" s="578"/>
      <c r="AO228" s="578"/>
      <c r="AP228" s="578"/>
      <c r="AQ228" s="578"/>
      <c r="AR228" s="816"/>
      <c r="AS228" s="578"/>
      <c r="AT228" s="578"/>
      <c r="AU228" s="578"/>
      <c r="AV228" s="578"/>
      <c r="AW228" s="578"/>
      <c r="AX228" s="578"/>
      <c r="AY228" s="818"/>
      <c r="AZ228" s="578"/>
      <c r="BA228" s="578"/>
      <c r="BB228" s="578"/>
      <c r="BC228" s="578"/>
      <c r="BD228" s="578"/>
      <c r="BE228" s="578"/>
      <c r="BF228" s="578"/>
      <c r="BG228" s="578"/>
      <c r="BH228" s="578"/>
      <c r="BI228" s="578"/>
      <c r="BJ228" s="578"/>
      <c r="BK228" s="578"/>
      <c r="BL228" s="578"/>
      <c r="BM228" s="578"/>
      <c r="BN228" s="578"/>
      <c r="BO228" s="578"/>
      <c r="BP228" s="578"/>
      <c r="BQ228" s="578"/>
      <c r="BR228" s="578"/>
      <c r="BS228" s="578"/>
      <c r="BT228" s="578"/>
      <c r="BU228" s="578"/>
      <c r="BV228" s="578"/>
      <c r="BW228" s="578"/>
    </row>
    <row r="229" spans="1:75" ht="14.25" customHeight="1" x14ac:dyDescent="0.3">
      <c r="A229" s="578"/>
      <c r="B229" s="815"/>
      <c r="C229" s="578"/>
      <c r="D229" s="578"/>
      <c r="E229" s="578"/>
      <c r="F229" s="578"/>
      <c r="G229" s="578"/>
      <c r="H229" s="578"/>
      <c r="I229" s="578"/>
      <c r="J229" s="578"/>
      <c r="K229" s="578"/>
      <c r="L229" s="578"/>
      <c r="M229" s="578"/>
      <c r="N229" s="578"/>
      <c r="O229" s="578"/>
      <c r="P229" s="578"/>
      <c r="Q229" s="578"/>
      <c r="R229" s="578"/>
      <c r="S229" s="578"/>
      <c r="T229" s="578"/>
      <c r="U229" s="578"/>
      <c r="V229" s="578"/>
      <c r="W229" s="578"/>
      <c r="X229" s="578"/>
      <c r="Y229" s="578"/>
      <c r="Z229" s="578"/>
      <c r="AA229" s="578"/>
      <c r="AB229" s="578"/>
      <c r="AC229" s="578"/>
      <c r="AD229" s="578"/>
      <c r="AE229" s="578"/>
      <c r="AF229" s="578"/>
      <c r="AG229" s="578"/>
      <c r="AH229" s="578"/>
      <c r="AI229" s="578"/>
      <c r="AJ229" s="578"/>
      <c r="AK229" s="578"/>
      <c r="AL229" s="578"/>
      <c r="AM229" s="578"/>
      <c r="AN229" s="578"/>
      <c r="AO229" s="578"/>
      <c r="AP229" s="578"/>
      <c r="AQ229" s="578"/>
      <c r="AR229" s="816"/>
      <c r="AS229" s="578"/>
      <c r="AT229" s="578"/>
      <c r="AU229" s="578"/>
      <c r="AV229" s="578"/>
      <c r="AW229" s="578"/>
      <c r="AX229" s="578"/>
      <c r="AY229" s="818"/>
      <c r="AZ229" s="578"/>
      <c r="BA229" s="578"/>
      <c r="BB229" s="578"/>
      <c r="BC229" s="578"/>
      <c r="BD229" s="578"/>
      <c r="BE229" s="578"/>
      <c r="BF229" s="578"/>
      <c r="BG229" s="578"/>
      <c r="BH229" s="578"/>
      <c r="BI229" s="578"/>
      <c r="BJ229" s="578"/>
      <c r="BK229" s="578"/>
      <c r="BL229" s="578"/>
      <c r="BM229" s="578"/>
      <c r="BN229" s="578"/>
      <c r="BO229" s="578"/>
      <c r="BP229" s="578"/>
      <c r="BQ229" s="578"/>
      <c r="BR229" s="578"/>
      <c r="BS229" s="578"/>
      <c r="BT229" s="578"/>
      <c r="BU229" s="578"/>
      <c r="BV229" s="578"/>
      <c r="BW229" s="578"/>
    </row>
    <row r="230" spans="1:75" ht="14.25" customHeight="1" x14ac:dyDescent="0.3">
      <c r="A230" s="578"/>
      <c r="B230" s="815"/>
      <c r="C230" s="578"/>
      <c r="D230" s="578"/>
      <c r="E230" s="578"/>
      <c r="F230" s="578"/>
      <c r="G230" s="578"/>
      <c r="H230" s="578"/>
      <c r="I230" s="578"/>
      <c r="J230" s="578"/>
      <c r="K230" s="578"/>
      <c r="L230" s="578"/>
      <c r="M230" s="578"/>
      <c r="N230" s="578"/>
      <c r="O230" s="578"/>
      <c r="P230" s="578"/>
      <c r="Q230" s="578"/>
      <c r="R230" s="578"/>
      <c r="S230" s="578"/>
      <c r="T230" s="578"/>
      <c r="U230" s="578"/>
      <c r="V230" s="578"/>
      <c r="W230" s="578"/>
      <c r="X230" s="578"/>
      <c r="Y230" s="578"/>
      <c r="Z230" s="578"/>
      <c r="AA230" s="578"/>
      <c r="AB230" s="578"/>
      <c r="AC230" s="578"/>
      <c r="AD230" s="578"/>
      <c r="AE230" s="578"/>
      <c r="AF230" s="578"/>
      <c r="AG230" s="578"/>
      <c r="AH230" s="578"/>
      <c r="AI230" s="578"/>
      <c r="AJ230" s="578"/>
      <c r="AK230" s="578"/>
      <c r="AL230" s="578"/>
      <c r="AM230" s="578"/>
      <c r="AN230" s="578"/>
      <c r="AO230" s="578"/>
      <c r="AP230" s="578"/>
      <c r="AQ230" s="578"/>
      <c r="AR230" s="816"/>
      <c r="AS230" s="578"/>
      <c r="AT230" s="578"/>
      <c r="AU230" s="578"/>
      <c r="AV230" s="578"/>
      <c r="AW230" s="578"/>
      <c r="AX230" s="578"/>
      <c r="AY230" s="818"/>
      <c r="AZ230" s="578"/>
      <c r="BA230" s="578"/>
      <c r="BB230" s="578"/>
      <c r="BC230" s="578"/>
      <c r="BD230" s="578"/>
      <c r="BE230" s="578"/>
      <c r="BF230" s="578"/>
      <c r="BG230" s="578"/>
      <c r="BH230" s="578"/>
      <c r="BI230" s="578"/>
      <c r="BJ230" s="578"/>
      <c r="BK230" s="578"/>
      <c r="BL230" s="578"/>
      <c r="BM230" s="578"/>
      <c r="BN230" s="578"/>
      <c r="BO230" s="578"/>
      <c r="BP230" s="578"/>
      <c r="BQ230" s="578"/>
      <c r="BR230" s="578"/>
      <c r="BS230" s="578"/>
      <c r="BT230" s="578"/>
      <c r="BU230" s="578"/>
      <c r="BV230" s="578"/>
      <c r="BW230" s="578"/>
    </row>
    <row r="231" spans="1:75" ht="14.25" customHeight="1" x14ac:dyDescent="0.3">
      <c r="A231" s="578"/>
      <c r="B231" s="815"/>
      <c r="C231" s="578"/>
      <c r="D231" s="578"/>
      <c r="E231" s="578"/>
      <c r="F231" s="578"/>
      <c r="G231" s="578"/>
      <c r="H231" s="578"/>
      <c r="I231" s="578"/>
      <c r="J231" s="578"/>
      <c r="K231" s="578"/>
      <c r="L231" s="578"/>
      <c r="M231" s="578"/>
      <c r="N231" s="578"/>
      <c r="O231" s="578"/>
      <c r="P231" s="578"/>
      <c r="Q231" s="578"/>
      <c r="R231" s="578"/>
      <c r="S231" s="578"/>
      <c r="T231" s="578"/>
      <c r="U231" s="578"/>
      <c r="V231" s="578"/>
      <c r="W231" s="578"/>
      <c r="X231" s="578"/>
      <c r="Y231" s="578"/>
      <c r="Z231" s="578"/>
      <c r="AA231" s="578"/>
      <c r="AB231" s="578"/>
      <c r="AC231" s="578"/>
      <c r="AD231" s="578"/>
      <c r="AE231" s="578"/>
      <c r="AF231" s="578"/>
      <c r="AG231" s="578"/>
      <c r="AH231" s="578"/>
      <c r="AI231" s="578"/>
      <c r="AJ231" s="578"/>
      <c r="AK231" s="578"/>
      <c r="AL231" s="578"/>
      <c r="AM231" s="578"/>
      <c r="AN231" s="578"/>
      <c r="AO231" s="578"/>
      <c r="AP231" s="578"/>
      <c r="AQ231" s="578"/>
      <c r="AR231" s="816"/>
      <c r="AS231" s="578"/>
      <c r="AT231" s="578"/>
      <c r="AU231" s="578"/>
      <c r="AV231" s="578"/>
      <c r="AW231" s="578"/>
      <c r="AX231" s="578"/>
      <c r="AY231" s="818"/>
      <c r="AZ231" s="578"/>
      <c r="BA231" s="578"/>
      <c r="BB231" s="578"/>
      <c r="BC231" s="578"/>
      <c r="BD231" s="578"/>
      <c r="BE231" s="578"/>
      <c r="BF231" s="578"/>
      <c r="BG231" s="578"/>
      <c r="BH231" s="578"/>
      <c r="BI231" s="578"/>
      <c r="BJ231" s="578"/>
      <c r="BK231" s="578"/>
      <c r="BL231" s="578"/>
      <c r="BM231" s="578"/>
      <c r="BN231" s="578"/>
      <c r="BO231" s="578"/>
      <c r="BP231" s="578"/>
      <c r="BQ231" s="578"/>
      <c r="BR231" s="578"/>
      <c r="BS231" s="578"/>
      <c r="BT231" s="578"/>
      <c r="BU231" s="578"/>
      <c r="BV231" s="578"/>
      <c r="BW231" s="578"/>
    </row>
    <row r="232" spans="1:75" ht="14.25" customHeight="1" x14ac:dyDescent="0.3">
      <c r="A232" s="578"/>
      <c r="B232" s="815"/>
      <c r="C232" s="578"/>
      <c r="D232" s="578"/>
      <c r="E232" s="578"/>
      <c r="F232" s="578"/>
      <c r="G232" s="578"/>
      <c r="H232" s="578"/>
      <c r="I232" s="578"/>
      <c r="J232" s="578"/>
      <c r="K232" s="578"/>
      <c r="L232" s="578"/>
      <c r="M232" s="578"/>
      <c r="N232" s="578"/>
      <c r="O232" s="578"/>
      <c r="P232" s="578"/>
      <c r="Q232" s="578"/>
      <c r="R232" s="578"/>
      <c r="S232" s="578"/>
      <c r="T232" s="578"/>
      <c r="U232" s="578"/>
      <c r="V232" s="578"/>
      <c r="W232" s="578"/>
      <c r="X232" s="578"/>
      <c r="Y232" s="578"/>
      <c r="Z232" s="578"/>
      <c r="AA232" s="578"/>
      <c r="AB232" s="578"/>
      <c r="AC232" s="578"/>
      <c r="AD232" s="578"/>
      <c r="AE232" s="578"/>
      <c r="AF232" s="578"/>
      <c r="AG232" s="578"/>
      <c r="AH232" s="578"/>
      <c r="AI232" s="578"/>
      <c r="AJ232" s="578"/>
      <c r="AK232" s="578"/>
      <c r="AL232" s="578"/>
      <c r="AM232" s="578"/>
      <c r="AN232" s="578"/>
      <c r="AO232" s="578"/>
      <c r="AP232" s="578"/>
      <c r="AQ232" s="578"/>
      <c r="AR232" s="816"/>
      <c r="AS232" s="578"/>
      <c r="AT232" s="578"/>
      <c r="AU232" s="578"/>
      <c r="AV232" s="578"/>
      <c r="AW232" s="578"/>
      <c r="AX232" s="578"/>
      <c r="AY232" s="818"/>
      <c r="AZ232" s="578"/>
      <c r="BA232" s="578"/>
      <c r="BB232" s="578"/>
      <c r="BC232" s="578"/>
      <c r="BD232" s="578"/>
      <c r="BE232" s="578"/>
      <c r="BF232" s="578"/>
      <c r="BG232" s="578"/>
      <c r="BH232" s="578"/>
      <c r="BI232" s="578"/>
      <c r="BJ232" s="578"/>
      <c r="BK232" s="578"/>
      <c r="BL232" s="578"/>
      <c r="BM232" s="578"/>
      <c r="BN232" s="578"/>
      <c r="BO232" s="578"/>
      <c r="BP232" s="578"/>
      <c r="BQ232" s="578"/>
      <c r="BR232" s="578"/>
      <c r="BS232" s="578"/>
      <c r="BT232" s="578"/>
      <c r="BU232" s="578"/>
      <c r="BV232" s="578"/>
      <c r="BW232" s="578"/>
    </row>
    <row r="233" spans="1:75" ht="14.25" customHeight="1" x14ac:dyDescent="0.3">
      <c r="A233" s="578"/>
      <c r="B233" s="815"/>
      <c r="C233" s="578"/>
      <c r="D233" s="578"/>
      <c r="E233" s="578"/>
      <c r="F233" s="578"/>
      <c r="G233" s="578"/>
      <c r="H233" s="578"/>
      <c r="I233" s="578"/>
      <c r="J233" s="578"/>
      <c r="K233" s="578"/>
      <c r="L233" s="578"/>
      <c r="M233" s="578"/>
      <c r="N233" s="578"/>
      <c r="O233" s="578"/>
      <c r="P233" s="578"/>
      <c r="Q233" s="578"/>
      <c r="R233" s="578"/>
      <c r="S233" s="578"/>
      <c r="T233" s="578"/>
      <c r="U233" s="578"/>
      <c r="V233" s="578"/>
      <c r="W233" s="578"/>
      <c r="X233" s="578"/>
      <c r="Y233" s="578"/>
      <c r="Z233" s="578"/>
      <c r="AA233" s="578"/>
      <c r="AB233" s="578"/>
      <c r="AC233" s="578"/>
      <c r="AD233" s="578"/>
      <c r="AE233" s="578"/>
      <c r="AF233" s="578"/>
      <c r="AG233" s="578"/>
      <c r="AH233" s="578"/>
      <c r="AI233" s="578"/>
      <c r="AJ233" s="578"/>
      <c r="AK233" s="578"/>
      <c r="AL233" s="578"/>
      <c r="AM233" s="578"/>
      <c r="AN233" s="578"/>
      <c r="AO233" s="578"/>
      <c r="AP233" s="578"/>
      <c r="AQ233" s="578"/>
      <c r="AR233" s="816"/>
      <c r="AS233" s="578"/>
      <c r="AT233" s="578"/>
      <c r="AU233" s="578"/>
      <c r="AV233" s="578"/>
      <c r="AW233" s="578"/>
      <c r="AX233" s="578"/>
      <c r="AY233" s="818"/>
      <c r="AZ233" s="578"/>
      <c r="BA233" s="578"/>
      <c r="BB233" s="578"/>
      <c r="BC233" s="578"/>
      <c r="BD233" s="578"/>
      <c r="BE233" s="578"/>
      <c r="BF233" s="578"/>
      <c r="BG233" s="578"/>
      <c r="BH233" s="578"/>
      <c r="BI233" s="578"/>
      <c r="BJ233" s="578"/>
      <c r="BK233" s="578"/>
      <c r="BL233" s="578"/>
      <c r="BM233" s="578"/>
      <c r="BN233" s="578"/>
      <c r="BO233" s="578"/>
      <c r="BP233" s="578"/>
      <c r="BQ233" s="578"/>
      <c r="BR233" s="578"/>
      <c r="BS233" s="578"/>
      <c r="BT233" s="578"/>
      <c r="BU233" s="578"/>
      <c r="BV233" s="578"/>
      <c r="BW233" s="578"/>
    </row>
    <row r="234" spans="1:75" ht="14.25" customHeight="1" x14ac:dyDescent="0.3">
      <c r="A234" s="578"/>
      <c r="B234" s="815"/>
      <c r="C234" s="578"/>
      <c r="D234" s="578"/>
      <c r="E234" s="578"/>
      <c r="F234" s="578"/>
      <c r="G234" s="578"/>
      <c r="H234" s="578"/>
      <c r="I234" s="578"/>
      <c r="J234" s="578"/>
      <c r="K234" s="578"/>
      <c r="L234" s="578"/>
      <c r="M234" s="578"/>
      <c r="N234" s="578"/>
      <c r="O234" s="578"/>
      <c r="P234" s="578"/>
      <c r="Q234" s="578"/>
      <c r="R234" s="578"/>
      <c r="S234" s="578"/>
      <c r="T234" s="578"/>
      <c r="U234" s="578"/>
      <c r="V234" s="578"/>
      <c r="W234" s="578"/>
      <c r="X234" s="578"/>
      <c r="Y234" s="578"/>
      <c r="Z234" s="578"/>
      <c r="AA234" s="578"/>
      <c r="AB234" s="578"/>
      <c r="AC234" s="578"/>
      <c r="AD234" s="578"/>
      <c r="AE234" s="578"/>
      <c r="AF234" s="578"/>
      <c r="AG234" s="578"/>
      <c r="AH234" s="578"/>
      <c r="AI234" s="578"/>
      <c r="AJ234" s="578"/>
      <c r="AK234" s="578"/>
      <c r="AL234" s="578"/>
      <c r="AM234" s="578"/>
      <c r="AN234" s="578"/>
      <c r="AO234" s="578"/>
      <c r="AP234" s="578"/>
      <c r="AQ234" s="578"/>
      <c r="AR234" s="816"/>
      <c r="AS234" s="578"/>
      <c r="AT234" s="578"/>
      <c r="AU234" s="578"/>
      <c r="AV234" s="578"/>
      <c r="AW234" s="578"/>
      <c r="AX234" s="578"/>
      <c r="AY234" s="818"/>
      <c r="AZ234" s="578"/>
      <c r="BA234" s="578"/>
      <c r="BB234" s="578"/>
      <c r="BC234" s="578"/>
      <c r="BD234" s="578"/>
      <c r="BE234" s="578"/>
      <c r="BF234" s="578"/>
      <c r="BG234" s="578"/>
      <c r="BH234" s="578"/>
      <c r="BI234" s="578"/>
      <c r="BJ234" s="578"/>
      <c r="BK234" s="578"/>
      <c r="BL234" s="578"/>
      <c r="BM234" s="578"/>
      <c r="BN234" s="578"/>
      <c r="BO234" s="578"/>
      <c r="BP234" s="578"/>
      <c r="BQ234" s="578"/>
      <c r="BR234" s="578"/>
      <c r="BS234" s="578"/>
      <c r="BT234" s="578"/>
      <c r="BU234" s="578"/>
      <c r="BV234" s="578"/>
      <c r="BW234" s="578"/>
    </row>
    <row r="235" spans="1:75" ht="14.25" customHeight="1" x14ac:dyDescent="0.3">
      <c r="A235" s="578"/>
      <c r="B235" s="815"/>
      <c r="C235" s="578"/>
      <c r="D235" s="578"/>
      <c r="E235" s="578"/>
      <c r="F235" s="578"/>
      <c r="G235" s="578"/>
      <c r="H235" s="578"/>
      <c r="I235" s="578"/>
      <c r="J235" s="578"/>
      <c r="K235" s="578"/>
      <c r="L235" s="578"/>
      <c r="M235" s="578"/>
      <c r="N235" s="578"/>
      <c r="O235" s="578"/>
      <c r="P235" s="578"/>
      <c r="Q235" s="578"/>
      <c r="R235" s="578"/>
      <c r="S235" s="578"/>
      <c r="T235" s="578"/>
      <c r="U235" s="578"/>
      <c r="V235" s="578"/>
      <c r="W235" s="578"/>
      <c r="X235" s="578"/>
      <c r="Y235" s="578"/>
      <c r="Z235" s="578"/>
      <c r="AA235" s="578"/>
      <c r="AB235" s="578"/>
      <c r="AC235" s="578"/>
      <c r="AD235" s="578"/>
      <c r="AE235" s="578"/>
      <c r="AF235" s="578"/>
      <c r="AG235" s="578"/>
      <c r="AH235" s="578"/>
      <c r="AI235" s="578"/>
      <c r="AJ235" s="578"/>
      <c r="AK235" s="578"/>
      <c r="AL235" s="578"/>
      <c r="AM235" s="578"/>
      <c r="AN235" s="578"/>
      <c r="AO235" s="578"/>
      <c r="AP235" s="578"/>
      <c r="AQ235" s="578"/>
      <c r="AR235" s="816"/>
      <c r="AS235" s="578"/>
      <c r="AT235" s="578"/>
      <c r="AU235" s="578"/>
      <c r="AV235" s="578"/>
      <c r="AW235" s="578"/>
      <c r="AX235" s="578"/>
      <c r="AY235" s="818"/>
      <c r="AZ235" s="578"/>
      <c r="BA235" s="578"/>
      <c r="BB235" s="578"/>
      <c r="BC235" s="578"/>
      <c r="BD235" s="578"/>
      <c r="BE235" s="578"/>
      <c r="BF235" s="578"/>
      <c r="BG235" s="578"/>
      <c r="BH235" s="578"/>
      <c r="BI235" s="578"/>
      <c r="BJ235" s="578"/>
      <c r="BK235" s="578"/>
      <c r="BL235" s="578"/>
      <c r="BM235" s="578"/>
      <c r="BN235" s="578"/>
      <c r="BO235" s="578"/>
      <c r="BP235" s="578"/>
      <c r="BQ235" s="578"/>
      <c r="BR235" s="578"/>
      <c r="BS235" s="578"/>
      <c r="BT235" s="578"/>
      <c r="BU235" s="578"/>
      <c r="BV235" s="578"/>
      <c r="BW235" s="578"/>
    </row>
    <row r="236" spans="1:75" ht="14.25" customHeight="1" x14ac:dyDescent="0.3">
      <c r="A236" s="578"/>
      <c r="B236" s="815"/>
      <c r="C236" s="578"/>
      <c r="D236" s="578"/>
      <c r="E236" s="578"/>
      <c r="F236" s="578"/>
      <c r="G236" s="578"/>
      <c r="H236" s="578"/>
      <c r="I236" s="578"/>
      <c r="J236" s="578"/>
      <c r="K236" s="578"/>
      <c r="L236" s="578"/>
      <c r="M236" s="578"/>
      <c r="N236" s="578"/>
      <c r="O236" s="578"/>
      <c r="P236" s="578"/>
      <c r="Q236" s="578"/>
      <c r="R236" s="578"/>
      <c r="S236" s="578"/>
      <c r="T236" s="578"/>
      <c r="U236" s="578"/>
      <c r="V236" s="578"/>
      <c r="W236" s="578"/>
      <c r="X236" s="578"/>
      <c r="Y236" s="578"/>
      <c r="Z236" s="578"/>
      <c r="AA236" s="578"/>
      <c r="AB236" s="578"/>
      <c r="AC236" s="578"/>
      <c r="AD236" s="578"/>
      <c r="AE236" s="578"/>
      <c r="AF236" s="578"/>
      <c r="AG236" s="578"/>
      <c r="AH236" s="578"/>
      <c r="AI236" s="578"/>
      <c r="AJ236" s="578"/>
      <c r="AK236" s="578"/>
      <c r="AL236" s="578"/>
      <c r="AM236" s="578"/>
      <c r="AN236" s="578"/>
      <c r="AO236" s="578"/>
      <c r="AP236" s="578"/>
      <c r="AQ236" s="578"/>
      <c r="AR236" s="816"/>
      <c r="AS236" s="578"/>
      <c r="AT236" s="578"/>
      <c r="AU236" s="578"/>
      <c r="AV236" s="578"/>
      <c r="AW236" s="578"/>
      <c r="AX236" s="578"/>
      <c r="AY236" s="818"/>
      <c r="AZ236" s="578"/>
      <c r="BA236" s="578"/>
      <c r="BB236" s="578"/>
      <c r="BC236" s="578"/>
      <c r="BD236" s="578"/>
      <c r="BE236" s="578"/>
      <c r="BF236" s="578"/>
      <c r="BG236" s="578"/>
      <c r="BH236" s="578"/>
      <c r="BI236" s="578"/>
      <c r="BJ236" s="578"/>
      <c r="BK236" s="578"/>
      <c r="BL236" s="578"/>
      <c r="BM236" s="578"/>
      <c r="BN236" s="578"/>
      <c r="BO236" s="578"/>
      <c r="BP236" s="578"/>
      <c r="BQ236" s="578"/>
      <c r="BR236" s="578"/>
      <c r="BS236" s="578"/>
      <c r="BT236" s="578"/>
      <c r="BU236" s="578"/>
      <c r="BV236" s="578"/>
      <c r="BW236" s="578"/>
    </row>
    <row r="237" spans="1:75" ht="14.25" customHeight="1" x14ac:dyDescent="0.3">
      <c r="A237" s="578"/>
      <c r="B237" s="815"/>
      <c r="C237" s="578"/>
      <c r="D237" s="578"/>
      <c r="E237" s="578"/>
      <c r="F237" s="578"/>
      <c r="G237" s="578"/>
      <c r="H237" s="578"/>
      <c r="I237" s="578"/>
      <c r="J237" s="578"/>
      <c r="K237" s="578"/>
      <c r="L237" s="578"/>
      <c r="M237" s="578"/>
      <c r="N237" s="578"/>
      <c r="O237" s="578"/>
      <c r="P237" s="578"/>
      <c r="Q237" s="578"/>
      <c r="R237" s="578"/>
      <c r="S237" s="578"/>
      <c r="T237" s="578"/>
      <c r="U237" s="578"/>
      <c r="V237" s="578"/>
      <c r="W237" s="578"/>
      <c r="X237" s="578"/>
      <c r="Y237" s="578"/>
      <c r="Z237" s="578"/>
      <c r="AA237" s="578"/>
      <c r="AB237" s="578"/>
      <c r="AC237" s="578"/>
      <c r="AD237" s="578"/>
      <c r="AE237" s="578"/>
      <c r="AF237" s="578"/>
      <c r="AG237" s="578"/>
      <c r="AH237" s="578"/>
      <c r="AI237" s="578"/>
      <c r="AJ237" s="578"/>
      <c r="AK237" s="578"/>
      <c r="AL237" s="578"/>
      <c r="AM237" s="578"/>
      <c r="AN237" s="578"/>
      <c r="AO237" s="578"/>
      <c r="AP237" s="578"/>
      <c r="AQ237" s="578"/>
      <c r="AR237" s="816"/>
      <c r="AS237" s="578"/>
      <c r="AT237" s="578"/>
      <c r="AU237" s="578"/>
      <c r="AV237" s="578"/>
      <c r="AW237" s="578"/>
      <c r="AX237" s="578"/>
      <c r="AY237" s="818"/>
      <c r="AZ237" s="578"/>
      <c r="BA237" s="578"/>
      <c r="BB237" s="578"/>
      <c r="BC237" s="578"/>
      <c r="BD237" s="578"/>
      <c r="BE237" s="578"/>
      <c r="BF237" s="578"/>
      <c r="BG237" s="578"/>
      <c r="BH237" s="578"/>
      <c r="BI237" s="578"/>
      <c r="BJ237" s="578"/>
      <c r="BK237" s="578"/>
      <c r="BL237" s="578"/>
      <c r="BM237" s="578"/>
      <c r="BN237" s="578"/>
      <c r="BO237" s="578"/>
      <c r="BP237" s="578"/>
      <c r="BQ237" s="578"/>
      <c r="BR237" s="578"/>
      <c r="BS237" s="578"/>
      <c r="BT237" s="578"/>
      <c r="BU237" s="578"/>
      <c r="BV237" s="578"/>
      <c r="BW237" s="578"/>
    </row>
    <row r="238" spans="1:75" ht="14.25" customHeight="1" x14ac:dyDescent="0.3">
      <c r="A238" s="578"/>
      <c r="B238" s="815"/>
      <c r="C238" s="578"/>
      <c r="D238" s="578"/>
      <c r="E238" s="578"/>
      <c r="F238" s="578"/>
      <c r="G238" s="578"/>
      <c r="H238" s="578"/>
      <c r="I238" s="578"/>
      <c r="J238" s="578"/>
      <c r="K238" s="578"/>
      <c r="L238" s="578"/>
      <c r="M238" s="578"/>
      <c r="N238" s="578"/>
      <c r="O238" s="578"/>
      <c r="P238" s="578"/>
      <c r="Q238" s="578"/>
      <c r="R238" s="578"/>
      <c r="S238" s="578"/>
      <c r="T238" s="578"/>
      <c r="U238" s="578"/>
      <c r="V238" s="578"/>
      <c r="W238" s="578"/>
      <c r="X238" s="578"/>
      <c r="Y238" s="578"/>
      <c r="Z238" s="578"/>
      <c r="AA238" s="578"/>
      <c r="AB238" s="578"/>
      <c r="AC238" s="578"/>
      <c r="AD238" s="578"/>
      <c r="AE238" s="578"/>
      <c r="AF238" s="578"/>
      <c r="AG238" s="578"/>
      <c r="AH238" s="578"/>
      <c r="AI238" s="578"/>
      <c r="AJ238" s="578"/>
      <c r="AK238" s="578"/>
      <c r="AL238" s="578"/>
      <c r="AM238" s="578"/>
      <c r="AN238" s="578"/>
      <c r="AO238" s="578"/>
      <c r="AP238" s="578"/>
      <c r="AQ238" s="578"/>
      <c r="AR238" s="816"/>
      <c r="AS238" s="578"/>
      <c r="AT238" s="578"/>
      <c r="AU238" s="578"/>
      <c r="AV238" s="578"/>
      <c r="AW238" s="578"/>
      <c r="AX238" s="578"/>
      <c r="AY238" s="818"/>
      <c r="AZ238" s="578"/>
      <c r="BA238" s="578"/>
      <c r="BB238" s="578"/>
      <c r="BC238" s="578"/>
      <c r="BD238" s="578"/>
      <c r="BE238" s="578"/>
      <c r="BF238" s="578"/>
      <c r="BG238" s="578"/>
      <c r="BH238" s="578"/>
      <c r="BI238" s="578"/>
      <c r="BJ238" s="578"/>
      <c r="BK238" s="578"/>
      <c r="BL238" s="578"/>
      <c r="BM238" s="578"/>
      <c r="BN238" s="578"/>
      <c r="BO238" s="578"/>
      <c r="BP238" s="578"/>
      <c r="BQ238" s="578"/>
      <c r="BR238" s="578"/>
      <c r="BS238" s="578"/>
      <c r="BT238" s="578"/>
      <c r="BU238" s="578"/>
      <c r="BV238" s="578"/>
      <c r="BW238" s="578"/>
    </row>
    <row r="239" spans="1:75" ht="14.25" customHeight="1" x14ac:dyDescent="0.3">
      <c r="A239" s="578"/>
      <c r="B239" s="815"/>
      <c r="C239" s="578"/>
      <c r="D239" s="578"/>
      <c r="E239" s="578"/>
      <c r="F239" s="578"/>
      <c r="G239" s="578"/>
      <c r="H239" s="578"/>
      <c r="I239" s="578"/>
      <c r="J239" s="578"/>
      <c r="K239" s="578"/>
      <c r="L239" s="578"/>
      <c r="M239" s="578"/>
      <c r="N239" s="578"/>
      <c r="O239" s="578"/>
      <c r="P239" s="578"/>
      <c r="Q239" s="578"/>
      <c r="R239" s="578"/>
      <c r="S239" s="578"/>
      <c r="T239" s="578"/>
      <c r="U239" s="578"/>
      <c r="V239" s="578"/>
      <c r="W239" s="578"/>
      <c r="X239" s="578"/>
      <c r="Y239" s="578"/>
      <c r="Z239" s="578"/>
      <c r="AA239" s="578"/>
      <c r="AB239" s="578"/>
      <c r="AC239" s="578"/>
      <c r="AD239" s="578"/>
      <c r="AE239" s="578"/>
      <c r="AF239" s="578"/>
      <c r="AG239" s="578"/>
      <c r="AH239" s="578"/>
      <c r="AI239" s="578"/>
      <c r="AJ239" s="578"/>
      <c r="AK239" s="578"/>
      <c r="AL239" s="578"/>
      <c r="AM239" s="578"/>
      <c r="AN239" s="578"/>
      <c r="AO239" s="578"/>
      <c r="AP239" s="578"/>
      <c r="AQ239" s="578"/>
      <c r="AR239" s="816"/>
      <c r="AS239" s="578"/>
      <c r="AT239" s="578"/>
      <c r="AU239" s="578"/>
      <c r="AV239" s="578"/>
      <c r="AW239" s="578"/>
      <c r="AX239" s="578"/>
      <c r="AY239" s="818"/>
      <c r="AZ239" s="578"/>
      <c r="BA239" s="578"/>
      <c r="BB239" s="578"/>
      <c r="BC239" s="578"/>
      <c r="BD239" s="578"/>
      <c r="BE239" s="578"/>
      <c r="BF239" s="578"/>
      <c r="BG239" s="578"/>
      <c r="BH239" s="578"/>
      <c r="BI239" s="578"/>
      <c r="BJ239" s="578"/>
      <c r="BK239" s="578"/>
      <c r="BL239" s="578"/>
      <c r="BM239" s="578"/>
      <c r="BN239" s="578"/>
      <c r="BO239" s="578"/>
      <c r="BP239" s="578"/>
      <c r="BQ239" s="578"/>
      <c r="BR239" s="578"/>
      <c r="BS239" s="578"/>
      <c r="BT239" s="578"/>
      <c r="BU239" s="578"/>
      <c r="BV239" s="578"/>
      <c r="BW239" s="578"/>
    </row>
    <row r="240" spans="1:75" ht="14.25" customHeight="1" x14ac:dyDescent="0.3">
      <c r="A240" s="578"/>
      <c r="B240" s="815"/>
      <c r="C240" s="578"/>
      <c r="D240" s="578"/>
      <c r="E240" s="578"/>
      <c r="F240" s="578"/>
      <c r="G240" s="578"/>
      <c r="H240" s="578"/>
      <c r="I240" s="578"/>
      <c r="J240" s="578"/>
      <c r="K240" s="578"/>
      <c r="L240" s="578"/>
      <c r="M240" s="578"/>
      <c r="N240" s="578"/>
      <c r="O240" s="578"/>
      <c r="P240" s="578"/>
      <c r="Q240" s="578"/>
      <c r="R240" s="578"/>
      <c r="S240" s="578"/>
      <c r="T240" s="578"/>
      <c r="U240" s="578"/>
      <c r="V240" s="578"/>
      <c r="W240" s="578"/>
      <c r="X240" s="578"/>
      <c r="Y240" s="578"/>
      <c r="Z240" s="578"/>
      <c r="AA240" s="578"/>
      <c r="AB240" s="578"/>
      <c r="AC240" s="578"/>
      <c r="AD240" s="578"/>
      <c r="AE240" s="578"/>
      <c r="AF240" s="578"/>
      <c r="AG240" s="578"/>
      <c r="AH240" s="578"/>
      <c r="AI240" s="578"/>
      <c r="AJ240" s="578"/>
      <c r="AK240" s="578"/>
      <c r="AL240" s="578"/>
      <c r="AM240" s="578"/>
      <c r="AN240" s="578"/>
      <c r="AO240" s="578"/>
      <c r="AP240" s="578"/>
      <c r="AQ240" s="578"/>
      <c r="AR240" s="816"/>
      <c r="AS240" s="578"/>
      <c r="AT240" s="578"/>
      <c r="AU240" s="578"/>
      <c r="AV240" s="578"/>
      <c r="AW240" s="578"/>
      <c r="AX240" s="578"/>
      <c r="AY240" s="818"/>
      <c r="AZ240" s="578"/>
      <c r="BA240" s="578"/>
      <c r="BB240" s="578"/>
      <c r="BC240" s="578"/>
      <c r="BD240" s="578"/>
      <c r="BE240" s="578"/>
      <c r="BF240" s="578"/>
      <c r="BG240" s="578"/>
      <c r="BH240" s="578"/>
      <c r="BI240" s="578"/>
      <c r="BJ240" s="578"/>
      <c r="BK240" s="578"/>
      <c r="BL240" s="578"/>
      <c r="BM240" s="578"/>
      <c r="BN240" s="578"/>
      <c r="BO240" s="578"/>
      <c r="BP240" s="578"/>
      <c r="BQ240" s="578"/>
      <c r="BR240" s="578"/>
      <c r="BS240" s="578"/>
      <c r="BT240" s="578"/>
      <c r="BU240" s="578"/>
      <c r="BV240" s="578"/>
      <c r="BW240" s="578"/>
    </row>
    <row r="241" spans="1:75" ht="14.25" customHeight="1" x14ac:dyDescent="0.3">
      <c r="A241" s="578"/>
      <c r="B241" s="815"/>
      <c r="C241" s="578"/>
      <c r="D241" s="578"/>
      <c r="E241" s="578"/>
      <c r="F241" s="578"/>
      <c r="G241" s="578"/>
      <c r="H241" s="578"/>
      <c r="I241" s="578"/>
      <c r="J241" s="578"/>
      <c r="K241" s="578"/>
      <c r="L241" s="578"/>
      <c r="M241" s="578"/>
      <c r="N241" s="578"/>
      <c r="O241" s="578"/>
      <c r="P241" s="578"/>
      <c r="Q241" s="578"/>
      <c r="R241" s="578"/>
      <c r="S241" s="578"/>
      <c r="T241" s="578"/>
      <c r="U241" s="578"/>
      <c r="V241" s="578"/>
      <c r="W241" s="578"/>
      <c r="X241" s="578"/>
      <c r="Y241" s="578"/>
      <c r="Z241" s="578"/>
      <c r="AA241" s="578"/>
      <c r="AB241" s="578"/>
      <c r="AC241" s="578"/>
      <c r="AD241" s="578"/>
      <c r="AE241" s="578"/>
      <c r="AF241" s="578"/>
      <c r="AG241" s="578"/>
      <c r="AH241" s="578"/>
      <c r="AI241" s="578"/>
      <c r="AJ241" s="578"/>
      <c r="AK241" s="578"/>
      <c r="AL241" s="578"/>
      <c r="AM241" s="578"/>
      <c r="AN241" s="578"/>
      <c r="AO241" s="578"/>
      <c r="AP241" s="578"/>
      <c r="AQ241" s="578"/>
      <c r="AR241" s="816"/>
      <c r="AS241" s="578"/>
      <c r="AT241" s="578"/>
      <c r="AU241" s="578"/>
      <c r="AV241" s="578"/>
      <c r="AW241" s="578"/>
      <c r="AX241" s="578"/>
      <c r="AY241" s="818"/>
      <c r="AZ241" s="578"/>
      <c r="BA241" s="578"/>
      <c r="BB241" s="578"/>
      <c r="BC241" s="578"/>
      <c r="BD241" s="578"/>
      <c r="BE241" s="578"/>
      <c r="BF241" s="578"/>
      <c r="BG241" s="578"/>
      <c r="BH241" s="578"/>
      <c r="BI241" s="578"/>
      <c r="BJ241" s="578"/>
      <c r="BK241" s="578"/>
      <c r="BL241" s="578"/>
      <c r="BM241" s="578"/>
      <c r="BN241" s="578"/>
      <c r="BO241" s="578"/>
      <c r="BP241" s="578"/>
      <c r="BQ241" s="578"/>
      <c r="BR241" s="578"/>
      <c r="BS241" s="578"/>
      <c r="BT241" s="578"/>
      <c r="BU241" s="578"/>
      <c r="BV241" s="578"/>
      <c r="BW241" s="578"/>
    </row>
    <row r="242" spans="1:75" ht="14.25" customHeight="1" x14ac:dyDescent="0.3">
      <c r="A242" s="578"/>
      <c r="B242" s="815"/>
      <c r="C242" s="578"/>
      <c r="D242" s="578"/>
      <c r="E242" s="578"/>
      <c r="F242" s="578"/>
      <c r="G242" s="578"/>
      <c r="H242" s="578"/>
      <c r="I242" s="578"/>
      <c r="J242" s="578"/>
      <c r="K242" s="578"/>
      <c r="L242" s="578"/>
      <c r="M242" s="578"/>
      <c r="N242" s="578"/>
      <c r="O242" s="578"/>
      <c r="P242" s="578"/>
      <c r="Q242" s="578"/>
      <c r="R242" s="578"/>
      <c r="S242" s="578"/>
      <c r="T242" s="578"/>
      <c r="U242" s="578"/>
      <c r="V242" s="578"/>
      <c r="W242" s="578"/>
      <c r="X242" s="578"/>
      <c r="Y242" s="578"/>
      <c r="Z242" s="578"/>
      <c r="AA242" s="578"/>
      <c r="AB242" s="578"/>
      <c r="AC242" s="578"/>
      <c r="AD242" s="578"/>
      <c r="AE242" s="578"/>
      <c r="AF242" s="578"/>
      <c r="AG242" s="578"/>
      <c r="AH242" s="578"/>
      <c r="AI242" s="578"/>
      <c r="AJ242" s="578"/>
      <c r="AK242" s="578"/>
      <c r="AL242" s="578"/>
      <c r="AM242" s="578"/>
      <c r="AN242" s="578"/>
      <c r="AO242" s="578"/>
      <c r="AP242" s="578"/>
      <c r="AQ242" s="578"/>
      <c r="AR242" s="816"/>
      <c r="AS242" s="578"/>
      <c r="AT242" s="578"/>
      <c r="AU242" s="578"/>
      <c r="AV242" s="578"/>
      <c r="AW242" s="578"/>
      <c r="AX242" s="578"/>
      <c r="AY242" s="818"/>
      <c r="AZ242" s="578"/>
      <c r="BA242" s="578"/>
      <c r="BB242" s="578"/>
      <c r="BC242" s="578"/>
      <c r="BD242" s="578"/>
      <c r="BE242" s="578"/>
      <c r="BF242" s="578"/>
      <c r="BG242" s="578"/>
      <c r="BH242" s="578"/>
      <c r="BI242" s="578"/>
      <c r="BJ242" s="578"/>
      <c r="BK242" s="578"/>
      <c r="BL242" s="578"/>
      <c r="BM242" s="578"/>
      <c r="BN242" s="578"/>
      <c r="BO242" s="578"/>
      <c r="BP242" s="578"/>
      <c r="BQ242" s="578"/>
      <c r="BR242" s="578"/>
      <c r="BS242" s="578"/>
      <c r="BT242" s="578"/>
      <c r="BU242" s="578"/>
      <c r="BV242" s="578"/>
      <c r="BW242" s="578"/>
    </row>
    <row r="243" spans="1:75" ht="14.25" customHeight="1" x14ac:dyDescent="0.3">
      <c r="A243" s="578"/>
      <c r="B243" s="815"/>
      <c r="C243" s="578"/>
      <c r="D243" s="578"/>
      <c r="E243" s="578"/>
      <c r="F243" s="578"/>
      <c r="G243" s="578"/>
      <c r="H243" s="578"/>
      <c r="I243" s="578"/>
      <c r="J243" s="578"/>
      <c r="K243" s="578"/>
      <c r="L243" s="578"/>
      <c r="M243" s="578"/>
      <c r="N243" s="578"/>
      <c r="O243" s="578"/>
      <c r="P243" s="578"/>
      <c r="Q243" s="578"/>
      <c r="R243" s="578"/>
      <c r="S243" s="578"/>
      <c r="T243" s="578"/>
      <c r="U243" s="578"/>
      <c r="V243" s="578"/>
      <c r="W243" s="578"/>
      <c r="X243" s="578"/>
      <c r="Y243" s="578"/>
      <c r="Z243" s="578"/>
      <c r="AA243" s="578"/>
      <c r="AB243" s="578"/>
      <c r="AC243" s="578"/>
      <c r="AD243" s="578"/>
      <c r="AE243" s="578"/>
      <c r="AF243" s="578"/>
      <c r="AG243" s="578"/>
      <c r="AH243" s="578"/>
      <c r="AI243" s="578"/>
      <c r="AJ243" s="578"/>
      <c r="AK243" s="578"/>
      <c r="AL243" s="578"/>
      <c r="AM243" s="578"/>
      <c r="AN243" s="578"/>
      <c r="AO243" s="578"/>
      <c r="AP243" s="578"/>
      <c r="AQ243" s="578"/>
      <c r="AR243" s="816"/>
      <c r="AS243" s="578"/>
      <c r="AT243" s="578"/>
      <c r="AU243" s="578"/>
      <c r="AV243" s="578"/>
      <c r="AW243" s="578"/>
      <c r="AX243" s="578"/>
      <c r="AY243" s="818"/>
      <c r="AZ243" s="578"/>
      <c r="BA243" s="578"/>
      <c r="BB243" s="578"/>
      <c r="BC243" s="578"/>
      <c r="BD243" s="578"/>
      <c r="BE243" s="578"/>
      <c r="BF243" s="578"/>
      <c r="BG243" s="578"/>
      <c r="BH243" s="578"/>
      <c r="BI243" s="578"/>
      <c r="BJ243" s="578"/>
      <c r="BK243" s="578"/>
      <c r="BL243" s="578"/>
      <c r="BM243" s="578"/>
      <c r="BN243" s="578"/>
      <c r="BO243" s="578"/>
      <c r="BP243" s="578"/>
      <c r="BQ243" s="578"/>
      <c r="BR243" s="578"/>
      <c r="BS243" s="578"/>
      <c r="BT243" s="578"/>
      <c r="BU243" s="578"/>
      <c r="BV243" s="578"/>
      <c r="BW243" s="578"/>
    </row>
    <row r="244" spans="1:75" ht="14.25" customHeight="1" x14ac:dyDescent="0.3">
      <c r="A244" s="578"/>
      <c r="B244" s="815"/>
      <c r="C244" s="578"/>
      <c r="D244" s="578"/>
      <c r="E244" s="578"/>
      <c r="F244" s="578"/>
      <c r="G244" s="578"/>
      <c r="H244" s="578"/>
      <c r="I244" s="578"/>
      <c r="J244" s="578"/>
      <c r="K244" s="578"/>
      <c r="L244" s="578"/>
      <c r="M244" s="578"/>
      <c r="N244" s="578"/>
      <c r="O244" s="578"/>
      <c r="P244" s="578"/>
      <c r="Q244" s="578"/>
      <c r="R244" s="578"/>
      <c r="S244" s="578"/>
      <c r="T244" s="578"/>
      <c r="U244" s="578"/>
      <c r="V244" s="578"/>
      <c r="W244" s="578"/>
      <c r="X244" s="578"/>
      <c r="Y244" s="578"/>
      <c r="Z244" s="578"/>
      <c r="AA244" s="578"/>
      <c r="AB244" s="578"/>
      <c r="AC244" s="578"/>
      <c r="AD244" s="578"/>
      <c r="AE244" s="578"/>
      <c r="AF244" s="578"/>
      <c r="AG244" s="578"/>
      <c r="AH244" s="578"/>
      <c r="AI244" s="578"/>
      <c r="AJ244" s="578"/>
      <c r="AK244" s="578"/>
      <c r="AL244" s="578"/>
      <c r="AM244" s="578"/>
      <c r="AN244" s="578"/>
      <c r="AO244" s="578"/>
      <c r="AP244" s="578"/>
      <c r="AQ244" s="578"/>
      <c r="AR244" s="816"/>
      <c r="AS244" s="578"/>
      <c r="AT244" s="578"/>
      <c r="AU244" s="578"/>
      <c r="AV244" s="578"/>
      <c r="AW244" s="578"/>
      <c r="AX244" s="578"/>
      <c r="AY244" s="818"/>
      <c r="AZ244" s="578"/>
      <c r="BA244" s="578"/>
      <c r="BB244" s="578"/>
      <c r="BC244" s="578"/>
      <c r="BD244" s="578"/>
      <c r="BE244" s="578"/>
      <c r="BF244" s="578"/>
      <c r="BG244" s="578"/>
      <c r="BH244" s="578"/>
      <c r="BI244" s="578"/>
      <c r="BJ244" s="578"/>
      <c r="BK244" s="578"/>
      <c r="BL244" s="578"/>
      <c r="BM244" s="578"/>
      <c r="BN244" s="578"/>
      <c r="BO244" s="578"/>
      <c r="BP244" s="578"/>
      <c r="BQ244" s="578"/>
      <c r="BR244" s="578"/>
      <c r="BS244" s="578"/>
      <c r="BT244" s="578"/>
      <c r="BU244" s="578"/>
      <c r="BV244" s="578"/>
      <c r="BW244" s="578"/>
    </row>
    <row r="245" spans="1:75" ht="14.25" customHeight="1" x14ac:dyDescent="0.3">
      <c r="A245" s="578"/>
      <c r="B245" s="815"/>
      <c r="C245" s="578"/>
      <c r="D245" s="578"/>
      <c r="E245" s="578"/>
      <c r="F245" s="578"/>
      <c r="G245" s="578"/>
      <c r="H245" s="578"/>
      <c r="I245" s="578"/>
      <c r="J245" s="578"/>
      <c r="K245" s="578"/>
      <c r="L245" s="578"/>
      <c r="M245" s="578"/>
      <c r="N245" s="578"/>
      <c r="O245" s="578"/>
      <c r="P245" s="578"/>
      <c r="Q245" s="578"/>
      <c r="R245" s="578"/>
      <c r="S245" s="578"/>
      <c r="T245" s="578"/>
      <c r="U245" s="578"/>
      <c r="V245" s="578"/>
      <c r="W245" s="578"/>
      <c r="X245" s="578"/>
      <c r="Y245" s="578"/>
      <c r="Z245" s="578"/>
      <c r="AA245" s="578"/>
      <c r="AB245" s="578"/>
      <c r="AC245" s="578"/>
      <c r="AD245" s="578"/>
      <c r="AE245" s="578"/>
      <c r="AF245" s="578"/>
      <c r="AG245" s="578"/>
      <c r="AH245" s="578"/>
      <c r="AI245" s="578"/>
      <c r="AJ245" s="578"/>
      <c r="AK245" s="578"/>
      <c r="AL245" s="578"/>
      <c r="AM245" s="578"/>
      <c r="AN245" s="578"/>
      <c r="AO245" s="578"/>
      <c r="AP245" s="578"/>
      <c r="AQ245" s="578"/>
      <c r="AR245" s="816"/>
      <c r="AS245" s="578"/>
      <c r="AT245" s="578"/>
      <c r="AU245" s="578"/>
      <c r="AV245" s="578"/>
      <c r="AW245" s="578"/>
      <c r="AX245" s="578"/>
      <c r="AY245" s="818"/>
      <c r="AZ245" s="578"/>
      <c r="BA245" s="578"/>
      <c r="BB245" s="578"/>
      <c r="BC245" s="578"/>
      <c r="BD245" s="578"/>
      <c r="BE245" s="578"/>
      <c r="BF245" s="578"/>
      <c r="BG245" s="578"/>
      <c r="BH245" s="578"/>
      <c r="BI245" s="578"/>
      <c r="BJ245" s="578"/>
      <c r="BK245" s="578"/>
      <c r="BL245" s="578"/>
      <c r="BM245" s="578"/>
      <c r="BN245" s="578"/>
      <c r="BO245" s="578"/>
      <c r="BP245" s="578"/>
      <c r="BQ245" s="578"/>
      <c r="BR245" s="578"/>
      <c r="BS245" s="578"/>
      <c r="BT245" s="578"/>
      <c r="BU245" s="578"/>
      <c r="BV245" s="578"/>
      <c r="BW245" s="578"/>
    </row>
    <row r="246" spans="1:75" ht="14.25" customHeight="1" x14ac:dyDescent="0.3">
      <c r="A246" s="578"/>
      <c r="B246" s="815"/>
      <c r="C246" s="578"/>
      <c r="D246" s="578"/>
      <c r="E246" s="578"/>
      <c r="F246" s="578"/>
      <c r="G246" s="578"/>
      <c r="H246" s="578"/>
      <c r="I246" s="578"/>
      <c r="J246" s="578"/>
      <c r="K246" s="578"/>
      <c r="L246" s="578"/>
      <c r="M246" s="578"/>
      <c r="N246" s="578"/>
      <c r="O246" s="578"/>
      <c r="P246" s="578"/>
      <c r="Q246" s="578"/>
      <c r="R246" s="578"/>
      <c r="S246" s="578"/>
      <c r="T246" s="578"/>
      <c r="U246" s="578"/>
      <c r="V246" s="578"/>
      <c r="W246" s="578"/>
      <c r="X246" s="578"/>
      <c r="Y246" s="578"/>
      <c r="Z246" s="578"/>
      <c r="AA246" s="578"/>
      <c r="AB246" s="578"/>
      <c r="AC246" s="578"/>
      <c r="AD246" s="578"/>
      <c r="AE246" s="578"/>
      <c r="AF246" s="578"/>
      <c r="AG246" s="578"/>
      <c r="AH246" s="578"/>
      <c r="AI246" s="578"/>
      <c r="AJ246" s="578"/>
      <c r="AK246" s="578"/>
      <c r="AL246" s="578"/>
      <c r="AM246" s="578"/>
      <c r="AN246" s="578"/>
      <c r="AO246" s="578"/>
      <c r="AP246" s="578"/>
      <c r="AQ246" s="578"/>
      <c r="AR246" s="816"/>
      <c r="AS246" s="578"/>
      <c r="AT246" s="578"/>
      <c r="AU246" s="578"/>
      <c r="AV246" s="578"/>
      <c r="AW246" s="578"/>
      <c r="AX246" s="578"/>
      <c r="AY246" s="818"/>
      <c r="AZ246" s="578"/>
      <c r="BA246" s="578"/>
      <c r="BB246" s="578"/>
      <c r="BC246" s="578"/>
      <c r="BD246" s="578"/>
      <c r="BE246" s="578"/>
      <c r="BF246" s="578"/>
      <c r="BG246" s="578"/>
      <c r="BH246" s="578"/>
      <c r="BI246" s="578"/>
      <c r="BJ246" s="578"/>
      <c r="BK246" s="578"/>
      <c r="BL246" s="578"/>
      <c r="BM246" s="578"/>
      <c r="BN246" s="578"/>
      <c r="BO246" s="578"/>
      <c r="BP246" s="578"/>
      <c r="BQ246" s="578"/>
      <c r="BR246" s="578"/>
      <c r="BS246" s="578"/>
      <c r="BT246" s="578"/>
      <c r="BU246" s="578"/>
      <c r="BV246" s="578"/>
      <c r="BW246" s="578"/>
    </row>
    <row r="247" spans="1:75" ht="14.25" customHeight="1" x14ac:dyDescent="0.3">
      <c r="A247" s="578"/>
      <c r="B247" s="815"/>
      <c r="C247" s="578"/>
      <c r="D247" s="578"/>
      <c r="E247" s="578"/>
      <c r="F247" s="578"/>
      <c r="G247" s="578"/>
      <c r="H247" s="578"/>
      <c r="I247" s="578"/>
      <c r="J247" s="578"/>
      <c r="K247" s="578"/>
      <c r="L247" s="578"/>
      <c r="M247" s="578"/>
      <c r="N247" s="578"/>
      <c r="O247" s="578"/>
      <c r="P247" s="578"/>
      <c r="Q247" s="578"/>
      <c r="R247" s="578"/>
      <c r="S247" s="578"/>
      <c r="T247" s="578"/>
      <c r="U247" s="578"/>
      <c r="V247" s="578"/>
      <c r="W247" s="578"/>
      <c r="X247" s="578"/>
      <c r="Y247" s="578"/>
      <c r="Z247" s="578"/>
      <c r="AA247" s="578"/>
      <c r="AB247" s="578"/>
      <c r="AC247" s="578"/>
      <c r="AD247" s="578"/>
      <c r="AE247" s="578"/>
      <c r="AF247" s="578"/>
      <c r="AG247" s="578"/>
      <c r="AH247" s="578"/>
      <c r="AI247" s="578"/>
      <c r="AJ247" s="578"/>
      <c r="AK247" s="578"/>
      <c r="AL247" s="578"/>
      <c r="AM247" s="578"/>
      <c r="AN247" s="578"/>
      <c r="AO247" s="578"/>
      <c r="AP247" s="578"/>
      <c r="AQ247" s="578"/>
      <c r="AR247" s="816"/>
      <c r="AS247" s="578"/>
      <c r="AT247" s="578"/>
      <c r="AU247" s="578"/>
      <c r="AV247" s="578"/>
      <c r="AW247" s="578"/>
      <c r="AX247" s="578"/>
      <c r="AY247" s="818"/>
      <c r="AZ247" s="578"/>
      <c r="BA247" s="578"/>
      <c r="BB247" s="578"/>
      <c r="BC247" s="578"/>
      <c r="BD247" s="578"/>
      <c r="BE247" s="578"/>
      <c r="BF247" s="578"/>
      <c r="BG247" s="578"/>
      <c r="BH247" s="578"/>
      <c r="BI247" s="578"/>
      <c r="BJ247" s="578"/>
      <c r="BK247" s="578"/>
      <c r="BL247" s="578"/>
      <c r="BM247" s="578"/>
      <c r="BN247" s="578"/>
      <c r="BO247" s="578"/>
      <c r="BP247" s="578"/>
      <c r="BQ247" s="578"/>
      <c r="BR247" s="578"/>
      <c r="BS247" s="578"/>
      <c r="BT247" s="578"/>
      <c r="BU247" s="578"/>
      <c r="BV247" s="578"/>
      <c r="BW247" s="578"/>
    </row>
    <row r="248" spans="1:75" ht="14.25" customHeight="1" x14ac:dyDescent="0.3">
      <c r="A248" s="578"/>
      <c r="B248" s="815"/>
      <c r="C248" s="578"/>
      <c r="D248" s="578"/>
      <c r="E248" s="578"/>
      <c r="F248" s="578"/>
      <c r="G248" s="578"/>
      <c r="H248" s="578"/>
      <c r="I248" s="578"/>
      <c r="J248" s="578"/>
      <c r="K248" s="578"/>
      <c r="L248" s="578"/>
      <c r="M248" s="578"/>
      <c r="N248" s="578"/>
      <c r="O248" s="578"/>
      <c r="P248" s="578"/>
      <c r="Q248" s="578"/>
      <c r="R248" s="578"/>
      <c r="S248" s="578"/>
      <c r="T248" s="578"/>
      <c r="U248" s="578"/>
      <c r="V248" s="578"/>
      <c r="W248" s="578"/>
      <c r="X248" s="578"/>
      <c r="Y248" s="578"/>
      <c r="Z248" s="578"/>
      <c r="AA248" s="578"/>
      <c r="AB248" s="578"/>
      <c r="AC248" s="578"/>
      <c r="AD248" s="578"/>
      <c r="AE248" s="578"/>
      <c r="AF248" s="578"/>
      <c r="AG248" s="578"/>
      <c r="AH248" s="578"/>
      <c r="AI248" s="578"/>
      <c r="AJ248" s="578"/>
      <c r="AK248" s="578"/>
      <c r="AL248" s="578"/>
      <c r="AM248" s="578"/>
      <c r="AN248" s="578"/>
      <c r="AO248" s="578"/>
      <c r="AP248" s="578"/>
      <c r="AQ248" s="578"/>
      <c r="AR248" s="816"/>
      <c r="AS248" s="578"/>
      <c r="AT248" s="578"/>
      <c r="AU248" s="578"/>
      <c r="AV248" s="578"/>
      <c r="AW248" s="578"/>
      <c r="AX248" s="578"/>
      <c r="AY248" s="818"/>
      <c r="AZ248" s="578"/>
      <c r="BA248" s="578"/>
      <c r="BB248" s="578"/>
      <c r="BC248" s="578"/>
      <c r="BD248" s="578"/>
      <c r="BE248" s="578"/>
      <c r="BF248" s="578"/>
      <c r="BG248" s="578"/>
      <c r="BH248" s="578"/>
      <c r="BI248" s="578"/>
      <c r="BJ248" s="578"/>
      <c r="BK248" s="578"/>
      <c r="BL248" s="578"/>
      <c r="BM248" s="578"/>
      <c r="BN248" s="578"/>
      <c r="BO248" s="578"/>
      <c r="BP248" s="578"/>
      <c r="BQ248" s="578"/>
      <c r="BR248" s="578"/>
      <c r="BS248" s="578"/>
      <c r="BT248" s="578"/>
      <c r="BU248" s="578"/>
      <c r="BV248" s="578"/>
      <c r="BW248" s="578"/>
    </row>
    <row r="249" spans="1:75" ht="14.25" customHeight="1" x14ac:dyDescent="0.3">
      <c r="A249" s="578"/>
      <c r="B249" s="815"/>
      <c r="C249" s="578"/>
      <c r="D249" s="578"/>
      <c r="E249" s="578"/>
      <c r="F249" s="578"/>
      <c r="G249" s="578"/>
      <c r="H249" s="578"/>
      <c r="I249" s="578"/>
      <c r="J249" s="578"/>
      <c r="K249" s="578"/>
      <c r="L249" s="578"/>
      <c r="M249" s="578"/>
      <c r="N249" s="578"/>
      <c r="O249" s="578"/>
      <c r="P249" s="578"/>
      <c r="Q249" s="578"/>
      <c r="R249" s="578"/>
      <c r="S249" s="578"/>
      <c r="T249" s="578"/>
      <c r="U249" s="578"/>
      <c r="V249" s="578"/>
      <c r="W249" s="578"/>
      <c r="X249" s="578"/>
      <c r="Y249" s="578"/>
      <c r="Z249" s="578"/>
      <c r="AA249" s="578"/>
      <c r="AB249" s="578"/>
      <c r="AC249" s="578"/>
      <c r="AD249" s="578"/>
      <c r="AE249" s="578"/>
      <c r="AF249" s="578"/>
      <c r="AG249" s="578"/>
      <c r="AH249" s="578"/>
      <c r="AI249" s="578"/>
      <c r="AJ249" s="578"/>
      <c r="AK249" s="578"/>
      <c r="AL249" s="578"/>
      <c r="AM249" s="578"/>
      <c r="AN249" s="578"/>
      <c r="AO249" s="578"/>
      <c r="AP249" s="578"/>
      <c r="AQ249" s="578"/>
      <c r="AR249" s="816"/>
      <c r="AS249" s="578"/>
      <c r="AT249" s="578"/>
      <c r="AU249" s="578"/>
      <c r="AV249" s="578"/>
      <c r="AW249" s="578"/>
      <c r="AX249" s="578"/>
      <c r="AY249" s="818"/>
      <c r="AZ249" s="578"/>
      <c r="BA249" s="578"/>
      <c r="BB249" s="578"/>
      <c r="BC249" s="578"/>
      <c r="BD249" s="578"/>
      <c r="BE249" s="578"/>
      <c r="BF249" s="578"/>
      <c r="BG249" s="578"/>
      <c r="BH249" s="578"/>
      <c r="BI249" s="578"/>
      <c r="BJ249" s="578"/>
      <c r="BK249" s="578"/>
      <c r="BL249" s="578"/>
      <c r="BM249" s="578"/>
      <c r="BN249" s="578"/>
      <c r="BO249" s="578"/>
      <c r="BP249" s="578"/>
      <c r="BQ249" s="578"/>
      <c r="BR249" s="578"/>
      <c r="BS249" s="578"/>
      <c r="BT249" s="578"/>
      <c r="BU249" s="578"/>
      <c r="BV249" s="578"/>
      <c r="BW249" s="578"/>
    </row>
    <row r="250" spans="1:75" ht="14.25" customHeight="1" x14ac:dyDescent="0.3">
      <c r="A250" s="578"/>
      <c r="B250" s="815"/>
      <c r="C250" s="578"/>
      <c r="D250" s="578"/>
      <c r="E250" s="578"/>
      <c r="F250" s="578"/>
      <c r="G250" s="578"/>
      <c r="H250" s="578"/>
      <c r="I250" s="578"/>
      <c r="J250" s="578"/>
      <c r="K250" s="578"/>
      <c r="L250" s="578"/>
      <c r="M250" s="578"/>
      <c r="N250" s="578"/>
      <c r="O250" s="578"/>
      <c r="P250" s="578"/>
      <c r="Q250" s="578"/>
      <c r="R250" s="578"/>
      <c r="S250" s="578"/>
      <c r="T250" s="578"/>
      <c r="U250" s="578"/>
      <c r="V250" s="578"/>
      <c r="W250" s="578"/>
      <c r="X250" s="578"/>
      <c r="Y250" s="578"/>
      <c r="Z250" s="578"/>
      <c r="AA250" s="578"/>
      <c r="AB250" s="578"/>
      <c r="AC250" s="578"/>
      <c r="AD250" s="578"/>
      <c r="AE250" s="578"/>
      <c r="AF250" s="578"/>
      <c r="AG250" s="578"/>
      <c r="AH250" s="578"/>
      <c r="AI250" s="578"/>
      <c r="AJ250" s="578"/>
      <c r="AK250" s="578"/>
      <c r="AL250" s="578"/>
      <c r="AM250" s="578"/>
      <c r="AN250" s="578"/>
      <c r="AO250" s="578"/>
      <c r="AP250" s="578"/>
      <c r="AQ250" s="578"/>
      <c r="AR250" s="816"/>
      <c r="AS250" s="578"/>
      <c r="AT250" s="578"/>
      <c r="AU250" s="578"/>
      <c r="AV250" s="578"/>
      <c r="AW250" s="578"/>
      <c r="AX250" s="578"/>
      <c r="AY250" s="818"/>
      <c r="AZ250" s="578"/>
      <c r="BA250" s="578"/>
      <c r="BB250" s="578"/>
      <c r="BC250" s="578"/>
      <c r="BD250" s="578"/>
      <c r="BE250" s="578"/>
      <c r="BF250" s="578"/>
      <c r="BG250" s="578"/>
      <c r="BH250" s="578"/>
      <c r="BI250" s="578"/>
      <c r="BJ250" s="578"/>
      <c r="BK250" s="578"/>
      <c r="BL250" s="578"/>
      <c r="BM250" s="578"/>
      <c r="BN250" s="578"/>
      <c r="BO250" s="578"/>
      <c r="BP250" s="578"/>
      <c r="BQ250" s="578"/>
      <c r="BR250" s="578"/>
      <c r="BS250" s="578"/>
      <c r="BT250" s="578"/>
      <c r="BU250" s="578"/>
      <c r="BV250" s="578"/>
      <c r="BW250" s="578"/>
    </row>
    <row r="251" spans="1:75" ht="14.25" customHeight="1" x14ac:dyDescent="0.3">
      <c r="A251" s="578"/>
      <c r="B251" s="815"/>
      <c r="C251" s="578"/>
      <c r="D251" s="578"/>
      <c r="E251" s="578"/>
      <c r="F251" s="578"/>
      <c r="G251" s="578"/>
      <c r="H251" s="578"/>
      <c r="I251" s="578"/>
      <c r="J251" s="578"/>
      <c r="K251" s="578"/>
      <c r="L251" s="578"/>
      <c r="M251" s="578"/>
      <c r="N251" s="578"/>
      <c r="O251" s="578"/>
      <c r="P251" s="578"/>
      <c r="Q251" s="578"/>
      <c r="R251" s="578"/>
      <c r="S251" s="578"/>
      <c r="T251" s="578"/>
      <c r="U251" s="578"/>
      <c r="V251" s="578"/>
      <c r="W251" s="578"/>
      <c r="X251" s="578"/>
      <c r="Y251" s="578"/>
      <c r="Z251" s="578"/>
      <c r="AA251" s="578"/>
      <c r="AB251" s="578"/>
      <c r="AC251" s="578"/>
      <c r="AD251" s="578"/>
      <c r="AE251" s="578"/>
      <c r="AF251" s="578"/>
      <c r="AG251" s="578"/>
      <c r="AH251" s="578"/>
      <c r="AI251" s="578"/>
      <c r="AJ251" s="578"/>
      <c r="AK251" s="578"/>
      <c r="AL251" s="578"/>
      <c r="AM251" s="578"/>
      <c r="AN251" s="578"/>
      <c r="AO251" s="578"/>
      <c r="AP251" s="578"/>
      <c r="AQ251" s="578"/>
      <c r="AR251" s="816"/>
      <c r="AS251" s="578"/>
      <c r="AT251" s="578"/>
      <c r="AU251" s="578"/>
      <c r="AV251" s="578"/>
      <c r="AW251" s="578"/>
      <c r="AX251" s="578"/>
      <c r="AY251" s="818"/>
      <c r="AZ251" s="578"/>
      <c r="BA251" s="578"/>
      <c r="BB251" s="578"/>
      <c r="BC251" s="578"/>
      <c r="BD251" s="578"/>
      <c r="BE251" s="578"/>
      <c r="BF251" s="578"/>
      <c r="BG251" s="578"/>
      <c r="BH251" s="578"/>
      <c r="BI251" s="578"/>
      <c r="BJ251" s="578"/>
      <c r="BK251" s="578"/>
      <c r="BL251" s="578"/>
      <c r="BM251" s="578"/>
      <c r="BN251" s="578"/>
      <c r="BO251" s="578"/>
      <c r="BP251" s="578"/>
      <c r="BQ251" s="578"/>
      <c r="BR251" s="578"/>
      <c r="BS251" s="578"/>
      <c r="BT251" s="578"/>
      <c r="BU251" s="578"/>
      <c r="BV251" s="578"/>
      <c r="BW251" s="578"/>
    </row>
    <row r="252" spans="1:75" ht="14.25" customHeight="1" x14ac:dyDescent="0.3">
      <c r="A252" s="578"/>
      <c r="B252" s="815"/>
      <c r="C252" s="578"/>
      <c r="D252" s="578"/>
      <c r="E252" s="578"/>
      <c r="F252" s="578"/>
      <c r="G252" s="578"/>
      <c r="H252" s="578"/>
      <c r="I252" s="578"/>
      <c r="J252" s="578"/>
      <c r="K252" s="578"/>
      <c r="L252" s="578"/>
      <c r="M252" s="578"/>
      <c r="N252" s="578"/>
      <c r="O252" s="578"/>
      <c r="P252" s="578"/>
      <c r="Q252" s="578"/>
      <c r="R252" s="578"/>
      <c r="S252" s="578"/>
      <c r="T252" s="578"/>
      <c r="U252" s="578"/>
      <c r="V252" s="578"/>
      <c r="W252" s="578"/>
      <c r="X252" s="578"/>
      <c r="Y252" s="578"/>
      <c r="Z252" s="578"/>
      <c r="AA252" s="578"/>
      <c r="AB252" s="578"/>
      <c r="AC252" s="578"/>
      <c r="AD252" s="578"/>
      <c r="AE252" s="578"/>
      <c r="AF252" s="578"/>
      <c r="AG252" s="578"/>
      <c r="AH252" s="578"/>
      <c r="AI252" s="578"/>
      <c r="AJ252" s="578"/>
      <c r="AK252" s="578"/>
      <c r="AL252" s="578"/>
      <c r="AM252" s="578"/>
      <c r="AN252" s="578"/>
      <c r="AO252" s="578"/>
      <c r="AP252" s="578"/>
      <c r="AQ252" s="578"/>
      <c r="AR252" s="816"/>
      <c r="AS252" s="578"/>
      <c r="AT252" s="578"/>
      <c r="AU252" s="578"/>
      <c r="AV252" s="578"/>
      <c r="AW252" s="578"/>
      <c r="AX252" s="578"/>
      <c r="AY252" s="818"/>
      <c r="AZ252" s="578"/>
      <c r="BA252" s="578"/>
      <c r="BB252" s="578"/>
      <c r="BC252" s="578"/>
      <c r="BD252" s="578"/>
      <c r="BE252" s="578"/>
      <c r="BF252" s="578"/>
      <c r="BG252" s="578"/>
      <c r="BH252" s="578"/>
      <c r="BI252" s="578"/>
      <c r="BJ252" s="578"/>
      <c r="BK252" s="578"/>
      <c r="BL252" s="578"/>
      <c r="BM252" s="578"/>
      <c r="BN252" s="578"/>
      <c r="BO252" s="578"/>
      <c r="BP252" s="578"/>
      <c r="BQ252" s="578"/>
      <c r="BR252" s="578"/>
      <c r="BS252" s="578"/>
      <c r="BT252" s="578"/>
      <c r="BU252" s="578"/>
      <c r="BV252" s="578"/>
      <c r="BW252" s="578"/>
    </row>
    <row r="253" spans="1:75" ht="14.25" customHeight="1" x14ac:dyDescent="0.3">
      <c r="A253" s="578"/>
      <c r="B253" s="815"/>
      <c r="C253" s="578"/>
      <c r="D253" s="578"/>
      <c r="E253" s="578"/>
      <c r="F253" s="578"/>
      <c r="G253" s="578"/>
      <c r="H253" s="578"/>
      <c r="I253" s="578"/>
      <c r="J253" s="578"/>
      <c r="K253" s="578"/>
      <c r="L253" s="578"/>
      <c r="M253" s="578"/>
      <c r="N253" s="578"/>
      <c r="O253" s="578"/>
      <c r="P253" s="578"/>
      <c r="Q253" s="578"/>
      <c r="R253" s="578"/>
      <c r="S253" s="578"/>
      <c r="T253" s="578"/>
      <c r="U253" s="578"/>
      <c r="V253" s="578"/>
      <c r="W253" s="578"/>
      <c r="X253" s="578"/>
      <c r="Y253" s="578"/>
      <c r="Z253" s="578"/>
      <c r="AA253" s="578"/>
      <c r="AB253" s="578"/>
      <c r="AC253" s="578"/>
      <c r="AD253" s="578"/>
      <c r="AE253" s="578"/>
      <c r="AF253" s="578"/>
      <c r="AG253" s="578"/>
      <c r="AH253" s="578"/>
      <c r="AI253" s="578"/>
      <c r="AJ253" s="578"/>
      <c r="AK253" s="578"/>
      <c r="AL253" s="578"/>
      <c r="AM253" s="578"/>
      <c r="AN253" s="578"/>
      <c r="AO253" s="578"/>
      <c r="AP253" s="578"/>
      <c r="AQ253" s="578"/>
      <c r="AR253" s="816"/>
      <c r="AS253" s="578"/>
      <c r="AT253" s="578"/>
      <c r="AU253" s="578"/>
      <c r="AV253" s="578"/>
      <c r="AW253" s="578"/>
      <c r="AX253" s="578"/>
      <c r="AY253" s="818"/>
      <c r="AZ253" s="578"/>
      <c r="BA253" s="578"/>
      <c r="BB253" s="578"/>
      <c r="BC253" s="578"/>
      <c r="BD253" s="578"/>
      <c r="BE253" s="578"/>
      <c r="BF253" s="578"/>
      <c r="BG253" s="578"/>
      <c r="BH253" s="578"/>
      <c r="BI253" s="578"/>
      <c r="BJ253" s="578"/>
      <c r="BK253" s="578"/>
      <c r="BL253" s="578"/>
      <c r="BM253" s="578"/>
      <c r="BN253" s="578"/>
      <c r="BO253" s="578"/>
      <c r="BP253" s="578"/>
      <c r="BQ253" s="578"/>
      <c r="BR253" s="578"/>
      <c r="BS253" s="578"/>
      <c r="BT253" s="578"/>
      <c r="BU253" s="578"/>
      <c r="BV253" s="578"/>
      <c r="BW253" s="578"/>
    </row>
    <row r="254" spans="1:75" ht="14.25" customHeight="1" x14ac:dyDescent="0.3">
      <c r="A254" s="578"/>
      <c r="B254" s="815"/>
      <c r="C254" s="578"/>
      <c r="D254" s="578"/>
      <c r="E254" s="578"/>
      <c r="F254" s="578"/>
      <c r="G254" s="578"/>
      <c r="H254" s="578"/>
      <c r="I254" s="578"/>
      <c r="J254" s="578"/>
      <c r="K254" s="578"/>
      <c r="L254" s="578"/>
      <c r="M254" s="578"/>
      <c r="N254" s="578"/>
      <c r="O254" s="578"/>
      <c r="P254" s="578"/>
      <c r="Q254" s="578"/>
      <c r="R254" s="578"/>
      <c r="S254" s="578"/>
      <c r="T254" s="578"/>
      <c r="U254" s="578"/>
      <c r="V254" s="578"/>
      <c r="W254" s="578"/>
      <c r="X254" s="578"/>
      <c r="Y254" s="578"/>
      <c r="Z254" s="578"/>
      <c r="AA254" s="578"/>
      <c r="AB254" s="578"/>
      <c r="AC254" s="578"/>
      <c r="AD254" s="578"/>
      <c r="AE254" s="578"/>
      <c r="AF254" s="578"/>
      <c r="AG254" s="578"/>
      <c r="AH254" s="578"/>
      <c r="AI254" s="578"/>
      <c r="AJ254" s="578"/>
      <c r="AK254" s="578"/>
      <c r="AL254" s="578"/>
      <c r="AM254" s="578"/>
      <c r="AN254" s="578"/>
      <c r="AO254" s="578"/>
      <c r="AP254" s="578"/>
      <c r="AQ254" s="578"/>
      <c r="AR254" s="816"/>
      <c r="AS254" s="578"/>
      <c r="AT254" s="578"/>
      <c r="AU254" s="578"/>
      <c r="AV254" s="578"/>
      <c r="AW254" s="578"/>
      <c r="AX254" s="578"/>
      <c r="AY254" s="818"/>
      <c r="AZ254" s="578"/>
      <c r="BA254" s="578"/>
      <c r="BB254" s="578"/>
      <c r="BC254" s="578"/>
      <c r="BD254" s="578"/>
      <c r="BE254" s="578"/>
      <c r="BF254" s="578"/>
      <c r="BG254" s="578"/>
      <c r="BH254" s="578"/>
      <c r="BI254" s="578"/>
      <c r="BJ254" s="578"/>
      <c r="BK254" s="578"/>
      <c r="BL254" s="578"/>
      <c r="BM254" s="578"/>
      <c r="BN254" s="578"/>
      <c r="BO254" s="578"/>
      <c r="BP254" s="578"/>
      <c r="BQ254" s="578"/>
      <c r="BR254" s="578"/>
      <c r="BS254" s="578"/>
      <c r="BT254" s="578"/>
      <c r="BU254" s="578"/>
      <c r="BV254" s="578"/>
      <c r="BW254" s="578"/>
    </row>
    <row r="255" spans="1:75" ht="14.25" customHeight="1" x14ac:dyDescent="0.3">
      <c r="A255" s="578"/>
      <c r="B255" s="815"/>
      <c r="C255" s="578"/>
      <c r="D255" s="578"/>
      <c r="E255" s="578"/>
      <c r="F255" s="578"/>
      <c r="G255" s="578"/>
      <c r="H255" s="578"/>
      <c r="I255" s="578"/>
      <c r="J255" s="578"/>
      <c r="K255" s="578"/>
      <c r="L255" s="578"/>
      <c r="M255" s="578"/>
      <c r="N255" s="578"/>
      <c r="O255" s="578"/>
      <c r="P255" s="578"/>
      <c r="Q255" s="578"/>
      <c r="R255" s="578"/>
      <c r="S255" s="578"/>
      <c r="T255" s="578"/>
      <c r="U255" s="578"/>
      <c r="V255" s="578"/>
      <c r="W255" s="578"/>
      <c r="X255" s="578"/>
      <c r="Y255" s="578"/>
      <c r="Z255" s="578"/>
      <c r="AA255" s="578"/>
      <c r="AB255" s="578"/>
      <c r="AC255" s="578"/>
      <c r="AD255" s="578"/>
      <c r="AE255" s="578"/>
      <c r="AF255" s="578"/>
      <c r="AG255" s="578"/>
      <c r="AH255" s="578"/>
      <c r="AI255" s="578"/>
      <c r="AJ255" s="578"/>
      <c r="AK255" s="578"/>
      <c r="AL255" s="578"/>
      <c r="AM255" s="578"/>
      <c r="AN255" s="578"/>
      <c r="AO255" s="578"/>
      <c r="AP255" s="578"/>
      <c r="AQ255" s="578"/>
      <c r="AR255" s="816"/>
      <c r="AS255" s="578"/>
      <c r="AT255" s="578"/>
      <c r="AU255" s="578"/>
      <c r="AV255" s="578"/>
      <c r="AW255" s="578"/>
      <c r="AX255" s="578"/>
      <c r="AY255" s="818"/>
      <c r="AZ255" s="578"/>
      <c r="BA255" s="578"/>
      <c r="BB255" s="578"/>
      <c r="BC255" s="578"/>
      <c r="BD255" s="578"/>
      <c r="BE255" s="578"/>
      <c r="BF255" s="578"/>
      <c r="BG255" s="578"/>
      <c r="BH255" s="578"/>
      <c r="BI255" s="578"/>
      <c r="BJ255" s="578"/>
      <c r="BK255" s="578"/>
      <c r="BL255" s="578"/>
      <c r="BM255" s="578"/>
      <c r="BN255" s="578"/>
      <c r="BO255" s="578"/>
      <c r="BP255" s="578"/>
      <c r="BQ255" s="578"/>
      <c r="BR255" s="578"/>
      <c r="BS255" s="578"/>
      <c r="BT255" s="578"/>
      <c r="BU255" s="578"/>
      <c r="BV255" s="578"/>
      <c r="BW255" s="578"/>
    </row>
    <row r="256" spans="1:75" ht="14.25" customHeight="1" x14ac:dyDescent="0.3">
      <c r="A256" s="578"/>
      <c r="B256" s="815"/>
      <c r="C256" s="578"/>
      <c r="D256" s="578"/>
      <c r="E256" s="578"/>
      <c r="F256" s="578"/>
      <c r="G256" s="578"/>
      <c r="H256" s="578"/>
      <c r="I256" s="578"/>
      <c r="J256" s="578"/>
      <c r="K256" s="578"/>
      <c r="L256" s="578"/>
      <c r="M256" s="578"/>
      <c r="N256" s="578"/>
      <c r="O256" s="578"/>
      <c r="P256" s="578"/>
      <c r="Q256" s="578"/>
      <c r="R256" s="578"/>
      <c r="S256" s="578"/>
      <c r="T256" s="578"/>
      <c r="U256" s="578"/>
      <c r="V256" s="578"/>
      <c r="W256" s="578"/>
      <c r="X256" s="578"/>
      <c r="Y256" s="578"/>
      <c r="Z256" s="578"/>
      <c r="AA256" s="578"/>
      <c r="AB256" s="578"/>
      <c r="AC256" s="578"/>
      <c r="AD256" s="578"/>
      <c r="AE256" s="578"/>
      <c r="AF256" s="578"/>
      <c r="AG256" s="578"/>
      <c r="AH256" s="578"/>
      <c r="AI256" s="578"/>
      <c r="AJ256" s="578"/>
      <c r="AK256" s="578"/>
      <c r="AL256" s="578"/>
      <c r="AM256" s="578"/>
      <c r="AN256" s="578"/>
      <c r="AO256" s="578"/>
      <c r="AP256" s="578"/>
      <c r="AQ256" s="578"/>
      <c r="AR256" s="816"/>
      <c r="AS256" s="578"/>
      <c r="AT256" s="578"/>
      <c r="AU256" s="578"/>
      <c r="AV256" s="578"/>
      <c r="AW256" s="578"/>
      <c r="AX256" s="578"/>
      <c r="AY256" s="818"/>
      <c r="AZ256" s="578"/>
      <c r="BA256" s="578"/>
      <c r="BB256" s="578"/>
      <c r="BC256" s="578"/>
      <c r="BD256" s="578"/>
      <c r="BE256" s="578"/>
      <c r="BF256" s="578"/>
      <c r="BG256" s="578"/>
      <c r="BH256" s="578"/>
      <c r="BI256" s="578"/>
      <c r="BJ256" s="578"/>
      <c r="BK256" s="578"/>
      <c r="BL256" s="578"/>
      <c r="BM256" s="578"/>
      <c r="BN256" s="578"/>
      <c r="BO256" s="578"/>
      <c r="BP256" s="578"/>
      <c r="BQ256" s="578"/>
      <c r="BR256" s="578"/>
      <c r="BS256" s="578"/>
      <c r="BT256" s="578"/>
      <c r="BU256" s="578"/>
      <c r="BV256" s="578"/>
      <c r="BW256" s="578"/>
    </row>
    <row r="257" spans="1:75" ht="14.25" customHeight="1" x14ac:dyDescent="0.3">
      <c r="A257" s="578"/>
      <c r="B257" s="815"/>
      <c r="C257" s="578"/>
      <c r="D257" s="578"/>
      <c r="E257" s="578"/>
      <c r="F257" s="578"/>
      <c r="G257" s="578"/>
      <c r="H257" s="578"/>
      <c r="I257" s="578"/>
      <c r="J257" s="578"/>
      <c r="K257" s="578"/>
      <c r="L257" s="578"/>
      <c r="M257" s="578"/>
      <c r="N257" s="578"/>
      <c r="O257" s="578"/>
      <c r="P257" s="578"/>
      <c r="Q257" s="578"/>
      <c r="R257" s="578"/>
      <c r="S257" s="578"/>
      <c r="T257" s="578"/>
      <c r="U257" s="578"/>
      <c r="V257" s="578"/>
      <c r="W257" s="578"/>
      <c r="X257" s="578"/>
      <c r="Y257" s="578"/>
      <c r="Z257" s="578"/>
      <c r="AA257" s="578"/>
      <c r="AB257" s="578"/>
      <c r="AC257" s="578"/>
      <c r="AD257" s="578"/>
      <c r="AE257" s="578"/>
      <c r="AF257" s="578"/>
      <c r="AG257" s="578"/>
      <c r="AH257" s="578"/>
      <c r="AI257" s="578"/>
      <c r="AJ257" s="578"/>
      <c r="AK257" s="578"/>
      <c r="AL257" s="578"/>
      <c r="AM257" s="578"/>
      <c r="AN257" s="578"/>
      <c r="AO257" s="578"/>
      <c r="AP257" s="578"/>
      <c r="AQ257" s="578"/>
      <c r="AR257" s="816"/>
      <c r="AS257" s="578"/>
      <c r="AT257" s="578"/>
      <c r="AU257" s="578"/>
      <c r="AV257" s="578"/>
      <c r="AW257" s="578"/>
      <c r="AX257" s="578"/>
      <c r="AY257" s="818"/>
      <c r="AZ257" s="578"/>
      <c r="BA257" s="578"/>
      <c r="BB257" s="578"/>
      <c r="BC257" s="578"/>
      <c r="BD257" s="578"/>
      <c r="BE257" s="578"/>
      <c r="BF257" s="578"/>
      <c r="BG257" s="578"/>
      <c r="BH257" s="578"/>
      <c r="BI257" s="578"/>
      <c r="BJ257" s="578"/>
      <c r="BK257" s="578"/>
      <c r="BL257" s="578"/>
      <c r="BM257" s="578"/>
      <c r="BN257" s="578"/>
      <c r="BO257" s="578"/>
      <c r="BP257" s="578"/>
      <c r="BQ257" s="578"/>
      <c r="BR257" s="578"/>
      <c r="BS257" s="578"/>
      <c r="BT257" s="578"/>
      <c r="BU257" s="578"/>
      <c r="BV257" s="578"/>
      <c r="BW257" s="578"/>
    </row>
    <row r="258" spans="1:75" ht="14.25" customHeight="1" x14ac:dyDescent="0.3">
      <c r="A258" s="578"/>
      <c r="B258" s="815"/>
      <c r="C258" s="578"/>
      <c r="D258" s="578"/>
      <c r="E258" s="578"/>
      <c r="F258" s="578"/>
      <c r="G258" s="578"/>
      <c r="H258" s="578"/>
      <c r="I258" s="578"/>
      <c r="J258" s="578"/>
      <c r="K258" s="578"/>
      <c r="L258" s="578"/>
      <c r="M258" s="578"/>
      <c r="N258" s="578"/>
      <c r="O258" s="578"/>
      <c r="P258" s="578"/>
      <c r="Q258" s="578"/>
      <c r="R258" s="578"/>
      <c r="S258" s="578"/>
      <c r="T258" s="578"/>
      <c r="U258" s="578"/>
      <c r="V258" s="578"/>
      <c r="W258" s="578"/>
      <c r="X258" s="578"/>
      <c r="Y258" s="578"/>
      <c r="Z258" s="578"/>
      <c r="AA258" s="578"/>
      <c r="AB258" s="578"/>
      <c r="AC258" s="578"/>
      <c r="AD258" s="578"/>
      <c r="AE258" s="578"/>
      <c r="AF258" s="578"/>
      <c r="AG258" s="578"/>
      <c r="AH258" s="578"/>
      <c r="AI258" s="578"/>
      <c r="AJ258" s="578"/>
      <c r="AK258" s="578"/>
      <c r="AL258" s="578"/>
      <c r="AM258" s="578"/>
      <c r="AN258" s="578"/>
      <c r="AO258" s="578"/>
      <c r="AP258" s="578"/>
      <c r="AQ258" s="578"/>
      <c r="AR258" s="816"/>
      <c r="AS258" s="578"/>
      <c r="AT258" s="578"/>
      <c r="AU258" s="578"/>
      <c r="AV258" s="578"/>
      <c r="AW258" s="578"/>
      <c r="AX258" s="578"/>
      <c r="AY258" s="818"/>
      <c r="AZ258" s="578"/>
      <c r="BA258" s="578"/>
      <c r="BB258" s="578"/>
      <c r="BC258" s="578"/>
      <c r="BD258" s="578"/>
      <c r="BE258" s="578"/>
      <c r="BF258" s="578"/>
      <c r="BG258" s="578"/>
      <c r="BH258" s="578"/>
      <c r="BI258" s="578"/>
      <c r="BJ258" s="578"/>
      <c r="BK258" s="578"/>
      <c r="BL258" s="578"/>
      <c r="BM258" s="578"/>
      <c r="BN258" s="578"/>
      <c r="BO258" s="578"/>
      <c r="BP258" s="578"/>
      <c r="BQ258" s="578"/>
      <c r="BR258" s="578"/>
      <c r="BS258" s="578"/>
      <c r="BT258" s="578"/>
      <c r="BU258" s="578"/>
      <c r="BV258" s="578"/>
      <c r="BW258" s="578"/>
    </row>
    <row r="259" spans="1:75" ht="14.25" customHeight="1" x14ac:dyDescent="0.3">
      <c r="A259" s="578"/>
      <c r="B259" s="815"/>
      <c r="C259" s="578"/>
      <c r="D259" s="578"/>
      <c r="E259" s="578"/>
      <c r="F259" s="578"/>
      <c r="G259" s="578"/>
      <c r="H259" s="578"/>
      <c r="I259" s="578"/>
      <c r="J259" s="578"/>
      <c r="K259" s="578"/>
      <c r="L259" s="578"/>
      <c r="M259" s="578"/>
      <c r="N259" s="578"/>
      <c r="O259" s="578"/>
      <c r="P259" s="578"/>
      <c r="Q259" s="578"/>
      <c r="R259" s="578"/>
      <c r="S259" s="578"/>
      <c r="T259" s="578"/>
      <c r="U259" s="578"/>
      <c r="V259" s="578"/>
      <c r="W259" s="578"/>
      <c r="X259" s="578"/>
      <c r="Y259" s="578"/>
      <c r="Z259" s="578"/>
      <c r="AA259" s="578"/>
      <c r="AB259" s="578"/>
      <c r="AC259" s="578"/>
      <c r="AD259" s="578"/>
      <c r="AE259" s="578"/>
      <c r="AF259" s="578"/>
      <c r="AG259" s="578"/>
      <c r="AH259" s="578"/>
      <c r="AI259" s="578"/>
      <c r="AJ259" s="578"/>
      <c r="AK259" s="578"/>
      <c r="AL259" s="578"/>
      <c r="AM259" s="578"/>
      <c r="AN259" s="578"/>
      <c r="AO259" s="578"/>
      <c r="AP259" s="578"/>
      <c r="AQ259" s="578"/>
      <c r="AR259" s="816"/>
      <c r="AS259" s="578"/>
      <c r="AT259" s="578"/>
      <c r="AU259" s="578"/>
      <c r="AV259" s="578"/>
      <c r="AW259" s="578"/>
      <c r="AX259" s="578"/>
      <c r="AY259" s="818"/>
      <c r="AZ259" s="578"/>
      <c r="BA259" s="578"/>
      <c r="BB259" s="578"/>
      <c r="BC259" s="578"/>
      <c r="BD259" s="578"/>
      <c r="BE259" s="578"/>
      <c r="BF259" s="578"/>
      <c r="BG259" s="578"/>
      <c r="BH259" s="578"/>
      <c r="BI259" s="578"/>
      <c r="BJ259" s="578"/>
      <c r="BK259" s="578"/>
      <c r="BL259" s="578"/>
      <c r="BM259" s="578"/>
      <c r="BN259" s="578"/>
      <c r="BO259" s="578"/>
      <c r="BP259" s="578"/>
      <c r="BQ259" s="578"/>
      <c r="BR259" s="578"/>
      <c r="BS259" s="578"/>
      <c r="BT259" s="578"/>
      <c r="BU259" s="578"/>
      <c r="BV259" s="578"/>
      <c r="BW259" s="578"/>
    </row>
    <row r="260" spans="1:75" ht="14.25" customHeight="1" x14ac:dyDescent="0.3">
      <c r="A260" s="578"/>
      <c r="B260" s="815"/>
      <c r="C260" s="578"/>
      <c r="D260" s="578"/>
      <c r="E260" s="578"/>
      <c r="F260" s="578"/>
      <c r="G260" s="578"/>
      <c r="H260" s="578"/>
      <c r="I260" s="578"/>
      <c r="J260" s="578"/>
      <c r="K260" s="578"/>
      <c r="L260" s="578"/>
      <c r="M260" s="578"/>
      <c r="N260" s="578"/>
      <c r="O260" s="578"/>
      <c r="P260" s="578"/>
      <c r="Q260" s="578"/>
      <c r="R260" s="578"/>
      <c r="S260" s="578"/>
      <c r="T260" s="578"/>
      <c r="U260" s="578"/>
      <c r="V260" s="578"/>
      <c r="W260" s="578"/>
      <c r="X260" s="578"/>
      <c r="Y260" s="578"/>
      <c r="Z260" s="578"/>
      <c r="AA260" s="578"/>
      <c r="AB260" s="578"/>
      <c r="AC260" s="578"/>
      <c r="AD260" s="578"/>
      <c r="AE260" s="578"/>
      <c r="AF260" s="578"/>
      <c r="AG260" s="578"/>
      <c r="AH260" s="578"/>
      <c r="AI260" s="578"/>
      <c r="AJ260" s="578"/>
      <c r="AK260" s="578"/>
      <c r="AL260" s="578"/>
      <c r="AM260" s="578"/>
      <c r="AN260" s="578"/>
      <c r="AO260" s="578"/>
      <c r="AP260" s="578"/>
      <c r="AQ260" s="578"/>
      <c r="AR260" s="816"/>
      <c r="AS260" s="578"/>
      <c r="AT260" s="578"/>
      <c r="AU260" s="578"/>
      <c r="AV260" s="578"/>
      <c r="AW260" s="578"/>
      <c r="AX260" s="578"/>
      <c r="AY260" s="818"/>
      <c r="AZ260" s="578"/>
      <c r="BA260" s="578"/>
      <c r="BB260" s="578"/>
      <c r="BC260" s="578"/>
      <c r="BD260" s="578"/>
      <c r="BE260" s="578"/>
      <c r="BF260" s="578"/>
      <c r="BG260" s="578"/>
      <c r="BH260" s="578"/>
      <c r="BI260" s="578"/>
      <c r="BJ260" s="578"/>
      <c r="BK260" s="578"/>
      <c r="BL260" s="578"/>
      <c r="BM260" s="578"/>
      <c r="BN260" s="578"/>
      <c r="BO260" s="578"/>
      <c r="BP260" s="578"/>
      <c r="BQ260" s="578"/>
      <c r="BR260" s="578"/>
      <c r="BS260" s="578"/>
      <c r="BT260" s="578"/>
      <c r="BU260" s="578"/>
      <c r="BV260" s="578"/>
      <c r="BW260" s="578"/>
    </row>
    <row r="261" spans="1:75" ht="14.25" customHeight="1" x14ac:dyDescent="0.3">
      <c r="A261" s="578"/>
      <c r="B261" s="815"/>
      <c r="C261" s="578"/>
      <c r="D261" s="578"/>
      <c r="E261" s="578"/>
      <c r="F261" s="578"/>
      <c r="G261" s="578"/>
      <c r="H261" s="578"/>
      <c r="I261" s="578"/>
      <c r="J261" s="578"/>
      <c r="K261" s="578"/>
      <c r="L261" s="578"/>
      <c r="M261" s="578"/>
      <c r="N261" s="578"/>
      <c r="O261" s="578"/>
      <c r="P261" s="578"/>
      <c r="Q261" s="578"/>
      <c r="R261" s="578"/>
      <c r="S261" s="578"/>
      <c r="T261" s="578"/>
      <c r="U261" s="578"/>
      <c r="V261" s="578"/>
      <c r="W261" s="578"/>
      <c r="X261" s="578"/>
      <c r="Y261" s="578"/>
      <c r="Z261" s="578"/>
      <c r="AA261" s="578"/>
      <c r="AB261" s="578"/>
      <c r="AC261" s="578"/>
      <c r="AD261" s="578"/>
      <c r="AE261" s="578"/>
      <c r="AF261" s="578"/>
      <c r="AG261" s="578"/>
      <c r="AH261" s="578"/>
      <c r="AI261" s="578"/>
      <c r="AJ261" s="578"/>
      <c r="AK261" s="578"/>
      <c r="AL261" s="578"/>
      <c r="AM261" s="578"/>
      <c r="AN261" s="578"/>
      <c r="AO261" s="578"/>
      <c r="AP261" s="578"/>
      <c r="AQ261" s="578"/>
      <c r="AR261" s="816"/>
      <c r="AS261" s="578"/>
      <c r="AT261" s="578"/>
      <c r="AU261" s="578"/>
      <c r="AV261" s="578"/>
      <c r="AW261" s="578"/>
      <c r="AX261" s="578"/>
      <c r="AY261" s="818"/>
      <c r="AZ261" s="578"/>
      <c r="BA261" s="578"/>
      <c r="BB261" s="578"/>
      <c r="BC261" s="578"/>
      <c r="BD261" s="578"/>
      <c r="BE261" s="578"/>
      <c r="BF261" s="578"/>
      <c r="BG261" s="578"/>
      <c r="BH261" s="578"/>
      <c r="BI261" s="578"/>
      <c r="BJ261" s="578"/>
      <c r="BK261" s="578"/>
      <c r="BL261" s="578"/>
      <c r="BM261" s="578"/>
      <c r="BN261" s="578"/>
      <c r="BO261" s="578"/>
      <c r="BP261" s="578"/>
      <c r="BQ261" s="578"/>
      <c r="BR261" s="578"/>
      <c r="BS261" s="578"/>
      <c r="BT261" s="578"/>
      <c r="BU261" s="578"/>
      <c r="BV261" s="578"/>
      <c r="BW261" s="578"/>
    </row>
    <row r="262" spans="1:75" ht="14.25" customHeight="1" x14ac:dyDescent="0.3">
      <c r="A262" s="578"/>
      <c r="B262" s="815"/>
      <c r="C262" s="578"/>
      <c r="D262" s="578"/>
      <c r="E262" s="578"/>
      <c r="F262" s="578"/>
      <c r="G262" s="578"/>
      <c r="H262" s="578"/>
      <c r="I262" s="578"/>
      <c r="J262" s="578"/>
      <c r="K262" s="578"/>
      <c r="L262" s="578"/>
      <c r="M262" s="578"/>
      <c r="N262" s="578"/>
      <c r="O262" s="578"/>
      <c r="P262" s="578"/>
      <c r="Q262" s="578"/>
      <c r="R262" s="578"/>
      <c r="S262" s="578"/>
      <c r="T262" s="578"/>
      <c r="U262" s="578"/>
      <c r="V262" s="578"/>
      <c r="W262" s="578"/>
      <c r="X262" s="578"/>
      <c r="Y262" s="578"/>
      <c r="Z262" s="578"/>
      <c r="AA262" s="578"/>
      <c r="AB262" s="578"/>
      <c r="AC262" s="578"/>
      <c r="AD262" s="578"/>
      <c r="AE262" s="578"/>
      <c r="AF262" s="578"/>
      <c r="AG262" s="578"/>
      <c r="AH262" s="578"/>
      <c r="AI262" s="578"/>
      <c r="AJ262" s="578"/>
      <c r="AK262" s="578"/>
      <c r="AL262" s="578"/>
      <c r="AM262" s="578"/>
      <c r="AN262" s="578"/>
      <c r="AO262" s="578"/>
      <c r="AP262" s="578"/>
      <c r="AQ262" s="578"/>
      <c r="AR262" s="816"/>
      <c r="AS262" s="578"/>
      <c r="AT262" s="578"/>
      <c r="AU262" s="578"/>
      <c r="AV262" s="578"/>
      <c r="AW262" s="578"/>
      <c r="AX262" s="578"/>
      <c r="AY262" s="818"/>
      <c r="AZ262" s="578"/>
      <c r="BA262" s="578"/>
      <c r="BB262" s="578"/>
      <c r="BC262" s="578"/>
      <c r="BD262" s="578"/>
      <c r="BE262" s="578"/>
      <c r="BF262" s="578"/>
      <c r="BG262" s="578"/>
      <c r="BH262" s="578"/>
      <c r="BI262" s="578"/>
      <c r="BJ262" s="578"/>
      <c r="BK262" s="578"/>
      <c r="BL262" s="578"/>
      <c r="BM262" s="578"/>
      <c r="BN262" s="578"/>
      <c r="BO262" s="578"/>
      <c r="BP262" s="578"/>
      <c r="BQ262" s="578"/>
      <c r="BR262" s="578"/>
      <c r="BS262" s="578"/>
      <c r="BT262" s="578"/>
      <c r="BU262" s="578"/>
      <c r="BV262" s="578"/>
      <c r="BW262" s="578"/>
    </row>
    <row r="263" spans="1:75" ht="14.25" customHeight="1" x14ac:dyDescent="0.3">
      <c r="A263" s="578"/>
      <c r="B263" s="815"/>
      <c r="C263" s="578"/>
      <c r="D263" s="578"/>
      <c r="E263" s="578"/>
      <c r="F263" s="578"/>
      <c r="G263" s="578"/>
      <c r="H263" s="578"/>
      <c r="I263" s="578"/>
      <c r="J263" s="578"/>
      <c r="K263" s="578"/>
      <c r="L263" s="578"/>
      <c r="M263" s="578"/>
      <c r="N263" s="578"/>
      <c r="O263" s="578"/>
      <c r="P263" s="578"/>
      <c r="Q263" s="578"/>
      <c r="R263" s="578"/>
      <c r="S263" s="578"/>
      <c r="T263" s="578"/>
      <c r="U263" s="578"/>
      <c r="V263" s="578"/>
      <c r="W263" s="578"/>
      <c r="X263" s="578"/>
      <c r="Y263" s="578"/>
      <c r="Z263" s="578"/>
      <c r="AA263" s="578"/>
      <c r="AB263" s="578"/>
      <c r="AC263" s="578"/>
      <c r="AD263" s="578"/>
      <c r="AE263" s="578"/>
      <c r="AF263" s="578"/>
      <c r="AG263" s="578"/>
      <c r="AH263" s="578"/>
      <c r="AI263" s="578"/>
      <c r="AJ263" s="578"/>
      <c r="AK263" s="578"/>
      <c r="AL263" s="578"/>
      <c r="AM263" s="578"/>
      <c r="AN263" s="578"/>
      <c r="AO263" s="578"/>
      <c r="AP263" s="578"/>
      <c r="AQ263" s="578"/>
      <c r="AR263" s="816"/>
      <c r="AS263" s="578"/>
      <c r="AT263" s="578"/>
      <c r="AU263" s="578"/>
      <c r="AV263" s="578"/>
      <c r="AW263" s="578"/>
      <c r="AX263" s="578"/>
      <c r="AY263" s="818"/>
      <c r="AZ263" s="578"/>
      <c r="BA263" s="578"/>
      <c r="BB263" s="578"/>
      <c r="BC263" s="578"/>
      <c r="BD263" s="578"/>
      <c r="BE263" s="578"/>
      <c r="BF263" s="578"/>
      <c r="BG263" s="578"/>
      <c r="BH263" s="578"/>
      <c r="BI263" s="578"/>
      <c r="BJ263" s="578"/>
      <c r="BK263" s="578"/>
      <c r="BL263" s="578"/>
      <c r="BM263" s="578"/>
      <c r="BN263" s="578"/>
      <c r="BO263" s="578"/>
      <c r="BP263" s="578"/>
      <c r="BQ263" s="578"/>
      <c r="BR263" s="578"/>
      <c r="BS263" s="578"/>
      <c r="BT263" s="578"/>
      <c r="BU263" s="578"/>
      <c r="BV263" s="578"/>
      <c r="BW263" s="578"/>
    </row>
    <row r="264" spans="1:75" ht="14.25" customHeight="1" x14ac:dyDescent="0.3">
      <c r="A264" s="578"/>
      <c r="B264" s="815"/>
      <c r="C264" s="578"/>
      <c r="D264" s="578"/>
      <c r="E264" s="578"/>
      <c r="F264" s="578"/>
      <c r="G264" s="578"/>
      <c r="H264" s="578"/>
      <c r="I264" s="578"/>
      <c r="J264" s="578"/>
      <c r="K264" s="578"/>
      <c r="L264" s="578"/>
      <c r="M264" s="578"/>
      <c r="N264" s="578"/>
      <c r="O264" s="578"/>
      <c r="P264" s="578"/>
      <c r="Q264" s="578"/>
      <c r="R264" s="578"/>
      <c r="S264" s="578"/>
      <c r="T264" s="578"/>
      <c r="U264" s="578"/>
      <c r="V264" s="578"/>
      <c r="W264" s="578"/>
      <c r="X264" s="578"/>
      <c r="Y264" s="578"/>
      <c r="Z264" s="578"/>
      <c r="AA264" s="578"/>
      <c r="AB264" s="578"/>
      <c r="AC264" s="578"/>
      <c r="AD264" s="578"/>
      <c r="AE264" s="578"/>
      <c r="AF264" s="578"/>
      <c r="AG264" s="578"/>
      <c r="AH264" s="578"/>
      <c r="AI264" s="578"/>
      <c r="AJ264" s="578"/>
      <c r="AK264" s="578"/>
      <c r="AL264" s="578"/>
      <c r="AM264" s="578"/>
      <c r="AN264" s="578"/>
      <c r="AO264" s="578"/>
      <c r="AP264" s="578"/>
      <c r="AQ264" s="578"/>
      <c r="AR264" s="816"/>
      <c r="AS264" s="578"/>
      <c r="AT264" s="578"/>
      <c r="AU264" s="578"/>
      <c r="AV264" s="578"/>
      <c r="AW264" s="578"/>
      <c r="AX264" s="578"/>
      <c r="AY264" s="818"/>
      <c r="AZ264" s="578"/>
      <c r="BA264" s="578"/>
      <c r="BB264" s="578"/>
      <c r="BC264" s="578"/>
      <c r="BD264" s="578"/>
      <c r="BE264" s="578"/>
      <c r="BF264" s="578"/>
      <c r="BG264" s="578"/>
      <c r="BH264" s="578"/>
      <c r="BI264" s="578"/>
      <c r="BJ264" s="578"/>
      <c r="BK264" s="578"/>
      <c r="BL264" s="578"/>
      <c r="BM264" s="578"/>
      <c r="BN264" s="578"/>
      <c r="BO264" s="578"/>
      <c r="BP264" s="578"/>
      <c r="BQ264" s="578"/>
      <c r="BR264" s="578"/>
      <c r="BS264" s="578"/>
      <c r="BT264" s="578"/>
      <c r="BU264" s="578"/>
      <c r="BV264" s="578"/>
      <c r="BW264" s="578"/>
    </row>
    <row r="265" spans="1:75" ht="14.25" customHeight="1" x14ac:dyDescent="0.3">
      <c r="A265" s="578"/>
      <c r="B265" s="815"/>
      <c r="C265" s="578"/>
      <c r="D265" s="578"/>
      <c r="E265" s="578"/>
      <c r="F265" s="578"/>
      <c r="G265" s="578"/>
      <c r="H265" s="578"/>
      <c r="I265" s="578"/>
      <c r="J265" s="578"/>
      <c r="K265" s="578"/>
      <c r="L265" s="578"/>
      <c r="M265" s="578"/>
      <c r="N265" s="578"/>
      <c r="O265" s="578"/>
      <c r="P265" s="578"/>
      <c r="Q265" s="578"/>
      <c r="R265" s="578"/>
      <c r="S265" s="578"/>
      <c r="T265" s="578"/>
      <c r="U265" s="578"/>
      <c r="V265" s="578"/>
      <c r="W265" s="578"/>
      <c r="X265" s="578"/>
      <c r="Y265" s="578"/>
      <c r="Z265" s="578"/>
      <c r="AA265" s="578"/>
      <c r="AB265" s="578"/>
      <c r="AC265" s="578"/>
      <c r="AD265" s="578"/>
      <c r="AE265" s="578"/>
      <c r="AF265" s="578"/>
      <c r="AG265" s="578"/>
      <c r="AH265" s="578"/>
      <c r="AI265" s="578"/>
      <c r="AJ265" s="578"/>
      <c r="AK265" s="578"/>
      <c r="AL265" s="578"/>
      <c r="AM265" s="578"/>
      <c r="AN265" s="578"/>
      <c r="AO265" s="578"/>
      <c r="AP265" s="578"/>
      <c r="AQ265" s="578"/>
      <c r="AR265" s="816"/>
      <c r="AS265" s="578"/>
      <c r="AT265" s="578"/>
      <c r="AU265" s="578"/>
      <c r="AV265" s="578"/>
      <c r="AW265" s="578"/>
      <c r="AX265" s="578"/>
      <c r="AY265" s="818"/>
      <c r="AZ265" s="578"/>
      <c r="BA265" s="578"/>
      <c r="BB265" s="578"/>
      <c r="BC265" s="578"/>
      <c r="BD265" s="578"/>
      <c r="BE265" s="578"/>
      <c r="BF265" s="578"/>
      <c r="BG265" s="578"/>
      <c r="BH265" s="578"/>
      <c r="BI265" s="578"/>
      <c r="BJ265" s="578"/>
      <c r="BK265" s="578"/>
      <c r="BL265" s="578"/>
      <c r="BM265" s="578"/>
      <c r="BN265" s="578"/>
      <c r="BO265" s="578"/>
      <c r="BP265" s="578"/>
      <c r="BQ265" s="578"/>
      <c r="BR265" s="578"/>
      <c r="BS265" s="578"/>
      <c r="BT265" s="578"/>
      <c r="BU265" s="578"/>
      <c r="BV265" s="578"/>
      <c r="BW265" s="578"/>
    </row>
    <row r="266" spans="1:75" ht="14.25" customHeight="1" x14ac:dyDescent="0.3">
      <c r="A266" s="578"/>
      <c r="B266" s="815"/>
      <c r="C266" s="578"/>
      <c r="D266" s="578"/>
      <c r="E266" s="578"/>
      <c r="F266" s="578"/>
      <c r="G266" s="578"/>
      <c r="H266" s="578"/>
      <c r="I266" s="578"/>
      <c r="J266" s="578"/>
      <c r="K266" s="578"/>
      <c r="L266" s="578"/>
      <c r="M266" s="578"/>
      <c r="N266" s="578"/>
      <c r="O266" s="578"/>
      <c r="P266" s="578"/>
      <c r="Q266" s="578"/>
      <c r="R266" s="578"/>
      <c r="S266" s="578"/>
      <c r="T266" s="578"/>
      <c r="U266" s="578"/>
      <c r="V266" s="578"/>
      <c r="W266" s="578"/>
      <c r="X266" s="578"/>
      <c r="Y266" s="578"/>
      <c r="Z266" s="578"/>
      <c r="AA266" s="578"/>
      <c r="AB266" s="578"/>
      <c r="AC266" s="578"/>
      <c r="AD266" s="578"/>
      <c r="AE266" s="578"/>
      <c r="AF266" s="578"/>
      <c r="AG266" s="578"/>
      <c r="AH266" s="578"/>
      <c r="AI266" s="578"/>
      <c r="AJ266" s="578"/>
      <c r="AK266" s="578"/>
      <c r="AL266" s="578"/>
      <c r="AM266" s="578"/>
      <c r="AN266" s="578"/>
      <c r="AO266" s="578"/>
      <c r="AP266" s="578"/>
      <c r="AQ266" s="578"/>
      <c r="AR266" s="816"/>
      <c r="AS266" s="578"/>
      <c r="AT266" s="578"/>
      <c r="AU266" s="578"/>
      <c r="AV266" s="578"/>
      <c r="AW266" s="578"/>
      <c r="AX266" s="578"/>
      <c r="AY266" s="818"/>
      <c r="AZ266" s="578"/>
      <c r="BA266" s="578"/>
      <c r="BB266" s="578"/>
      <c r="BC266" s="578"/>
      <c r="BD266" s="578"/>
      <c r="BE266" s="578"/>
      <c r="BF266" s="578"/>
      <c r="BG266" s="578"/>
      <c r="BH266" s="578"/>
      <c r="BI266" s="578"/>
      <c r="BJ266" s="578"/>
      <c r="BK266" s="578"/>
      <c r="BL266" s="578"/>
      <c r="BM266" s="578"/>
      <c r="BN266" s="578"/>
      <c r="BO266" s="578"/>
      <c r="BP266" s="578"/>
      <c r="BQ266" s="578"/>
      <c r="BR266" s="578"/>
      <c r="BS266" s="578"/>
      <c r="BT266" s="578"/>
      <c r="BU266" s="578"/>
      <c r="BV266" s="578"/>
      <c r="BW266" s="578"/>
    </row>
    <row r="267" spans="1:75" ht="14.25" customHeight="1" x14ac:dyDescent="0.3">
      <c r="A267" s="578"/>
      <c r="B267" s="815"/>
      <c r="C267" s="578"/>
      <c r="D267" s="578"/>
      <c r="E267" s="578"/>
      <c r="F267" s="578"/>
      <c r="G267" s="578"/>
      <c r="H267" s="578"/>
      <c r="I267" s="578"/>
      <c r="J267" s="578"/>
      <c r="K267" s="578"/>
      <c r="L267" s="578"/>
      <c r="M267" s="578"/>
      <c r="N267" s="578"/>
      <c r="O267" s="578"/>
      <c r="P267" s="578"/>
      <c r="Q267" s="578"/>
      <c r="R267" s="578"/>
      <c r="S267" s="578"/>
      <c r="T267" s="578"/>
      <c r="U267" s="578"/>
      <c r="V267" s="578"/>
      <c r="W267" s="578"/>
      <c r="X267" s="578"/>
      <c r="Y267" s="578"/>
      <c r="Z267" s="578"/>
      <c r="AA267" s="578"/>
      <c r="AB267" s="578"/>
      <c r="AC267" s="578"/>
      <c r="AD267" s="578"/>
      <c r="AE267" s="578"/>
      <c r="AF267" s="578"/>
      <c r="AG267" s="578"/>
      <c r="AH267" s="578"/>
      <c r="AI267" s="578"/>
      <c r="AJ267" s="578"/>
      <c r="AK267" s="578"/>
      <c r="AL267" s="578"/>
      <c r="AM267" s="578"/>
      <c r="AN267" s="578"/>
      <c r="AO267" s="578"/>
      <c r="AP267" s="578"/>
      <c r="AQ267" s="578"/>
      <c r="AR267" s="816"/>
      <c r="AS267" s="578"/>
      <c r="AT267" s="578"/>
      <c r="AU267" s="578"/>
      <c r="AV267" s="578"/>
      <c r="AW267" s="578"/>
      <c r="AX267" s="578"/>
      <c r="AY267" s="818"/>
      <c r="AZ267" s="578"/>
      <c r="BA267" s="578"/>
      <c r="BB267" s="578"/>
      <c r="BC267" s="578"/>
      <c r="BD267" s="578"/>
      <c r="BE267" s="578"/>
      <c r="BF267" s="578"/>
      <c r="BG267" s="578"/>
      <c r="BH267" s="578"/>
      <c r="BI267" s="578"/>
      <c r="BJ267" s="578"/>
      <c r="BK267" s="578"/>
      <c r="BL267" s="578"/>
      <c r="BM267" s="578"/>
      <c r="BN267" s="578"/>
      <c r="BO267" s="578"/>
      <c r="BP267" s="578"/>
      <c r="BQ267" s="578"/>
      <c r="BR267" s="578"/>
      <c r="BS267" s="578"/>
      <c r="BT267" s="578"/>
      <c r="BU267" s="578"/>
      <c r="BV267" s="578"/>
      <c r="BW267" s="578"/>
    </row>
    <row r="268" spans="1:75" ht="14.25" customHeight="1" x14ac:dyDescent="0.3">
      <c r="A268" s="578"/>
      <c r="B268" s="815"/>
      <c r="C268" s="578"/>
      <c r="D268" s="578"/>
      <c r="E268" s="578"/>
      <c r="F268" s="578"/>
      <c r="G268" s="578"/>
      <c r="H268" s="578"/>
      <c r="I268" s="578"/>
      <c r="J268" s="578"/>
      <c r="K268" s="578"/>
      <c r="L268" s="578"/>
      <c r="M268" s="578"/>
      <c r="N268" s="578"/>
      <c r="O268" s="578"/>
      <c r="P268" s="578"/>
      <c r="Q268" s="578"/>
      <c r="R268" s="578"/>
      <c r="S268" s="578"/>
      <c r="T268" s="578"/>
      <c r="U268" s="578"/>
      <c r="V268" s="578"/>
      <c r="W268" s="578"/>
      <c r="X268" s="578"/>
      <c r="Y268" s="578"/>
      <c r="Z268" s="578"/>
      <c r="AA268" s="578"/>
      <c r="AB268" s="578"/>
      <c r="AC268" s="578"/>
      <c r="AD268" s="578"/>
      <c r="AE268" s="578"/>
      <c r="AF268" s="578"/>
      <c r="AG268" s="578"/>
      <c r="AH268" s="578"/>
      <c r="AI268" s="578"/>
      <c r="AJ268" s="578"/>
      <c r="AK268" s="578"/>
      <c r="AL268" s="578"/>
      <c r="AM268" s="578"/>
      <c r="AN268" s="578"/>
      <c r="AO268" s="578"/>
      <c r="AP268" s="578"/>
      <c r="AQ268" s="578"/>
      <c r="AR268" s="816"/>
      <c r="AS268" s="578"/>
      <c r="AT268" s="578"/>
      <c r="AU268" s="578"/>
      <c r="AV268" s="578"/>
      <c r="AW268" s="578"/>
      <c r="AX268" s="578"/>
      <c r="AY268" s="818"/>
      <c r="AZ268" s="578"/>
      <c r="BA268" s="578"/>
      <c r="BB268" s="578"/>
      <c r="BC268" s="578"/>
      <c r="BD268" s="578"/>
      <c r="BE268" s="578"/>
      <c r="BF268" s="578"/>
      <c r="BG268" s="578"/>
      <c r="BH268" s="578"/>
      <c r="BI268" s="578"/>
      <c r="BJ268" s="578"/>
      <c r="BK268" s="578"/>
      <c r="BL268" s="578"/>
      <c r="BM268" s="578"/>
      <c r="BN268" s="578"/>
      <c r="BO268" s="578"/>
      <c r="BP268" s="578"/>
      <c r="BQ268" s="578"/>
      <c r="BR268" s="578"/>
      <c r="BS268" s="578"/>
      <c r="BT268" s="578"/>
      <c r="BU268" s="578"/>
      <c r="BV268" s="578"/>
      <c r="BW268" s="578"/>
    </row>
    <row r="269" spans="1:75" ht="14.25" customHeight="1" x14ac:dyDescent="0.3">
      <c r="A269" s="578"/>
      <c r="B269" s="815"/>
      <c r="C269" s="578"/>
      <c r="D269" s="578"/>
      <c r="E269" s="578"/>
      <c r="F269" s="578"/>
      <c r="G269" s="578"/>
      <c r="H269" s="578"/>
      <c r="I269" s="578"/>
      <c r="J269" s="578"/>
      <c r="K269" s="578"/>
      <c r="L269" s="578"/>
      <c r="M269" s="578"/>
      <c r="N269" s="578"/>
      <c r="O269" s="578"/>
      <c r="P269" s="578"/>
      <c r="Q269" s="578"/>
      <c r="R269" s="578"/>
      <c r="S269" s="578"/>
      <c r="T269" s="578"/>
      <c r="U269" s="578"/>
      <c r="V269" s="578"/>
      <c r="W269" s="578"/>
      <c r="X269" s="578"/>
      <c r="Y269" s="578"/>
      <c r="Z269" s="578"/>
      <c r="AA269" s="578"/>
      <c r="AB269" s="578"/>
      <c r="AC269" s="578"/>
      <c r="AD269" s="578"/>
      <c r="AE269" s="578"/>
      <c r="AF269" s="578"/>
      <c r="AG269" s="578"/>
      <c r="AH269" s="578"/>
      <c r="AI269" s="578"/>
      <c r="AJ269" s="578"/>
      <c r="AK269" s="578"/>
      <c r="AL269" s="578"/>
      <c r="AM269" s="578"/>
      <c r="AN269" s="578"/>
      <c r="AO269" s="578"/>
      <c r="AP269" s="578"/>
      <c r="AQ269" s="578"/>
      <c r="AR269" s="816"/>
      <c r="AS269" s="578"/>
      <c r="AT269" s="578"/>
      <c r="AU269" s="578"/>
      <c r="AV269" s="578"/>
      <c r="AW269" s="578"/>
      <c r="AX269" s="578"/>
      <c r="AY269" s="818"/>
      <c r="AZ269" s="578"/>
      <c r="BA269" s="578"/>
      <c r="BB269" s="578"/>
      <c r="BC269" s="578"/>
      <c r="BD269" s="578"/>
      <c r="BE269" s="578"/>
      <c r="BF269" s="578"/>
      <c r="BG269" s="578"/>
      <c r="BH269" s="578"/>
      <c r="BI269" s="578"/>
      <c r="BJ269" s="578"/>
      <c r="BK269" s="578"/>
      <c r="BL269" s="578"/>
      <c r="BM269" s="578"/>
      <c r="BN269" s="578"/>
      <c r="BO269" s="578"/>
      <c r="BP269" s="578"/>
      <c r="BQ269" s="578"/>
      <c r="BR269" s="578"/>
      <c r="BS269" s="578"/>
      <c r="BT269" s="578"/>
      <c r="BU269" s="578"/>
      <c r="BV269" s="578"/>
      <c r="BW269" s="578"/>
    </row>
    <row r="270" spans="1:75" ht="14.25" customHeight="1" x14ac:dyDescent="0.3">
      <c r="B270" s="823"/>
      <c r="D270" s="824"/>
      <c r="I270" s="825"/>
      <c r="AR270" s="826"/>
      <c r="AY270" s="827"/>
      <c r="BD270" s="577"/>
      <c r="BE270" s="578"/>
      <c r="BF270" s="578"/>
      <c r="BG270" s="578"/>
      <c r="BH270" s="578"/>
      <c r="BI270" s="578"/>
      <c r="BJ270" s="578"/>
      <c r="BK270" s="578"/>
      <c r="BL270" s="578"/>
      <c r="BM270" s="578"/>
      <c r="BN270" s="578"/>
      <c r="BO270" s="578"/>
      <c r="BP270" s="578"/>
      <c r="BQ270" s="578"/>
      <c r="BR270" s="578"/>
      <c r="BS270" s="578"/>
      <c r="BT270" s="578"/>
      <c r="BU270" s="578"/>
      <c r="BV270" s="578"/>
      <c r="BW270" s="578"/>
    </row>
    <row r="271" spans="1:75" ht="14.25" customHeight="1" x14ac:dyDescent="0.3">
      <c r="B271" s="823"/>
      <c r="D271" s="824"/>
      <c r="I271" s="825"/>
      <c r="AR271" s="826"/>
      <c r="AY271" s="827"/>
      <c r="BD271" s="577"/>
      <c r="BE271" s="578"/>
      <c r="BF271" s="578"/>
      <c r="BG271" s="578"/>
      <c r="BH271" s="578"/>
      <c r="BI271" s="578"/>
      <c r="BJ271" s="578"/>
      <c r="BK271" s="578"/>
      <c r="BL271" s="578"/>
      <c r="BM271" s="578"/>
      <c r="BN271" s="578"/>
      <c r="BO271" s="578"/>
      <c r="BP271" s="578"/>
      <c r="BQ271" s="578"/>
      <c r="BR271" s="578"/>
      <c r="BS271" s="578"/>
      <c r="BT271" s="578"/>
      <c r="BU271" s="578"/>
      <c r="BV271" s="578"/>
      <c r="BW271" s="578"/>
    </row>
    <row r="272" spans="1:75" ht="14.25" customHeight="1" x14ac:dyDescent="0.3">
      <c r="B272" s="823"/>
      <c r="D272" s="824"/>
      <c r="I272" s="825"/>
      <c r="AR272" s="826"/>
      <c r="AY272" s="827"/>
      <c r="BD272" s="577"/>
      <c r="BE272" s="578"/>
      <c r="BF272" s="578"/>
      <c r="BG272" s="578"/>
      <c r="BH272" s="578"/>
      <c r="BI272" s="578"/>
      <c r="BJ272" s="578"/>
      <c r="BK272" s="578"/>
      <c r="BL272" s="578"/>
      <c r="BM272" s="578"/>
      <c r="BN272" s="578"/>
      <c r="BO272" s="578"/>
      <c r="BP272" s="578"/>
      <c r="BQ272" s="578"/>
      <c r="BR272" s="578"/>
      <c r="BS272" s="578"/>
      <c r="BT272" s="578"/>
      <c r="BU272" s="578"/>
      <c r="BV272" s="578"/>
      <c r="BW272" s="578"/>
    </row>
    <row r="273" spans="2:75" ht="14.25" customHeight="1" x14ac:dyDescent="0.3">
      <c r="B273" s="823"/>
      <c r="D273" s="824"/>
      <c r="I273" s="825"/>
      <c r="AR273" s="826"/>
      <c r="AY273" s="827"/>
      <c r="BD273" s="577"/>
      <c r="BE273" s="578"/>
      <c r="BF273" s="578"/>
      <c r="BG273" s="578"/>
      <c r="BH273" s="578"/>
      <c r="BI273" s="578"/>
      <c r="BJ273" s="578"/>
      <c r="BK273" s="578"/>
      <c r="BL273" s="578"/>
      <c r="BM273" s="578"/>
      <c r="BN273" s="578"/>
      <c r="BO273" s="578"/>
      <c r="BP273" s="578"/>
      <c r="BQ273" s="578"/>
      <c r="BR273" s="578"/>
      <c r="BS273" s="578"/>
      <c r="BT273" s="578"/>
      <c r="BU273" s="578"/>
      <c r="BV273" s="578"/>
      <c r="BW273" s="578"/>
    </row>
    <row r="274" spans="2:75" ht="14.25" customHeight="1" x14ac:dyDescent="0.3">
      <c r="B274" s="823"/>
      <c r="D274" s="824"/>
      <c r="I274" s="825"/>
      <c r="AR274" s="826"/>
      <c r="AY274" s="827"/>
      <c r="BD274" s="577"/>
      <c r="BE274" s="578"/>
      <c r="BF274" s="578"/>
      <c r="BG274" s="578"/>
      <c r="BH274" s="578"/>
      <c r="BI274" s="578"/>
      <c r="BJ274" s="578"/>
      <c r="BK274" s="578"/>
      <c r="BL274" s="578"/>
      <c r="BM274" s="578"/>
      <c r="BN274" s="578"/>
      <c r="BO274" s="578"/>
      <c r="BP274" s="578"/>
      <c r="BQ274" s="578"/>
      <c r="BR274" s="578"/>
      <c r="BS274" s="578"/>
      <c r="BT274" s="578"/>
      <c r="BU274" s="578"/>
      <c r="BV274" s="578"/>
      <c r="BW274" s="578"/>
    </row>
    <row r="275" spans="2:75" ht="14.25" customHeight="1" x14ac:dyDescent="0.3">
      <c r="B275" s="823"/>
      <c r="D275" s="824"/>
      <c r="I275" s="825"/>
      <c r="AR275" s="826"/>
      <c r="AY275" s="827"/>
      <c r="BD275" s="577"/>
      <c r="BE275" s="578"/>
      <c r="BF275" s="578"/>
      <c r="BG275" s="578"/>
      <c r="BH275" s="578"/>
      <c r="BI275" s="578"/>
      <c r="BJ275" s="578"/>
      <c r="BK275" s="578"/>
      <c r="BL275" s="578"/>
      <c r="BM275" s="578"/>
      <c r="BN275" s="578"/>
      <c r="BO275" s="578"/>
      <c r="BP275" s="578"/>
      <c r="BQ275" s="578"/>
      <c r="BR275" s="578"/>
      <c r="BS275" s="578"/>
      <c r="BT275" s="578"/>
      <c r="BU275" s="578"/>
      <c r="BV275" s="578"/>
      <c r="BW275" s="578"/>
    </row>
    <row r="276" spans="2:75" ht="14.25" customHeight="1" x14ac:dyDescent="0.3">
      <c r="B276" s="823"/>
      <c r="D276" s="824"/>
      <c r="I276" s="825"/>
      <c r="AR276" s="826"/>
      <c r="AY276" s="827"/>
      <c r="BD276" s="577"/>
      <c r="BE276" s="578"/>
      <c r="BF276" s="578"/>
      <c r="BG276" s="578"/>
      <c r="BH276" s="578"/>
      <c r="BI276" s="578"/>
      <c r="BJ276" s="578"/>
      <c r="BK276" s="578"/>
      <c r="BL276" s="578"/>
      <c r="BM276" s="578"/>
      <c r="BN276" s="578"/>
      <c r="BO276" s="578"/>
      <c r="BP276" s="578"/>
      <c r="BQ276" s="578"/>
      <c r="BR276" s="578"/>
      <c r="BS276" s="578"/>
      <c r="BT276" s="578"/>
      <c r="BU276" s="578"/>
      <c r="BV276" s="578"/>
      <c r="BW276" s="578"/>
    </row>
    <row r="277" spans="2:75" ht="14.25" customHeight="1" x14ac:dyDescent="0.3">
      <c r="B277" s="823"/>
      <c r="D277" s="824"/>
      <c r="I277" s="825"/>
      <c r="AR277" s="826"/>
      <c r="AY277" s="827"/>
      <c r="BD277" s="577"/>
      <c r="BE277" s="578"/>
      <c r="BF277" s="578"/>
      <c r="BG277" s="578"/>
      <c r="BH277" s="578"/>
      <c r="BI277" s="578"/>
      <c r="BJ277" s="578"/>
      <c r="BK277" s="578"/>
      <c r="BL277" s="578"/>
      <c r="BM277" s="578"/>
      <c r="BN277" s="578"/>
      <c r="BO277" s="578"/>
      <c r="BP277" s="578"/>
      <c r="BQ277" s="578"/>
      <c r="BR277" s="578"/>
      <c r="BS277" s="578"/>
      <c r="BT277" s="578"/>
      <c r="BU277" s="578"/>
      <c r="BV277" s="578"/>
      <c r="BW277" s="578"/>
    </row>
    <row r="278" spans="2:75" ht="14.25" customHeight="1" x14ac:dyDescent="0.3">
      <c r="B278" s="823"/>
      <c r="D278" s="824"/>
      <c r="I278" s="825"/>
      <c r="AR278" s="826"/>
      <c r="AY278" s="827"/>
      <c r="BD278" s="577"/>
      <c r="BE278" s="578"/>
      <c r="BF278" s="578"/>
      <c r="BG278" s="578"/>
      <c r="BH278" s="578"/>
      <c r="BI278" s="578"/>
      <c r="BJ278" s="578"/>
      <c r="BK278" s="578"/>
      <c r="BL278" s="578"/>
      <c r="BM278" s="578"/>
      <c r="BN278" s="578"/>
      <c r="BO278" s="578"/>
      <c r="BP278" s="578"/>
      <c r="BQ278" s="578"/>
      <c r="BR278" s="578"/>
      <c r="BS278" s="578"/>
      <c r="BT278" s="578"/>
      <c r="BU278" s="578"/>
      <c r="BV278" s="578"/>
      <c r="BW278" s="578"/>
    </row>
    <row r="279" spans="2:75" ht="14.25" customHeight="1" x14ac:dyDescent="0.3">
      <c r="B279" s="823"/>
      <c r="D279" s="824"/>
      <c r="I279" s="825"/>
      <c r="AR279" s="826"/>
      <c r="AY279" s="827"/>
      <c r="BD279" s="577"/>
      <c r="BE279" s="578"/>
      <c r="BF279" s="578"/>
      <c r="BG279" s="578"/>
      <c r="BH279" s="578"/>
      <c r="BI279" s="578"/>
      <c r="BJ279" s="578"/>
      <c r="BK279" s="578"/>
      <c r="BL279" s="578"/>
      <c r="BM279" s="578"/>
      <c r="BN279" s="578"/>
      <c r="BO279" s="578"/>
      <c r="BP279" s="578"/>
      <c r="BQ279" s="578"/>
      <c r="BR279" s="578"/>
      <c r="BS279" s="578"/>
      <c r="BT279" s="578"/>
      <c r="BU279" s="578"/>
      <c r="BV279" s="578"/>
      <c r="BW279" s="578"/>
    </row>
    <row r="280" spans="2:75" ht="14.25" customHeight="1" x14ac:dyDescent="0.3">
      <c r="B280" s="823"/>
      <c r="D280" s="824"/>
      <c r="I280" s="825"/>
      <c r="AR280" s="826"/>
      <c r="AY280" s="827"/>
      <c r="BD280" s="577"/>
      <c r="BE280" s="578"/>
      <c r="BF280" s="578"/>
      <c r="BG280" s="578"/>
      <c r="BH280" s="578"/>
      <c r="BI280" s="578"/>
      <c r="BJ280" s="578"/>
      <c r="BK280" s="578"/>
      <c r="BL280" s="578"/>
      <c r="BM280" s="578"/>
      <c r="BN280" s="578"/>
      <c r="BO280" s="578"/>
      <c r="BP280" s="578"/>
      <c r="BQ280" s="578"/>
      <c r="BR280" s="578"/>
      <c r="BS280" s="578"/>
      <c r="BT280" s="578"/>
      <c r="BU280" s="578"/>
      <c r="BV280" s="578"/>
      <c r="BW280" s="578"/>
    </row>
    <row r="281" spans="2:75" ht="14.25" customHeight="1" x14ac:dyDescent="0.3">
      <c r="B281" s="823"/>
      <c r="D281" s="824"/>
      <c r="I281" s="825"/>
      <c r="AR281" s="826"/>
      <c r="AY281" s="827"/>
      <c r="BD281" s="577"/>
      <c r="BE281" s="578"/>
      <c r="BF281" s="578"/>
      <c r="BG281" s="578"/>
      <c r="BH281" s="578"/>
      <c r="BI281" s="578"/>
      <c r="BJ281" s="578"/>
      <c r="BK281" s="578"/>
      <c r="BL281" s="578"/>
      <c r="BM281" s="578"/>
      <c r="BN281" s="578"/>
      <c r="BO281" s="578"/>
      <c r="BP281" s="578"/>
      <c r="BQ281" s="578"/>
      <c r="BR281" s="578"/>
      <c r="BS281" s="578"/>
      <c r="BT281" s="578"/>
      <c r="BU281" s="578"/>
      <c r="BV281" s="578"/>
      <c r="BW281" s="578"/>
    </row>
    <row r="282" spans="2:75" ht="14.25" customHeight="1" x14ac:dyDescent="0.3">
      <c r="B282" s="823"/>
      <c r="D282" s="824"/>
      <c r="I282" s="825"/>
      <c r="AR282" s="826"/>
      <c r="AY282" s="827"/>
      <c r="BD282" s="577"/>
      <c r="BE282" s="578"/>
      <c r="BF282" s="578"/>
      <c r="BG282" s="578"/>
      <c r="BH282" s="578"/>
      <c r="BI282" s="578"/>
      <c r="BJ282" s="578"/>
      <c r="BK282" s="578"/>
      <c r="BL282" s="578"/>
      <c r="BM282" s="578"/>
      <c r="BN282" s="578"/>
      <c r="BO282" s="578"/>
      <c r="BP282" s="578"/>
      <c r="BQ282" s="578"/>
      <c r="BR282" s="578"/>
      <c r="BS282" s="578"/>
      <c r="BT282" s="578"/>
      <c r="BU282" s="578"/>
      <c r="BV282" s="578"/>
      <c r="BW282" s="578"/>
    </row>
    <row r="283" spans="2:75" ht="14.25" customHeight="1" x14ac:dyDescent="0.3">
      <c r="B283" s="823"/>
      <c r="D283" s="824"/>
      <c r="I283" s="825"/>
      <c r="AR283" s="826"/>
      <c r="AY283" s="827"/>
      <c r="BD283" s="577"/>
      <c r="BE283" s="578"/>
      <c r="BF283" s="578"/>
      <c r="BG283" s="578"/>
      <c r="BH283" s="578"/>
      <c r="BI283" s="578"/>
      <c r="BJ283" s="578"/>
      <c r="BK283" s="578"/>
      <c r="BL283" s="578"/>
      <c r="BM283" s="578"/>
      <c r="BN283" s="578"/>
      <c r="BO283" s="578"/>
      <c r="BP283" s="578"/>
      <c r="BQ283" s="578"/>
      <c r="BR283" s="578"/>
      <c r="BS283" s="578"/>
      <c r="BT283" s="578"/>
      <c r="BU283" s="578"/>
      <c r="BV283" s="578"/>
      <c r="BW283" s="578"/>
    </row>
    <row r="284" spans="2:75" ht="14.25" customHeight="1" x14ac:dyDescent="0.3">
      <c r="B284" s="823"/>
      <c r="D284" s="824"/>
      <c r="I284" s="825"/>
      <c r="AR284" s="826"/>
      <c r="AY284" s="827"/>
      <c r="BD284" s="577"/>
      <c r="BE284" s="578"/>
      <c r="BF284" s="578"/>
      <c r="BG284" s="578"/>
      <c r="BH284" s="578"/>
      <c r="BI284" s="578"/>
      <c r="BJ284" s="578"/>
      <c r="BK284" s="578"/>
      <c r="BL284" s="578"/>
      <c r="BM284" s="578"/>
      <c r="BN284" s="578"/>
      <c r="BO284" s="578"/>
      <c r="BP284" s="578"/>
      <c r="BQ284" s="578"/>
      <c r="BR284" s="578"/>
      <c r="BS284" s="578"/>
      <c r="BT284" s="578"/>
      <c r="BU284" s="578"/>
      <c r="BV284" s="578"/>
      <c r="BW284" s="578"/>
    </row>
    <row r="285" spans="2:75" ht="14.25" customHeight="1" x14ac:dyDescent="0.3">
      <c r="B285" s="823"/>
      <c r="D285" s="824"/>
      <c r="I285" s="825"/>
      <c r="AR285" s="826"/>
      <c r="AY285" s="827"/>
      <c r="BD285" s="577"/>
      <c r="BE285" s="578"/>
      <c r="BF285" s="578"/>
      <c r="BG285" s="578"/>
      <c r="BH285" s="578"/>
      <c r="BI285" s="578"/>
      <c r="BJ285" s="578"/>
      <c r="BK285" s="578"/>
      <c r="BL285" s="578"/>
      <c r="BM285" s="578"/>
      <c r="BN285" s="578"/>
      <c r="BO285" s="578"/>
      <c r="BP285" s="578"/>
      <c r="BQ285" s="578"/>
      <c r="BR285" s="578"/>
      <c r="BS285" s="578"/>
      <c r="BT285" s="578"/>
      <c r="BU285" s="578"/>
      <c r="BV285" s="578"/>
      <c r="BW285" s="578"/>
    </row>
    <row r="286" spans="2:75" ht="14.25" customHeight="1" x14ac:dyDescent="0.3">
      <c r="B286" s="823"/>
      <c r="D286" s="824"/>
      <c r="I286" s="825"/>
      <c r="AR286" s="826"/>
      <c r="AY286" s="827"/>
      <c r="BD286" s="577"/>
      <c r="BE286" s="578"/>
      <c r="BF286" s="578"/>
      <c r="BG286" s="578"/>
      <c r="BH286" s="578"/>
      <c r="BI286" s="578"/>
      <c r="BJ286" s="578"/>
      <c r="BK286" s="578"/>
      <c r="BL286" s="578"/>
      <c r="BM286" s="578"/>
      <c r="BN286" s="578"/>
      <c r="BO286" s="578"/>
      <c r="BP286" s="578"/>
      <c r="BQ286" s="578"/>
      <c r="BR286" s="578"/>
      <c r="BS286" s="578"/>
      <c r="BT286" s="578"/>
      <c r="BU286" s="578"/>
      <c r="BV286" s="578"/>
      <c r="BW286" s="578"/>
    </row>
    <row r="287" spans="2:75" ht="14.25" customHeight="1" x14ac:dyDescent="0.3">
      <c r="B287" s="823"/>
      <c r="D287" s="824"/>
      <c r="I287" s="825"/>
      <c r="AR287" s="826"/>
      <c r="AY287" s="827"/>
      <c r="BD287" s="577"/>
      <c r="BE287" s="578"/>
      <c r="BF287" s="578"/>
      <c r="BG287" s="578"/>
      <c r="BH287" s="578"/>
      <c r="BI287" s="578"/>
      <c r="BJ287" s="578"/>
      <c r="BK287" s="578"/>
      <c r="BL287" s="578"/>
      <c r="BM287" s="578"/>
      <c r="BN287" s="578"/>
      <c r="BO287" s="578"/>
      <c r="BP287" s="578"/>
      <c r="BQ287" s="578"/>
      <c r="BR287" s="578"/>
      <c r="BS287" s="578"/>
      <c r="BT287" s="578"/>
      <c r="BU287" s="578"/>
      <c r="BV287" s="578"/>
      <c r="BW287" s="578"/>
    </row>
    <row r="288" spans="2:75" ht="14.25" customHeight="1" x14ac:dyDescent="0.3">
      <c r="B288" s="823"/>
      <c r="D288" s="824"/>
      <c r="I288" s="825"/>
      <c r="AR288" s="826"/>
      <c r="AY288" s="827"/>
      <c r="BD288" s="577"/>
      <c r="BE288" s="578"/>
      <c r="BF288" s="578"/>
      <c r="BG288" s="578"/>
      <c r="BH288" s="578"/>
      <c r="BI288" s="578"/>
      <c r="BJ288" s="578"/>
      <c r="BK288" s="578"/>
      <c r="BL288" s="578"/>
      <c r="BM288" s="578"/>
      <c r="BN288" s="578"/>
      <c r="BO288" s="578"/>
      <c r="BP288" s="578"/>
      <c r="BQ288" s="578"/>
      <c r="BR288" s="578"/>
      <c r="BS288" s="578"/>
      <c r="BT288" s="578"/>
      <c r="BU288" s="578"/>
      <c r="BV288" s="578"/>
      <c r="BW288" s="578"/>
    </row>
    <row r="289" spans="2:75" ht="14.25" customHeight="1" x14ac:dyDescent="0.3">
      <c r="B289" s="823"/>
      <c r="D289" s="824"/>
      <c r="I289" s="825"/>
      <c r="AR289" s="826"/>
      <c r="AY289" s="827"/>
      <c r="BD289" s="577"/>
      <c r="BE289" s="578"/>
      <c r="BF289" s="578"/>
      <c r="BG289" s="578"/>
      <c r="BH289" s="578"/>
      <c r="BI289" s="578"/>
      <c r="BJ289" s="578"/>
      <c r="BK289" s="578"/>
      <c r="BL289" s="578"/>
      <c r="BM289" s="578"/>
      <c r="BN289" s="578"/>
      <c r="BO289" s="578"/>
      <c r="BP289" s="578"/>
      <c r="BQ289" s="578"/>
      <c r="BR289" s="578"/>
      <c r="BS289" s="578"/>
      <c r="BT289" s="578"/>
      <c r="BU289" s="578"/>
      <c r="BV289" s="578"/>
      <c r="BW289" s="578"/>
    </row>
    <row r="290" spans="2:75" ht="14.25" customHeight="1" x14ac:dyDescent="0.3">
      <c r="B290" s="823"/>
      <c r="D290" s="824"/>
      <c r="I290" s="825"/>
      <c r="AR290" s="826"/>
      <c r="AY290" s="827"/>
      <c r="BD290" s="577"/>
      <c r="BE290" s="578"/>
      <c r="BF290" s="578"/>
      <c r="BG290" s="578"/>
      <c r="BH290" s="578"/>
      <c r="BI290" s="578"/>
      <c r="BJ290" s="578"/>
      <c r="BK290" s="578"/>
      <c r="BL290" s="578"/>
      <c r="BM290" s="578"/>
      <c r="BN290" s="578"/>
      <c r="BO290" s="578"/>
      <c r="BP290" s="578"/>
      <c r="BQ290" s="578"/>
      <c r="BR290" s="578"/>
      <c r="BS290" s="578"/>
      <c r="BT290" s="578"/>
      <c r="BU290" s="578"/>
      <c r="BV290" s="578"/>
      <c r="BW290" s="578"/>
    </row>
    <row r="291" spans="2:75" ht="14.25" customHeight="1" x14ac:dyDescent="0.3">
      <c r="B291" s="823"/>
      <c r="D291" s="824"/>
      <c r="I291" s="825"/>
      <c r="AR291" s="826"/>
      <c r="AY291" s="827"/>
      <c r="BD291" s="577"/>
      <c r="BE291" s="578"/>
      <c r="BF291" s="578"/>
      <c r="BG291" s="578"/>
      <c r="BH291" s="578"/>
      <c r="BI291" s="578"/>
      <c r="BJ291" s="578"/>
      <c r="BK291" s="578"/>
      <c r="BL291" s="578"/>
      <c r="BM291" s="578"/>
      <c r="BN291" s="578"/>
      <c r="BO291" s="578"/>
      <c r="BP291" s="578"/>
      <c r="BQ291" s="578"/>
      <c r="BR291" s="578"/>
      <c r="BS291" s="578"/>
      <c r="BT291" s="578"/>
      <c r="BU291" s="578"/>
      <c r="BV291" s="578"/>
      <c r="BW291" s="578"/>
    </row>
    <row r="292" spans="2:75" ht="14.25" customHeight="1" x14ac:dyDescent="0.3">
      <c r="B292" s="823"/>
      <c r="D292" s="824"/>
      <c r="I292" s="825"/>
      <c r="AR292" s="826"/>
      <c r="AY292" s="827"/>
      <c r="BD292" s="577"/>
      <c r="BE292" s="578"/>
      <c r="BF292" s="578"/>
      <c r="BG292" s="578"/>
      <c r="BH292" s="578"/>
      <c r="BI292" s="578"/>
      <c r="BJ292" s="578"/>
      <c r="BK292" s="578"/>
      <c r="BL292" s="578"/>
      <c r="BM292" s="578"/>
      <c r="BN292" s="578"/>
      <c r="BO292" s="578"/>
      <c r="BP292" s="578"/>
      <c r="BQ292" s="578"/>
      <c r="BR292" s="578"/>
      <c r="BS292" s="578"/>
      <c r="BT292" s="578"/>
      <c r="BU292" s="578"/>
      <c r="BV292" s="578"/>
      <c r="BW292" s="578"/>
    </row>
    <row r="293" spans="2:75" ht="14.25" customHeight="1" x14ac:dyDescent="0.3">
      <c r="B293" s="823"/>
      <c r="D293" s="824"/>
      <c r="I293" s="825"/>
      <c r="AR293" s="826"/>
      <c r="AY293" s="827"/>
      <c r="BD293" s="577"/>
      <c r="BE293" s="578"/>
      <c r="BF293" s="578"/>
      <c r="BG293" s="578"/>
      <c r="BH293" s="578"/>
      <c r="BI293" s="578"/>
      <c r="BJ293" s="578"/>
      <c r="BK293" s="578"/>
      <c r="BL293" s="578"/>
      <c r="BM293" s="578"/>
      <c r="BN293" s="578"/>
      <c r="BO293" s="578"/>
      <c r="BP293" s="578"/>
      <c r="BQ293" s="578"/>
      <c r="BR293" s="578"/>
      <c r="BS293" s="578"/>
      <c r="BT293" s="578"/>
      <c r="BU293" s="578"/>
      <c r="BV293" s="578"/>
      <c r="BW293" s="578"/>
    </row>
    <row r="294" spans="2:75" ht="14.25" customHeight="1" x14ac:dyDescent="0.3">
      <c r="B294" s="823"/>
      <c r="D294" s="824"/>
      <c r="I294" s="825"/>
      <c r="AR294" s="826"/>
      <c r="AY294" s="827"/>
      <c r="BD294" s="577"/>
      <c r="BE294" s="578"/>
      <c r="BF294" s="578"/>
      <c r="BG294" s="578"/>
      <c r="BH294" s="578"/>
      <c r="BI294" s="578"/>
      <c r="BJ294" s="578"/>
      <c r="BK294" s="578"/>
      <c r="BL294" s="578"/>
      <c r="BM294" s="578"/>
      <c r="BN294" s="578"/>
      <c r="BO294" s="578"/>
      <c r="BP294" s="578"/>
      <c r="BQ294" s="578"/>
      <c r="BR294" s="578"/>
      <c r="BS294" s="578"/>
      <c r="BT294" s="578"/>
      <c r="BU294" s="578"/>
      <c r="BV294" s="578"/>
      <c r="BW294" s="578"/>
    </row>
    <row r="295" spans="2:75" ht="14.25" customHeight="1" x14ac:dyDescent="0.3">
      <c r="B295" s="823"/>
      <c r="D295" s="824"/>
      <c r="I295" s="825"/>
      <c r="AR295" s="826"/>
      <c r="AY295" s="827"/>
      <c r="BD295" s="577"/>
      <c r="BE295" s="578"/>
      <c r="BF295" s="578"/>
      <c r="BG295" s="578"/>
      <c r="BH295" s="578"/>
      <c r="BI295" s="578"/>
      <c r="BJ295" s="578"/>
      <c r="BK295" s="578"/>
      <c r="BL295" s="578"/>
      <c r="BM295" s="578"/>
      <c r="BN295" s="578"/>
      <c r="BO295" s="578"/>
      <c r="BP295" s="578"/>
      <c r="BQ295" s="578"/>
      <c r="BR295" s="578"/>
      <c r="BS295" s="578"/>
      <c r="BT295" s="578"/>
      <c r="BU295" s="578"/>
      <c r="BV295" s="578"/>
      <c r="BW295" s="578"/>
    </row>
    <row r="296" spans="2:75" ht="14.25" customHeight="1" x14ac:dyDescent="0.3">
      <c r="B296" s="823"/>
      <c r="D296" s="824"/>
      <c r="I296" s="825"/>
      <c r="AR296" s="826"/>
      <c r="AY296" s="827"/>
      <c r="BD296" s="577"/>
      <c r="BE296" s="578"/>
      <c r="BF296" s="578"/>
      <c r="BG296" s="578"/>
      <c r="BH296" s="578"/>
      <c r="BI296" s="578"/>
      <c r="BJ296" s="578"/>
      <c r="BK296" s="578"/>
      <c r="BL296" s="578"/>
      <c r="BM296" s="578"/>
      <c r="BN296" s="578"/>
      <c r="BO296" s="578"/>
      <c r="BP296" s="578"/>
      <c r="BQ296" s="578"/>
      <c r="BR296" s="578"/>
      <c r="BS296" s="578"/>
      <c r="BT296" s="578"/>
      <c r="BU296" s="578"/>
      <c r="BV296" s="578"/>
      <c r="BW296" s="578"/>
    </row>
    <row r="297" spans="2:75" ht="14.25" customHeight="1" x14ac:dyDescent="0.3">
      <c r="B297" s="823"/>
      <c r="D297" s="824"/>
      <c r="I297" s="825"/>
      <c r="AR297" s="826"/>
      <c r="AY297" s="827"/>
      <c r="BD297" s="577"/>
      <c r="BE297" s="578"/>
      <c r="BF297" s="578"/>
      <c r="BG297" s="578"/>
      <c r="BH297" s="578"/>
      <c r="BI297" s="578"/>
      <c r="BJ297" s="578"/>
      <c r="BK297" s="578"/>
      <c r="BL297" s="578"/>
      <c r="BM297" s="578"/>
      <c r="BN297" s="578"/>
      <c r="BO297" s="578"/>
      <c r="BP297" s="578"/>
      <c r="BQ297" s="578"/>
      <c r="BR297" s="578"/>
      <c r="BS297" s="578"/>
      <c r="BT297" s="578"/>
      <c r="BU297" s="578"/>
      <c r="BV297" s="578"/>
      <c r="BW297" s="578"/>
    </row>
    <row r="298" spans="2:75" ht="14.25" customHeight="1" x14ac:dyDescent="0.3">
      <c r="B298" s="823"/>
      <c r="D298" s="824"/>
      <c r="I298" s="825"/>
      <c r="AR298" s="826"/>
      <c r="AY298" s="827"/>
      <c r="BD298" s="577"/>
      <c r="BE298" s="578"/>
      <c r="BF298" s="578"/>
      <c r="BG298" s="578"/>
      <c r="BH298" s="578"/>
      <c r="BI298" s="578"/>
      <c r="BJ298" s="578"/>
      <c r="BK298" s="578"/>
      <c r="BL298" s="578"/>
      <c r="BM298" s="578"/>
      <c r="BN298" s="578"/>
      <c r="BO298" s="578"/>
      <c r="BP298" s="578"/>
      <c r="BQ298" s="578"/>
      <c r="BR298" s="578"/>
      <c r="BS298" s="578"/>
      <c r="BT298" s="578"/>
      <c r="BU298" s="578"/>
      <c r="BV298" s="578"/>
      <c r="BW298" s="578"/>
    </row>
    <row r="299" spans="2:75" ht="14.25" customHeight="1" x14ac:dyDescent="0.3">
      <c r="B299" s="823"/>
      <c r="D299" s="824"/>
      <c r="I299" s="825"/>
      <c r="AR299" s="826"/>
      <c r="AY299" s="827"/>
      <c r="BD299" s="577"/>
      <c r="BE299" s="578"/>
      <c r="BF299" s="578"/>
      <c r="BG299" s="578"/>
      <c r="BH299" s="578"/>
      <c r="BI299" s="578"/>
      <c r="BJ299" s="578"/>
      <c r="BK299" s="578"/>
      <c r="BL299" s="578"/>
      <c r="BM299" s="578"/>
      <c r="BN299" s="578"/>
      <c r="BO299" s="578"/>
      <c r="BP299" s="578"/>
      <c r="BQ299" s="578"/>
      <c r="BR299" s="578"/>
      <c r="BS299" s="578"/>
      <c r="BT299" s="578"/>
      <c r="BU299" s="578"/>
      <c r="BV299" s="578"/>
      <c r="BW299" s="578"/>
    </row>
    <row r="300" spans="2:75" ht="14.25" customHeight="1" x14ac:dyDescent="0.3">
      <c r="B300" s="823"/>
      <c r="D300" s="824"/>
      <c r="I300" s="825"/>
      <c r="AR300" s="826"/>
      <c r="AY300" s="827"/>
      <c r="BD300" s="577"/>
      <c r="BE300" s="578"/>
      <c r="BF300" s="578"/>
      <c r="BG300" s="578"/>
      <c r="BH300" s="578"/>
      <c r="BI300" s="578"/>
      <c r="BJ300" s="578"/>
      <c r="BK300" s="578"/>
      <c r="BL300" s="578"/>
      <c r="BM300" s="578"/>
      <c r="BN300" s="578"/>
      <c r="BO300" s="578"/>
      <c r="BP300" s="578"/>
      <c r="BQ300" s="578"/>
      <c r="BR300" s="578"/>
      <c r="BS300" s="578"/>
      <c r="BT300" s="578"/>
      <c r="BU300" s="578"/>
      <c r="BV300" s="578"/>
      <c r="BW300" s="578"/>
    </row>
    <row r="301" spans="2:75" ht="14.25" customHeight="1" x14ac:dyDescent="0.3">
      <c r="B301" s="823"/>
      <c r="D301" s="824"/>
      <c r="I301" s="825"/>
      <c r="AR301" s="826"/>
      <c r="AY301" s="827"/>
      <c r="BD301" s="577"/>
      <c r="BE301" s="578"/>
      <c r="BF301" s="578"/>
      <c r="BG301" s="578"/>
      <c r="BH301" s="578"/>
      <c r="BI301" s="578"/>
      <c r="BJ301" s="578"/>
      <c r="BK301" s="578"/>
      <c r="BL301" s="578"/>
      <c r="BM301" s="578"/>
      <c r="BN301" s="578"/>
      <c r="BO301" s="578"/>
      <c r="BP301" s="578"/>
      <c r="BQ301" s="578"/>
      <c r="BR301" s="578"/>
      <c r="BS301" s="578"/>
      <c r="BT301" s="578"/>
      <c r="BU301" s="578"/>
      <c r="BV301" s="578"/>
      <c r="BW301" s="578"/>
    </row>
    <row r="302" spans="2:75" ht="14.25" customHeight="1" x14ac:dyDescent="0.3">
      <c r="B302" s="823"/>
      <c r="D302" s="824"/>
      <c r="I302" s="825"/>
      <c r="AR302" s="826"/>
      <c r="AY302" s="827"/>
      <c r="BD302" s="577"/>
      <c r="BE302" s="578"/>
      <c r="BF302" s="578"/>
      <c r="BG302" s="578"/>
      <c r="BH302" s="578"/>
      <c r="BI302" s="578"/>
      <c r="BJ302" s="578"/>
      <c r="BK302" s="578"/>
      <c r="BL302" s="578"/>
      <c r="BM302" s="578"/>
      <c r="BN302" s="578"/>
      <c r="BO302" s="578"/>
      <c r="BP302" s="578"/>
      <c r="BQ302" s="578"/>
      <c r="BR302" s="578"/>
      <c r="BS302" s="578"/>
      <c r="BT302" s="578"/>
      <c r="BU302" s="578"/>
      <c r="BV302" s="578"/>
      <c r="BW302" s="578"/>
    </row>
    <row r="303" spans="2:75" ht="14.25" customHeight="1" x14ac:dyDescent="0.3">
      <c r="B303" s="823"/>
      <c r="D303" s="824"/>
      <c r="I303" s="825"/>
      <c r="AR303" s="826"/>
      <c r="AY303" s="827"/>
      <c r="BD303" s="577"/>
      <c r="BE303" s="578"/>
      <c r="BF303" s="578"/>
      <c r="BG303" s="578"/>
      <c r="BH303" s="578"/>
      <c r="BI303" s="578"/>
      <c r="BJ303" s="578"/>
      <c r="BK303" s="578"/>
      <c r="BL303" s="578"/>
      <c r="BM303" s="578"/>
      <c r="BN303" s="578"/>
      <c r="BO303" s="578"/>
      <c r="BP303" s="578"/>
      <c r="BQ303" s="578"/>
      <c r="BR303" s="578"/>
      <c r="BS303" s="578"/>
      <c r="BT303" s="578"/>
      <c r="BU303" s="578"/>
      <c r="BV303" s="578"/>
      <c r="BW303" s="578"/>
    </row>
    <row r="304" spans="2:75" ht="14.25" customHeight="1" x14ac:dyDescent="0.3">
      <c r="B304" s="823"/>
      <c r="D304" s="824"/>
      <c r="I304" s="825"/>
      <c r="AR304" s="826"/>
      <c r="AY304" s="827"/>
      <c r="BD304" s="577"/>
      <c r="BE304" s="578"/>
      <c r="BF304" s="578"/>
      <c r="BG304" s="578"/>
      <c r="BH304" s="578"/>
      <c r="BI304" s="578"/>
      <c r="BJ304" s="578"/>
      <c r="BK304" s="578"/>
      <c r="BL304" s="578"/>
      <c r="BM304" s="578"/>
      <c r="BN304" s="578"/>
      <c r="BO304" s="578"/>
      <c r="BP304" s="578"/>
      <c r="BQ304" s="578"/>
      <c r="BR304" s="578"/>
      <c r="BS304" s="578"/>
      <c r="BT304" s="578"/>
      <c r="BU304" s="578"/>
      <c r="BV304" s="578"/>
      <c r="BW304" s="578"/>
    </row>
    <row r="305" spans="2:75" ht="14.25" customHeight="1" x14ac:dyDescent="0.3">
      <c r="B305" s="823"/>
      <c r="D305" s="824"/>
      <c r="I305" s="825"/>
      <c r="AR305" s="826"/>
      <c r="AY305" s="827"/>
      <c r="BD305" s="577"/>
      <c r="BE305" s="578"/>
      <c r="BF305" s="578"/>
      <c r="BG305" s="578"/>
      <c r="BH305" s="578"/>
      <c r="BI305" s="578"/>
      <c r="BJ305" s="578"/>
      <c r="BK305" s="578"/>
      <c r="BL305" s="578"/>
      <c r="BM305" s="578"/>
      <c r="BN305" s="578"/>
      <c r="BO305" s="578"/>
      <c r="BP305" s="578"/>
      <c r="BQ305" s="578"/>
      <c r="BR305" s="578"/>
      <c r="BS305" s="578"/>
      <c r="BT305" s="578"/>
      <c r="BU305" s="578"/>
      <c r="BV305" s="578"/>
      <c r="BW305" s="578"/>
    </row>
    <row r="306" spans="2:75" ht="14.25" customHeight="1" x14ac:dyDescent="0.3">
      <c r="B306" s="823"/>
      <c r="D306" s="824"/>
      <c r="I306" s="825"/>
      <c r="AR306" s="826"/>
      <c r="AY306" s="827"/>
      <c r="BD306" s="577"/>
      <c r="BE306" s="578"/>
      <c r="BF306" s="578"/>
      <c r="BG306" s="578"/>
      <c r="BH306" s="578"/>
      <c r="BI306" s="578"/>
      <c r="BJ306" s="578"/>
      <c r="BK306" s="578"/>
      <c r="BL306" s="578"/>
      <c r="BM306" s="578"/>
      <c r="BN306" s="578"/>
      <c r="BO306" s="578"/>
      <c r="BP306" s="578"/>
      <c r="BQ306" s="578"/>
      <c r="BR306" s="578"/>
      <c r="BS306" s="578"/>
      <c r="BT306" s="578"/>
      <c r="BU306" s="578"/>
      <c r="BV306" s="578"/>
      <c r="BW306" s="578"/>
    </row>
    <row r="307" spans="2:75" ht="14.25" customHeight="1" x14ac:dyDescent="0.3">
      <c r="B307" s="823"/>
      <c r="D307" s="824"/>
      <c r="I307" s="825"/>
      <c r="AR307" s="826"/>
      <c r="AY307" s="827"/>
      <c r="BD307" s="577"/>
      <c r="BE307" s="578"/>
      <c r="BF307" s="578"/>
      <c r="BG307" s="578"/>
      <c r="BH307" s="578"/>
      <c r="BI307" s="578"/>
      <c r="BJ307" s="578"/>
      <c r="BK307" s="578"/>
      <c r="BL307" s="578"/>
      <c r="BM307" s="578"/>
      <c r="BN307" s="578"/>
      <c r="BO307" s="578"/>
      <c r="BP307" s="578"/>
      <c r="BQ307" s="578"/>
      <c r="BR307" s="578"/>
      <c r="BS307" s="578"/>
      <c r="BT307" s="578"/>
      <c r="BU307" s="578"/>
      <c r="BV307" s="578"/>
      <c r="BW307" s="578"/>
    </row>
    <row r="308" spans="2:75" ht="14.25" customHeight="1" x14ac:dyDescent="0.3">
      <c r="B308" s="823"/>
      <c r="D308" s="824"/>
      <c r="I308" s="825"/>
      <c r="AR308" s="826"/>
      <c r="AY308" s="827"/>
      <c r="BD308" s="577"/>
      <c r="BE308" s="578"/>
      <c r="BF308" s="578"/>
      <c r="BG308" s="578"/>
      <c r="BH308" s="578"/>
      <c r="BI308" s="578"/>
      <c r="BJ308" s="578"/>
      <c r="BK308" s="578"/>
      <c r="BL308" s="578"/>
      <c r="BM308" s="578"/>
      <c r="BN308" s="578"/>
      <c r="BO308" s="578"/>
      <c r="BP308" s="578"/>
      <c r="BQ308" s="578"/>
      <c r="BR308" s="578"/>
      <c r="BS308" s="578"/>
      <c r="BT308" s="578"/>
      <c r="BU308" s="578"/>
      <c r="BV308" s="578"/>
      <c r="BW308" s="578"/>
    </row>
    <row r="309" spans="2:75" ht="14.25" customHeight="1" x14ac:dyDescent="0.3">
      <c r="B309" s="823"/>
      <c r="D309" s="824"/>
      <c r="I309" s="825"/>
      <c r="AR309" s="826"/>
      <c r="AY309" s="827"/>
      <c r="BD309" s="577"/>
      <c r="BE309" s="578"/>
      <c r="BF309" s="578"/>
      <c r="BG309" s="578"/>
      <c r="BH309" s="578"/>
      <c r="BI309" s="578"/>
      <c r="BJ309" s="578"/>
      <c r="BK309" s="578"/>
      <c r="BL309" s="578"/>
      <c r="BM309" s="578"/>
      <c r="BN309" s="578"/>
      <c r="BO309" s="578"/>
      <c r="BP309" s="578"/>
      <c r="BQ309" s="578"/>
      <c r="BR309" s="578"/>
      <c r="BS309" s="578"/>
      <c r="BT309" s="578"/>
      <c r="BU309" s="578"/>
      <c r="BV309" s="578"/>
      <c r="BW309" s="578"/>
    </row>
    <row r="310" spans="2:75" ht="14.25" customHeight="1" x14ac:dyDescent="0.3">
      <c r="B310" s="823"/>
      <c r="D310" s="824"/>
      <c r="I310" s="825"/>
      <c r="AR310" s="826"/>
      <c r="AY310" s="827"/>
      <c r="BD310" s="577"/>
      <c r="BE310" s="578"/>
      <c r="BF310" s="578"/>
      <c r="BG310" s="578"/>
      <c r="BH310" s="578"/>
      <c r="BI310" s="578"/>
      <c r="BJ310" s="578"/>
      <c r="BK310" s="578"/>
      <c r="BL310" s="578"/>
      <c r="BM310" s="578"/>
      <c r="BN310" s="578"/>
      <c r="BO310" s="578"/>
      <c r="BP310" s="578"/>
      <c r="BQ310" s="578"/>
      <c r="BR310" s="578"/>
      <c r="BS310" s="578"/>
      <c r="BT310" s="578"/>
      <c r="BU310" s="578"/>
      <c r="BV310" s="578"/>
      <c r="BW310" s="578"/>
    </row>
    <row r="311" spans="2:75" ht="14.25" customHeight="1" x14ac:dyDescent="0.3">
      <c r="B311" s="823"/>
      <c r="D311" s="824"/>
      <c r="I311" s="825"/>
      <c r="AR311" s="826"/>
      <c r="AY311" s="827"/>
      <c r="BD311" s="577"/>
      <c r="BE311" s="578"/>
      <c r="BF311" s="578"/>
      <c r="BG311" s="578"/>
      <c r="BH311" s="578"/>
      <c r="BI311" s="578"/>
      <c r="BJ311" s="578"/>
      <c r="BK311" s="578"/>
      <c r="BL311" s="578"/>
      <c r="BM311" s="578"/>
      <c r="BN311" s="578"/>
      <c r="BO311" s="578"/>
      <c r="BP311" s="578"/>
      <c r="BQ311" s="578"/>
      <c r="BR311" s="578"/>
      <c r="BS311" s="578"/>
      <c r="BT311" s="578"/>
      <c r="BU311" s="578"/>
      <c r="BV311" s="578"/>
      <c r="BW311" s="578"/>
    </row>
    <row r="312" spans="2:75" ht="14.25" customHeight="1" x14ac:dyDescent="0.3">
      <c r="B312" s="823"/>
      <c r="D312" s="824"/>
      <c r="I312" s="825"/>
      <c r="AR312" s="826"/>
      <c r="AY312" s="827"/>
      <c r="BD312" s="577"/>
      <c r="BE312" s="578"/>
      <c r="BF312" s="578"/>
      <c r="BG312" s="578"/>
      <c r="BH312" s="578"/>
      <c r="BI312" s="578"/>
      <c r="BJ312" s="578"/>
      <c r="BK312" s="578"/>
      <c r="BL312" s="578"/>
      <c r="BM312" s="578"/>
      <c r="BN312" s="578"/>
      <c r="BO312" s="578"/>
      <c r="BP312" s="578"/>
      <c r="BQ312" s="578"/>
      <c r="BR312" s="578"/>
      <c r="BS312" s="578"/>
      <c r="BT312" s="578"/>
      <c r="BU312" s="578"/>
      <c r="BV312" s="578"/>
      <c r="BW312" s="578"/>
    </row>
    <row r="313" spans="2:75" ht="14.25" customHeight="1" x14ac:dyDescent="0.3">
      <c r="B313" s="823"/>
      <c r="D313" s="824"/>
      <c r="I313" s="825"/>
      <c r="AR313" s="826"/>
      <c r="AY313" s="827"/>
      <c r="BD313" s="577"/>
      <c r="BE313" s="578"/>
      <c r="BF313" s="578"/>
      <c r="BG313" s="578"/>
      <c r="BH313" s="578"/>
      <c r="BI313" s="578"/>
      <c r="BJ313" s="578"/>
      <c r="BK313" s="578"/>
      <c r="BL313" s="578"/>
      <c r="BM313" s="578"/>
      <c r="BN313" s="578"/>
      <c r="BO313" s="578"/>
      <c r="BP313" s="578"/>
      <c r="BQ313" s="578"/>
      <c r="BR313" s="578"/>
      <c r="BS313" s="578"/>
      <c r="BT313" s="578"/>
      <c r="BU313" s="578"/>
      <c r="BV313" s="578"/>
      <c r="BW313" s="578"/>
    </row>
    <row r="314" spans="2:75" ht="14.25" customHeight="1" x14ac:dyDescent="0.3">
      <c r="B314" s="823"/>
      <c r="D314" s="824"/>
      <c r="I314" s="825"/>
      <c r="AR314" s="826"/>
      <c r="AY314" s="827"/>
      <c r="BD314" s="577"/>
      <c r="BE314" s="578"/>
      <c r="BF314" s="578"/>
      <c r="BG314" s="578"/>
      <c r="BH314" s="578"/>
      <c r="BI314" s="578"/>
      <c r="BJ314" s="578"/>
      <c r="BK314" s="578"/>
      <c r="BL314" s="578"/>
      <c r="BM314" s="578"/>
      <c r="BN314" s="578"/>
      <c r="BO314" s="578"/>
      <c r="BP314" s="578"/>
      <c r="BQ314" s="578"/>
      <c r="BR314" s="578"/>
      <c r="BS314" s="578"/>
      <c r="BT314" s="578"/>
      <c r="BU314" s="578"/>
      <c r="BV314" s="578"/>
      <c r="BW314" s="578"/>
    </row>
    <row r="315" spans="2:75" ht="14.25" customHeight="1" x14ac:dyDescent="0.3">
      <c r="B315" s="823"/>
      <c r="D315" s="824"/>
      <c r="I315" s="825"/>
      <c r="AR315" s="826"/>
      <c r="AY315" s="827"/>
      <c r="BD315" s="577"/>
      <c r="BE315" s="578"/>
      <c r="BF315" s="578"/>
      <c r="BG315" s="578"/>
      <c r="BH315" s="578"/>
      <c r="BI315" s="578"/>
      <c r="BJ315" s="578"/>
      <c r="BK315" s="578"/>
      <c r="BL315" s="578"/>
      <c r="BM315" s="578"/>
      <c r="BN315" s="578"/>
      <c r="BO315" s="578"/>
      <c r="BP315" s="578"/>
      <c r="BQ315" s="578"/>
      <c r="BR315" s="578"/>
      <c r="BS315" s="578"/>
      <c r="BT315" s="578"/>
      <c r="BU315" s="578"/>
      <c r="BV315" s="578"/>
      <c r="BW315" s="578"/>
    </row>
    <row r="316" spans="2:75" ht="14.25" customHeight="1" x14ac:dyDescent="0.3">
      <c r="B316" s="823"/>
      <c r="D316" s="824"/>
      <c r="I316" s="825"/>
      <c r="AR316" s="826"/>
      <c r="AY316" s="827"/>
      <c r="BD316" s="577"/>
      <c r="BE316" s="578"/>
      <c r="BF316" s="578"/>
      <c r="BG316" s="578"/>
      <c r="BH316" s="578"/>
      <c r="BI316" s="578"/>
      <c r="BJ316" s="578"/>
      <c r="BK316" s="578"/>
      <c r="BL316" s="578"/>
      <c r="BM316" s="578"/>
      <c r="BN316" s="578"/>
      <c r="BO316" s="578"/>
      <c r="BP316" s="578"/>
      <c r="BQ316" s="578"/>
      <c r="BR316" s="578"/>
      <c r="BS316" s="578"/>
      <c r="BT316" s="578"/>
      <c r="BU316" s="578"/>
      <c r="BV316" s="578"/>
      <c r="BW316" s="578"/>
    </row>
    <row r="317" spans="2:75" ht="14.25" customHeight="1" x14ac:dyDescent="0.3">
      <c r="B317" s="823"/>
      <c r="D317" s="824"/>
      <c r="I317" s="825"/>
      <c r="AR317" s="826"/>
      <c r="AY317" s="827"/>
      <c r="BD317" s="577"/>
      <c r="BE317" s="578"/>
      <c r="BF317" s="578"/>
      <c r="BG317" s="578"/>
      <c r="BH317" s="578"/>
      <c r="BI317" s="578"/>
      <c r="BJ317" s="578"/>
      <c r="BK317" s="578"/>
      <c r="BL317" s="578"/>
      <c r="BM317" s="578"/>
      <c r="BN317" s="578"/>
      <c r="BO317" s="578"/>
      <c r="BP317" s="578"/>
      <c r="BQ317" s="578"/>
      <c r="BR317" s="578"/>
      <c r="BS317" s="578"/>
      <c r="BT317" s="578"/>
      <c r="BU317" s="578"/>
      <c r="BV317" s="578"/>
      <c r="BW317" s="578"/>
    </row>
    <row r="318" spans="2:75" ht="14.25" customHeight="1" x14ac:dyDescent="0.3">
      <c r="B318" s="823"/>
      <c r="D318" s="824"/>
      <c r="I318" s="825"/>
      <c r="AR318" s="826"/>
      <c r="AY318" s="827"/>
      <c r="BD318" s="577"/>
      <c r="BE318" s="578"/>
      <c r="BF318" s="578"/>
      <c r="BG318" s="578"/>
      <c r="BH318" s="578"/>
      <c r="BI318" s="578"/>
      <c r="BJ318" s="578"/>
      <c r="BK318" s="578"/>
      <c r="BL318" s="578"/>
      <c r="BM318" s="578"/>
      <c r="BN318" s="578"/>
      <c r="BO318" s="578"/>
      <c r="BP318" s="578"/>
      <c r="BQ318" s="578"/>
      <c r="BR318" s="578"/>
      <c r="BS318" s="578"/>
      <c r="BT318" s="578"/>
      <c r="BU318" s="578"/>
      <c r="BV318" s="578"/>
      <c r="BW318" s="578"/>
    </row>
    <row r="319" spans="2:75" ht="14.25" customHeight="1" x14ac:dyDescent="0.3">
      <c r="B319" s="823"/>
      <c r="D319" s="824"/>
      <c r="I319" s="825"/>
      <c r="AR319" s="826"/>
      <c r="AY319" s="827"/>
      <c r="BD319" s="577"/>
      <c r="BE319" s="578"/>
      <c r="BF319" s="578"/>
      <c r="BG319" s="578"/>
      <c r="BH319" s="578"/>
      <c r="BI319" s="578"/>
      <c r="BJ319" s="578"/>
      <c r="BK319" s="578"/>
      <c r="BL319" s="578"/>
      <c r="BM319" s="578"/>
      <c r="BN319" s="578"/>
      <c r="BO319" s="578"/>
      <c r="BP319" s="578"/>
      <c r="BQ319" s="578"/>
      <c r="BR319" s="578"/>
      <c r="BS319" s="578"/>
      <c r="BT319" s="578"/>
      <c r="BU319" s="578"/>
      <c r="BV319" s="578"/>
      <c r="BW319" s="578"/>
    </row>
    <row r="320" spans="2:75" ht="14.25" customHeight="1" x14ac:dyDescent="0.3">
      <c r="B320" s="823"/>
      <c r="D320" s="824"/>
      <c r="I320" s="825"/>
      <c r="AR320" s="826"/>
      <c r="AY320" s="827"/>
      <c r="BD320" s="577"/>
      <c r="BE320" s="578"/>
      <c r="BF320" s="578"/>
      <c r="BG320" s="578"/>
      <c r="BH320" s="578"/>
      <c r="BI320" s="578"/>
      <c r="BJ320" s="578"/>
      <c r="BK320" s="578"/>
      <c r="BL320" s="578"/>
      <c r="BM320" s="578"/>
      <c r="BN320" s="578"/>
      <c r="BO320" s="578"/>
      <c r="BP320" s="578"/>
      <c r="BQ320" s="578"/>
      <c r="BR320" s="578"/>
      <c r="BS320" s="578"/>
      <c r="BT320" s="578"/>
      <c r="BU320" s="578"/>
      <c r="BV320" s="578"/>
      <c r="BW320" s="578"/>
    </row>
    <row r="321" spans="2:75" ht="14.25" customHeight="1" x14ac:dyDescent="0.3">
      <c r="B321" s="823"/>
      <c r="D321" s="824"/>
      <c r="I321" s="825"/>
      <c r="AR321" s="826"/>
      <c r="AY321" s="827"/>
      <c r="BD321" s="577"/>
      <c r="BE321" s="578"/>
      <c r="BF321" s="578"/>
      <c r="BG321" s="578"/>
      <c r="BH321" s="578"/>
      <c r="BI321" s="578"/>
      <c r="BJ321" s="578"/>
      <c r="BK321" s="578"/>
      <c r="BL321" s="578"/>
      <c r="BM321" s="578"/>
      <c r="BN321" s="578"/>
      <c r="BO321" s="578"/>
      <c r="BP321" s="578"/>
      <c r="BQ321" s="578"/>
      <c r="BR321" s="578"/>
      <c r="BS321" s="578"/>
      <c r="BT321" s="578"/>
      <c r="BU321" s="578"/>
      <c r="BV321" s="578"/>
      <c r="BW321" s="578"/>
    </row>
    <row r="322" spans="2:75" ht="14.25" customHeight="1" x14ac:dyDescent="0.3">
      <c r="B322" s="823"/>
      <c r="D322" s="824"/>
      <c r="I322" s="825"/>
      <c r="AR322" s="826"/>
      <c r="AY322" s="827"/>
      <c r="BD322" s="577"/>
      <c r="BE322" s="578"/>
      <c r="BF322" s="578"/>
      <c r="BG322" s="578"/>
      <c r="BH322" s="578"/>
      <c r="BI322" s="578"/>
      <c r="BJ322" s="578"/>
      <c r="BK322" s="578"/>
      <c r="BL322" s="578"/>
      <c r="BM322" s="578"/>
      <c r="BN322" s="578"/>
      <c r="BO322" s="578"/>
      <c r="BP322" s="578"/>
      <c r="BQ322" s="578"/>
      <c r="BR322" s="578"/>
      <c r="BS322" s="578"/>
      <c r="BT322" s="578"/>
      <c r="BU322" s="578"/>
      <c r="BV322" s="578"/>
      <c r="BW322" s="578"/>
    </row>
    <row r="323" spans="2:75" ht="14.25" customHeight="1" x14ac:dyDescent="0.3">
      <c r="B323" s="823"/>
      <c r="D323" s="824"/>
      <c r="I323" s="825"/>
      <c r="AR323" s="826"/>
      <c r="AY323" s="827"/>
      <c r="BD323" s="577"/>
      <c r="BE323" s="578"/>
      <c r="BF323" s="578"/>
      <c r="BG323" s="578"/>
      <c r="BH323" s="578"/>
      <c r="BI323" s="578"/>
      <c r="BJ323" s="578"/>
      <c r="BK323" s="578"/>
      <c r="BL323" s="578"/>
      <c r="BM323" s="578"/>
      <c r="BN323" s="578"/>
      <c r="BO323" s="578"/>
      <c r="BP323" s="578"/>
      <c r="BQ323" s="578"/>
      <c r="BR323" s="578"/>
      <c r="BS323" s="578"/>
      <c r="BT323" s="578"/>
      <c r="BU323" s="578"/>
      <c r="BV323" s="578"/>
      <c r="BW323" s="578"/>
    </row>
    <row r="324" spans="2:75" ht="14.25" customHeight="1" x14ac:dyDescent="0.3">
      <c r="B324" s="823"/>
      <c r="D324" s="824"/>
      <c r="I324" s="825"/>
      <c r="AR324" s="826"/>
      <c r="AY324" s="827"/>
      <c r="BD324" s="577"/>
      <c r="BE324" s="578"/>
      <c r="BF324" s="578"/>
      <c r="BG324" s="578"/>
      <c r="BH324" s="578"/>
      <c r="BI324" s="578"/>
      <c r="BJ324" s="578"/>
      <c r="BK324" s="578"/>
      <c r="BL324" s="578"/>
      <c r="BM324" s="578"/>
      <c r="BN324" s="578"/>
      <c r="BO324" s="578"/>
      <c r="BP324" s="578"/>
      <c r="BQ324" s="578"/>
      <c r="BR324" s="578"/>
      <c r="BS324" s="578"/>
      <c r="BT324" s="578"/>
      <c r="BU324" s="578"/>
      <c r="BV324" s="578"/>
      <c r="BW324" s="578"/>
    </row>
    <row r="325" spans="2:75" ht="14.25" customHeight="1" x14ac:dyDescent="0.3">
      <c r="B325" s="823"/>
      <c r="D325" s="824"/>
      <c r="I325" s="825"/>
      <c r="AR325" s="826"/>
      <c r="AY325" s="827"/>
      <c r="BD325" s="577"/>
      <c r="BE325" s="578"/>
      <c r="BF325" s="578"/>
      <c r="BG325" s="578"/>
      <c r="BH325" s="578"/>
      <c r="BI325" s="578"/>
      <c r="BJ325" s="578"/>
      <c r="BK325" s="578"/>
      <c r="BL325" s="578"/>
      <c r="BM325" s="578"/>
      <c r="BN325" s="578"/>
      <c r="BO325" s="578"/>
      <c r="BP325" s="578"/>
      <c r="BQ325" s="578"/>
      <c r="BR325" s="578"/>
      <c r="BS325" s="578"/>
      <c r="BT325" s="578"/>
      <c r="BU325" s="578"/>
      <c r="BV325" s="578"/>
      <c r="BW325" s="578"/>
    </row>
    <row r="326" spans="2:75" ht="14.25" customHeight="1" x14ac:dyDescent="0.3">
      <c r="B326" s="823"/>
      <c r="D326" s="824"/>
      <c r="I326" s="825"/>
      <c r="AR326" s="826"/>
      <c r="AY326" s="827"/>
      <c r="BD326" s="577"/>
      <c r="BE326" s="578"/>
      <c r="BF326" s="578"/>
      <c r="BG326" s="578"/>
      <c r="BH326" s="578"/>
      <c r="BI326" s="578"/>
      <c r="BJ326" s="578"/>
      <c r="BK326" s="578"/>
      <c r="BL326" s="578"/>
      <c r="BM326" s="578"/>
      <c r="BN326" s="578"/>
      <c r="BO326" s="578"/>
      <c r="BP326" s="578"/>
      <c r="BQ326" s="578"/>
      <c r="BR326" s="578"/>
      <c r="BS326" s="578"/>
      <c r="BT326" s="578"/>
      <c r="BU326" s="578"/>
      <c r="BV326" s="578"/>
      <c r="BW326" s="578"/>
    </row>
    <row r="327" spans="2:75" ht="14.25" customHeight="1" x14ac:dyDescent="0.3">
      <c r="B327" s="823"/>
      <c r="D327" s="824"/>
      <c r="I327" s="825"/>
      <c r="AR327" s="826"/>
      <c r="AY327" s="827"/>
      <c r="BD327" s="577"/>
      <c r="BE327" s="578"/>
      <c r="BF327" s="578"/>
      <c r="BG327" s="578"/>
      <c r="BH327" s="578"/>
      <c r="BI327" s="578"/>
      <c r="BJ327" s="578"/>
      <c r="BK327" s="578"/>
      <c r="BL327" s="578"/>
      <c r="BM327" s="578"/>
      <c r="BN327" s="578"/>
      <c r="BO327" s="578"/>
      <c r="BP327" s="578"/>
      <c r="BQ327" s="578"/>
      <c r="BR327" s="578"/>
      <c r="BS327" s="578"/>
      <c r="BT327" s="578"/>
      <c r="BU327" s="578"/>
      <c r="BV327" s="578"/>
      <c r="BW327" s="578"/>
    </row>
    <row r="328" spans="2:75" ht="14.25" customHeight="1" x14ac:dyDescent="0.3">
      <c r="B328" s="823"/>
      <c r="D328" s="824"/>
      <c r="I328" s="825"/>
      <c r="AR328" s="826"/>
      <c r="AY328" s="827"/>
      <c r="BD328" s="577"/>
      <c r="BE328" s="578"/>
      <c r="BF328" s="578"/>
      <c r="BG328" s="578"/>
      <c r="BH328" s="578"/>
      <c r="BI328" s="578"/>
      <c r="BJ328" s="578"/>
      <c r="BK328" s="578"/>
      <c r="BL328" s="578"/>
      <c r="BM328" s="578"/>
      <c r="BN328" s="578"/>
      <c r="BO328" s="578"/>
      <c r="BP328" s="578"/>
      <c r="BQ328" s="578"/>
      <c r="BR328" s="578"/>
      <c r="BS328" s="578"/>
      <c r="BT328" s="578"/>
      <c r="BU328" s="578"/>
      <c r="BV328" s="578"/>
      <c r="BW328" s="578"/>
    </row>
    <row r="329" spans="2:75" ht="14.25" customHeight="1" x14ac:dyDescent="0.3">
      <c r="B329" s="823"/>
      <c r="D329" s="824"/>
      <c r="I329" s="825"/>
      <c r="AR329" s="826"/>
      <c r="AY329" s="827"/>
      <c r="BD329" s="577"/>
      <c r="BE329" s="578"/>
      <c r="BF329" s="578"/>
      <c r="BG329" s="578"/>
      <c r="BH329" s="578"/>
      <c r="BI329" s="578"/>
      <c r="BJ329" s="578"/>
      <c r="BK329" s="578"/>
      <c r="BL329" s="578"/>
      <c r="BM329" s="578"/>
      <c r="BN329" s="578"/>
      <c r="BO329" s="578"/>
      <c r="BP329" s="578"/>
      <c r="BQ329" s="578"/>
      <c r="BR329" s="578"/>
      <c r="BS329" s="578"/>
      <c r="BT329" s="578"/>
      <c r="BU329" s="578"/>
      <c r="BV329" s="578"/>
      <c r="BW329" s="578"/>
    </row>
    <row r="330" spans="2:75" ht="14.25" customHeight="1" x14ac:dyDescent="0.3">
      <c r="B330" s="823"/>
      <c r="D330" s="824"/>
      <c r="I330" s="825"/>
      <c r="AR330" s="826"/>
      <c r="AY330" s="827"/>
      <c r="BD330" s="577"/>
      <c r="BE330" s="578"/>
      <c r="BF330" s="578"/>
      <c r="BG330" s="578"/>
      <c r="BH330" s="578"/>
      <c r="BI330" s="578"/>
      <c r="BJ330" s="578"/>
      <c r="BK330" s="578"/>
      <c r="BL330" s="578"/>
      <c r="BM330" s="578"/>
      <c r="BN330" s="578"/>
      <c r="BO330" s="578"/>
      <c r="BP330" s="578"/>
      <c r="BQ330" s="578"/>
      <c r="BR330" s="578"/>
      <c r="BS330" s="578"/>
      <c r="BT330" s="578"/>
      <c r="BU330" s="578"/>
      <c r="BV330" s="578"/>
      <c r="BW330" s="578"/>
    </row>
    <row r="331" spans="2:75" ht="14.25" customHeight="1" x14ac:dyDescent="0.3">
      <c r="B331" s="823"/>
      <c r="D331" s="824"/>
      <c r="I331" s="825"/>
      <c r="AR331" s="826"/>
      <c r="AY331" s="827"/>
      <c r="BD331" s="577"/>
      <c r="BE331" s="578"/>
      <c r="BF331" s="578"/>
      <c r="BG331" s="578"/>
      <c r="BH331" s="578"/>
      <c r="BI331" s="578"/>
      <c r="BJ331" s="578"/>
      <c r="BK331" s="578"/>
      <c r="BL331" s="578"/>
      <c r="BM331" s="578"/>
      <c r="BN331" s="578"/>
      <c r="BO331" s="578"/>
      <c r="BP331" s="578"/>
      <c r="BQ331" s="578"/>
      <c r="BR331" s="578"/>
      <c r="BS331" s="578"/>
      <c r="BT331" s="578"/>
      <c r="BU331" s="578"/>
      <c r="BV331" s="578"/>
      <c r="BW331" s="578"/>
    </row>
    <row r="332" spans="2:75" ht="14.25" customHeight="1" x14ac:dyDescent="0.3">
      <c r="B332" s="823"/>
      <c r="D332" s="824"/>
      <c r="I332" s="825"/>
      <c r="AR332" s="826"/>
      <c r="AY332" s="827"/>
      <c r="BD332" s="577"/>
      <c r="BE332" s="578"/>
      <c r="BF332" s="578"/>
      <c r="BG332" s="578"/>
      <c r="BH332" s="578"/>
      <c r="BI332" s="578"/>
      <c r="BJ332" s="578"/>
      <c r="BK332" s="578"/>
      <c r="BL332" s="578"/>
      <c r="BM332" s="578"/>
      <c r="BN332" s="578"/>
      <c r="BO332" s="578"/>
      <c r="BP332" s="578"/>
      <c r="BQ332" s="578"/>
      <c r="BR332" s="578"/>
      <c r="BS332" s="578"/>
      <c r="BT332" s="578"/>
      <c r="BU332" s="578"/>
      <c r="BV332" s="578"/>
      <c r="BW332" s="578"/>
    </row>
    <row r="333" spans="2:75" ht="14.25" customHeight="1" x14ac:dyDescent="0.3">
      <c r="B333" s="823"/>
      <c r="D333" s="824"/>
      <c r="I333" s="825"/>
      <c r="AR333" s="826"/>
      <c r="AY333" s="827"/>
      <c r="BD333" s="577"/>
      <c r="BE333" s="578"/>
      <c r="BF333" s="578"/>
      <c r="BG333" s="578"/>
      <c r="BH333" s="578"/>
      <c r="BI333" s="578"/>
      <c r="BJ333" s="578"/>
      <c r="BK333" s="578"/>
      <c r="BL333" s="578"/>
      <c r="BM333" s="578"/>
      <c r="BN333" s="578"/>
      <c r="BO333" s="578"/>
      <c r="BP333" s="578"/>
      <c r="BQ333" s="578"/>
      <c r="BR333" s="578"/>
      <c r="BS333" s="578"/>
      <c r="BT333" s="578"/>
      <c r="BU333" s="578"/>
      <c r="BV333" s="578"/>
      <c r="BW333" s="578"/>
    </row>
    <row r="334" spans="2:75" ht="14.25" customHeight="1" x14ac:dyDescent="0.3">
      <c r="B334" s="823"/>
      <c r="D334" s="824"/>
      <c r="I334" s="825"/>
      <c r="AR334" s="826"/>
      <c r="AY334" s="827"/>
      <c r="BD334" s="577"/>
      <c r="BE334" s="578"/>
      <c r="BF334" s="578"/>
      <c r="BG334" s="578"/>
      <c r="BH334" s="578"/>
      <c r="BI334" s="578"/>
      <c r="BJ334" s="578"/>
      <c r="BK334" s="578"/>
      <c r="BL334" s="578"/>
      <c r="BM334" s="578"/>
      <c r="BN334" s="578"/>
      <c r="BO334" s="578"/>
      <c r="BP334" s="578"/>
      <c r="BQ334" s="578"/>
      <c r="BR334" s="578"/>
      <c r="BS334" s="578"/>
      <c r="BT334" s="578"/>
      <c r="BU334" s="578"/>
      <c r="BV334" s="578"/>
      <c r="BW334" s="578"/>
    </row>
    <row r="335" spans="2:75" ht="14.25" customHeight="1" x14ac:dyDescent="0.3">
      <c r="B335" s="823"/>
      <c r="D335" s="824"/>
      <c r="I335" s="825"/>
      <c r="AR335" s="826"/>
      <c r="AY335" s="827"/>
      <c r="BD335" s="577"/>
      <c r="BE335" s="578"/>
      <c r="BF335" s="578"/>
      <c r="BG335" s="578"/>
      <c r="BH335" s="578"/>
      <c r="BI335" s="578"/>
      <c r="BJ335" s="578"/>
      <c r="BK335" s="578"/>
      <c r="BL335" s="578"/>
      <c r="BM335" s="578"/>
      <c r="BN335" s="578"/>
      <c r="BO335" s="578"/>
      <c r="BP335" s="578"/>
      <c r="BQ335" s="578"/>
      <c r="BR335" s="578"/>
      <c r="BS335" s="578"/>
      <c r="BT335" s="578"/>
      <c r="BU335" s="578"/>
      <c r="BV335" s="578"/>
      <c r="BW335" s="578"/>
    </row>
    <row r="336" spans="2:75" ht="14.25" customHeight="1" x14ac:dyDescent="0.3">
      <c r="B336" s="823"/>
      <c r="D336" s="824"/>
      <c r="I336" s="825"/>
      <c r="AR336" s="826"/>
      <c r="AY336" s="827"/>
      <c r="BD336" s="577"/>
      <c r="BE336" s="578"/>
      <c r="BF336" s="578"/>
      <c r="BG336" s="578"/>
      <c r="BH336" s="578"/>
      <c r="BI336" s="578"/>
      <c r="BJ336" s="578"/>
      <c r="BK336" s="578"/>
      <c r="BL336" s="578"/>
      <c r="BM336" s="578"/>
      <c r="BN336" s="578"/>
      <c r="BO336" s="578"/>
      <c r="BP336" s="578"/>
      <c r="BQ336" s="578"/>
      <c r="BR336" s="578"/>
      <c r="BS336" s="578"/>
      <c r="BT336" s="578"/>
      <c r="BU336" s="578"/>
      <c r="BV336" s="578"/>
      <c r="BW336" s="578"/>
    </row>
    <row r="337" spans="2:75" ht="14.25" customHeight="1" x14ac:dyDescent="0.3">
      <c r="B337" s="823"/>
      <c r="D337" s="824"/>
      <c r="I337" s="825"/>
      <c r="AR337" s="826"/>
      <c r="AY337" s="827"/>
      <c r="BD337" s="577"/>
      <c r="BE337" s="578"/>
      <c r="BF337" s="578"/>
      <c r="BG337" s="578"/>
      <c r="BH337" s="578"/>
      <c r="BI337" s="578"/>
      <c r="BJ337" s="578"/>
      <c r="BK337" s="578"/>
      <c r="BL337" s="578"/>
      <c r="BM337" s="578"/>
      <c r="BN337" s="578"/>
      <c r="BO337" s="578"/>
      <c r="BP337" s="578"/>
      <c r="BQ337" s="578"/>
      <c r="BR337" s="578"/>
      <c r="BS337" s="578"/>
      <c r="BT337" s="578"/>
      <c r="BU337" s="578"/>
      <c r="BV337" s="578"/>
      <c r="BW337" s="578"/>
    </row>
    <row r="338" spans="2:75" ht="14.25" customHeight="1" x14ac:dyDescent="0.3">
      <c r="B338" s="823"/>
      <c r="D338" s="824"/>
      <c r="I338" s="825"/>
      <c r="AR338" s="826"/>
      <c r="AY338" s="827"/>
      <c r="BD338" s="577"/>
      <c r="BE338" s="578"/>
      <c r="BF338" s="578"/>
      <c r="BG338" s="578"/>
      <c r="BH338" s="578"/>
      <c r="BI338" s="578"/>
      <c r="BJ338" s="578"/>
      <c r="BK338" s="578"/>
      <c r="BL338" s="578"/>
      <c r="BM338" s="578"/>
      <c r="BN338" s="578"/>
      <c r="BO338" s="578"/>
      <c r="BP338" s="578"/>
      <c r="BQ338" s="578"/>
      <c r="BR338" s="578"/>
      <c r="BS338" s="578"/>
      <c r="BT338" s="578"/>
      <c r="BU338" s="578"/>
      <c r="BV338" s="578"/>
      <c r="BW338" s="578"/>
    </row>
    <row r="339" spans="2:75" ht="14.25" customHeight="1" x14ac:dyDescent="0.3">
      <c r="B339" s="823"/>
      <c r="D339" s="824"/>
      <c r="I339" s="825"/>
      <c r="AR339" s="826"/>
      <c r="AY339" s="827"/>
      <c r="BD339" s="577"/>
      <c r="BE339" s="578"/>
      <c r="BF339" s="578"/>
      <c r="BG339" s="578"/>
      <c r="BH339" s="578"/>
      <c r="BI339" s="578"/>
      <c r="BJ339" s="578"/>
      <c r="BK339" s="578"/>
      <c r="BL339" s="578"/>
      <c r="BM339" s="578"/>
      <c r="BN339" s="578"/>
      <c r="BO339" s="578"/>
      <c r="BP339" s="578"/>
      <c r="BQ339" s="578"/>
      <c r="BR339" s="578"/>
      <c r="BS339" s="578"/>
      <c r="BT339" s="578"/>
      <c r="BU339" s="578"/>
      <c r="BV339" s="578"/>
      <c r="BW339" s="578"/>
    </row>
    <row r="340" spans="2:75" ht="14.25" customHeight="1" x14ac:dyDescent="0.3">
      <c r="B340" s="823"/>
      <c r="D340" s="824"/>
      <c r="I340" s="825"/>
      <c r="AR340" s="826"/>
      <c r="AY340" s="827"/>
      <c r="BD340" s="577"/>
      <c r="BE340" s="578"/>
      <c r="BF340" s="578"/>
      <c r="BG340" s="578"/>
      <c r="BH340" s="578"/>
      <c r="BI340" s="578"/>
      <c r="BJ340" s="578"/>
      <c r="BK340" s="578"/>
      <c r="BL340" s="578"/>
      <c r="BM340" s="578"/>
      <c r="BN340" s="578"/>
      <c r="BO340" s="578"/>
      <c r="BP340" s="578"/>
      <c r="BQ340" s="578"/>
      <c r="BR340" s="578"/>
      <c r="BS340" s="578"/>
      <c r="BT340" s="578"/>
      <c r="BU340" s="578"/>
      <c r="BV340" s="578"/>
      <c r="BW340" s="578"/>
    </row>
    <row r="341" spans="2:75" ht="14.25" customHeight="1" x14ac:dyDescent="0.3">
      <c r="B341" s="823"/>
      <c r="D341" s="824"/>
      <c r="I341" s="825"/>
      <c r="AR341" s="826"/>
      <c r="AY341" s="827"/>
      <c r="BD341" s="577"/>
      <c r="BE341" s="578"/>
      <c r="BF341" s="578"/>
      <c r="BG341" s="578"/>
      <c r="BH341" s="578"/>
      <c r="BI341" s="578"/>
      <c r="BJ341" s="578"/>
      <c r="BK341" s="578"/>
      <c r="BL341" s="578"/>
      <c r="BM341" s="578"/>
      <c r="BN341" s="578"/>
      <c r="BO341" s="578"/>
      <c r="BP341" s="578"/>
      <c r="BQ341" s="578"/>
      <c r="BR341" s="578"/>
      <c r="BS341" s="578"/>
      <c r="BT341" s="578"/>
      <c r="BU341" s="578"/>
      <c r="BV341" s="578"/>
      <c r="BW341" s="578"/>
    </row>
    <row r="342" spans="2:75" ht="14.25" customHeight="1" x14ac:dyDescent="0.3">
      <c r="B342" s="823"/>
      <c r="D342" s="824"/>
      <c r="I342" s="825"/>
      <c r="AR342" s="826"/>
      <c r="AY342" s="827"/>
      <c r="BD342" s="577"/>
      <c r="BE342" s="578"/>
      <c r="BF342" s="578"/>
      <c r="BG342" s="578"/>
      <c r="BH342" s="578"/>
      <c r="BI342" s="578"/>
      <c r="BJ342" s="578"/>
      <c r="BK342" s="578"/>
      <c r="BL342" s="578"/>
      <c r="BM342" s="578"/>
      <c r="BN342" s="578"/>
      <c r="BO342" s="578"/>
      <c r="BP342" s="578"/>
      <c r="BQ342" s="578"/>
      <c r="BR342" s="578"/>
      <c r="BS342" s="578"/>
      <c r="BT342" s="578"/>
      <c r="BU342" s="578"/>
      <c r="BV342" s="578"/>
      <c r="BW342" s="578"/>
    </row>
    <row r="343" spans="2:75" ht="14.25" customHeight="1" x14ac:dyDescent="0.3">
      <c r="B343" s="823"/>
      <c r="D343" s="824"/>
      <c r="I343" s="825"/>
      <c r="AR343" s="826"/>
      <c r="AY343" s="827"/>
      <c r="BD343" s="577"/>
      <c r="BE343" s="578"/>
      <c r="BF343" s="578"/>
      <c r="BG343" s="578"/>
      <c r="BH343" s="578"/>
      <c r="BI343" s="578"/>
      <c r="BJ343" s="578"/>
      <c r="BK343" s="578"/>
      <c r="BL343" s="578"/>
      <c r="BM343" s="578"/>
      <c r="BN343" s="578"/>
      <c r="BO343" s="578"/>
      <c r="BP343" s="578"/>
      <c r="BQ343" s="578"/>
      <c r="BR343" s="578"/>
      <c r="BS343" s="578"/>
      <c r="BT343" s="578"/>
      <c r="BU343" s="578"/>
      <c r="BV343" s="578"/>
      <c r="BW343" s="578"/>
    </row>
    <row r="344" spans="2:75" ht="14.25" customHeight="1" x14ac:dyDescent="0.3">
      <c r="B344" s="823"/>
      <c r="D344" s="824"/>
      <c r="I344" s="825"/>
      <c r="AR344" s="826"/>
      <c r="AY344" s="827"/>
      <c r="BD344" s="577"/>
      <c r="BE344" s="578"/>
      <c r="BF344" s="578"/>
      <c r="BG344" s="578"/>
      <c r="BH344" s="578"/>
      <c r="BI344" s="578"/>
      <c r="BJ344" s="578"/>
      <c r="BK344" s="578"/>
      <c r="BL344" s="578"/>
      <c r="BM344" s="578"/>
      <c r="BN344" s="578"/>
      <c r="BO344" s="578"/>
      <c r="BP344" s="578"/>
      <c r="BQ344" s="578"/>
      <c r="BR344" s="578"/>
      <c r="BS344" s="578"/>
      <c r="BT344" s="578"/>
      <c r="BU344" s="578"/>
      <c r="BV344" s="578"/>
      <c r="BW344" s="578"/>
    </row>
    <row r="345" spans="2:75" ht="14.25" customHeight="1" x14ac:dyDescent="0.3">
      <c r="B345" s="823"/>
      <c r="D345" s="824"/>
      <c r="I345" s="825"/>
      <c r="AR345" s="826"/>
      <c r="AY345" s="827"/>
      <c r="BD345" s="577"/>
      <c r="BE345" s="578"/>
      <c r="BF345" s="578"/>
      <c r="BG345" s="578"/>
      <c r="BH345" s="578"/>
      <c r="BI345" s="578"/>
      <c r="BJ345" s="578"/>
      <c r="BK345" s="578"/>
      <c r="BL345" s="578"/>
      <c r="BM345" s="578"/>
      <c r="BN345" s="578"/>
      <c r="BO345" s="578"/>
      <c r="BP345" s="578"/>
      <c r="BQ345" s="578"/>
      <c r="BR345" s="578"/>
      <c r="BS345" s="578"/>
      <c r="BT345" s="578"/>
      <c r="BU345" s="578"/>
      <c r="BV345" s="578"/>
      <c r="BW345" s="578"/>
    </row>
    <row r="346" spans="2:75" ht="14.25" customHeight="1" x14ac:dyDescent="0.3">
      <c r="B346" s="823"/>
      <c r="D346" s="824"/>
      <c r="I346" s="825"/>
      <c r="AR346" s="826"/>
      <c r="AY346" s="827"/>
      <c r="BD346" s="577"/>
      <c r="BE346" s="578"/>
      <c r="BF346" s="578"/>
      <c r="BG346" s="578"/>
      <c r="BH346" s="578"/>
      <c r="BI346" s="578"/>
      <c r="BJ346" s="578"/>
      <c r="BK346" s="578"/>
      <c r="BL346" s="578"/>
      <c r="BM346" s="578"/>
      <c r="BN346" s="578"/>
      <c r="BO346" s="578"/>
      <c r="BP346" s="578"/>
      <c r="BQ346" s="578"/>
      <c r="BR346" s="578"/>
      <c r="BS346" s="578"/>
      <c r="BT346" s="578"/>
      <c r="BU346" s="578"/>
      <c r="BV346" s="578"/>
      <c r="BW346" s="578"/>
    </row>
    <row r="347" spans="2:75" ht="14.25" customHeight="1" x14ac:dyDescent="0.3">
      <c r="B347" s="823"/>
      <c r="D347" s="824"/>
      <c r="I347" s="825"/>
      <c r="AR347" s="826"/>
      <c r="AY347" s="827"/>
      <c r="BD347" s="577"/>
      <c r="BE347" s="578"/>
      <c r="BF347" s="578"/>
      <c r="BG347" s="578"/>
      <c r="BH347" s="578"/>
      <c r="BI347" s="578"/>
      <c r="BJ347" s="578"/>
      <c r="BK347" s="578"/>
      <c r="BL347" s="578"/>
      <c r="BM347" s="578"/>
      <c r="BN347" s="578"/>
      <c r="BO347" s="578"/>
      <c r="BP347" s="578"/>
      <c r="BQ347" s="578"/>
      <c r="BR347" s="578"/>
      <c r="BS347" s="578"/>
      <c r="BT347" s="578"/>
      <c r="BU347" s="578"/>
      <c r="BV347" s="578"/>
      <c r="BW347" s="578"/>
    </row>
    <row r="348" spans="2:75" ht="14.25" customHeight="1" x14ac:dyDescent="0.3">
      <c r="B348" s="823"/>
      <c r="D348" s="824"/>
      <c r="I348" s="825"/>
      <c r="AR348" s="826"/>
      <c r="AY348" s="827"/>
      <c r="BD348" s="577"/>
      <c r="BE348" s="578"/>
      <c r="BF348" s="578"/>
      <c r="BG348" s="578"/>
      <c r="BH348" s="578"/>
      <c r="BI348" s="578"/>
      <c r="BJ348" s="578"/>
      <c r="BK348" s="578"/>
      <c r="BL348" s="578"/>
      <c r="BM348" s="578"/>
      <c r="BN348" s="578"/>
      <c r="BO348" s="578"/>
      <c r="BP348" s="578"/>
      <c r="BQ348" s="578"/>
      <c r="BR348" s="578"/>
      <c r="BS348" s="578"/>
      <c r="BT348" s="578"/>
      <c r="BU348" s="578"/>
      <c r="BV348" s="578"/>
      <c r="BW348" s="578"/>
    </row>
    <row r="349" spans="2:75" ht="14.25" customHeight="1" x14ac:dyDescent="0.3">
      <c r="B349" s="823"/>
      <c r="D349" s="824"/>
      <c r="I349" s="825"/>
      <c r="AR349" s="826"/>
      <c r="AY349" s="827"/>
      <c r="BD349" s="577"/>
      <c r="BE349" s="578"/>
      <c r="BF349" s="578"/>
      <c r="BG349" s="578"/>
      <c r="BH349" s="578"/>
      <c r="BI349" s="578"/>
      <c r="BJ349" s="578"/>
      <c r="BK349" s="578"/>
      <c r="BL349" s="578"/>
      <c r="BM349" s="578"/>
      <c r="BN349" s="578"/>
      <c r="BO349" s="578"/>
      <c r="BP349" s="578"/>
      <c r="BQ349" s="578"/>
      <c r="BR349" s="578"/>
      <c r="BS349" s="578"/>
      <c r="BT349" s="578"/>
      <c r="BU349" s="578"/>
      <c r="BV349" s="578"/>
      <c r="BW349" s="578"/>
    </row>
    <row r="350" spans="2:75" ht="14.25" customHeight="1" x14ac:dyDescent="0.3">
      <c r="B350" s="823"/>
      <c r="D350" s="824"/>
      <c r="I350" s="825"/>
      <c r="AR350" s="826"/>
      <c r="AY350" s="827"/>
      <c r="BD350" s="577"/>
      <c r="BE350" s="578"/>
      <c r="BF350" s="578"/>
      <c r="BG350" s="578"/>
      <c r="BH350" s="578"/>
      <c r="BI350" s="578"/>
      <c r="BJ350" s="578"/>
      <c r="BK350" s="578"/>
      <c r="BL350" s="578"/>
      <c r="BM350" s="578"/>
      <c r="BN350" s="578"/>
      <c r="BO350" s="578"/>
      <c r="BP350" s="578"/>
      <c r="BQ350" s="578"/>
      <c r="BR350" s="578"/>
      <c r="BS350" s="578"/>
      <c r="BT350" s="578"/>
      <c r="BU350" s="578"/>
      <c r="BV350" s="578"/>
      <c r="BW350" s="578"/>
    </row>
    <row r="351" spans="2:75" ht="14.25" customHeight="1" x14ac:dyDescent="0.3">
      <c r="B351" s="823"/>
      <c r="D351" s="824"/>
      <c r="I351" s="825"/>
      <c r="AR351" s="826"/>
      <c r="AY351" s="827"/>
      <c r="BD351" s="577"/>
      <c r="BE351" s="578"/>
      <c r="BF351" s="578"/>
      <c r="BG351" s="578"/>
      <c r="BH351" s="578"/>
      <c r="BI351" s="578"/>
      <c r="BJ351" s="578"/>
      <c r="BK351" s="578"/>
      <c r="BL351" s="578"/>
      <c r="BM351" s="578"/>
      <c r="BN351" s="578"/>
      <c r="BO351" s="578"/>
      <c r="BP351" s="578"/>
      <c r="BQ351" s="578"/>
      <c r="BR351" s="578"/>
      <c r="BS351" s="578"/>
      <c r="BT351" s="578"/>
      <c r="BU351" s="578"/>
      <c r="BV351" s="578"/>
      <c r="BW351" s="578"/>
    </row>
    <row r="352" spans="2:75" ht="14.25" customHeight="1" x14ac:dyDescent="0.3">
      <c r="B352" s="823"/>
      <c r="D352" s="824"/>
      <c r="I352" s="825"/>
      <c r="AR352" s="826"/>
      <c r="AY352" s="827"/>
      <c r="BD352" s="577"/>
      <c r="BE352" s="578"/>
      <c r="BF352" s="578"/>
      <c r="BG352" s="578"/>
      <c r="BH352" s="578"/>
      <c r="BI352" s="578"/>
      <c r="BJ352" s="578"/>
      <c r="BK352" s="578"/>
      <c r="BL352" s="578"/>
      <c r="BM352" s="578"/>
      <c r="BN352" s="578"/>
      <c r="BO352" s="578"/>
      <c r="BP352" s="578"/>
      <c r="BQ352" s="578"/>
      <c r="BR352" s="578"/>
      <c r="BS352" s="578"/>
      <c r="BT352" s="578"/>
      <c r="BU352" s="578"/>
      <c r="BV352" s="578"/>
      <c r="BW352" s="578"/>
    </row>
    <row r="353" spans="2:75" ht="14.25" customHeight="1" x14ac:dyDescent="0.3">
      <c r="B353" s="823"/>
      <c r="D353" s="824"/>
      <c r="I353" s="825"/>
      <c r="AR353" s="826"/>
      <c r="AY353" s="827"/>
      <c r="BD353" s="577"/>
      <c r="BE353" s="578"/>
      <c r="BF353" s="578"/>
      <c r="BG353" s="578"/>
      <c r="BH353" s="578"/>
      <c r="BI353" s="578"/>
      <c r="BJ353" s="578"/>
      <c r="BK353" s="578"/>
      <c r="BL353" s="578"/>
      <c r="BM353" s="578"/>
      <c r="BN353" s="578"/>
      <c r="BO353" s="578"/>
      <c r="BP353" s="578"/>
      <c r="BQ353" s="578"/>
      <c r="BR353" s="578"/>
      <c r="BS353" s="578"/>
      <c r="BT353" s="578"/>
      <c r="BU353" s="578"/>
      <c r="BV353" s="578"/>
      <c r="BW353" s="578"/>
    </row>
    <row r="354" spans="2:75" ht="14.25" customHeight="1" x14ac:dyDescent="0.3">
      <c r="B354" s="823"/>
      <c r="D354" s="824"/>
      <c r="I354" s="825"/>
      <c r="AR354" s="826"/>
      <c r="AY354" s="827"/>
      <c r="BD354" s="577"/>
      <c r="BE354" s="578"/>
      <c r="BF354" s="578"/>
      <c r="BG354" s="578"/>
      <c r="BH354" s="578"/>
      <c r="BI354" s="578"/>
      <c r="BJ354" s="578"/>
      <c r="BK354" s="578"/>
      <c r="BL354" s="578"/>
      <c r="BM354" s="578"/>
      <c r="BN354" s="578"/>
      <c r="BO354" s="578"/>
      <c r="BP354" s="578"/>
      <c r="BQ354" s="578"/>
      <c r="BR354" s="578"/>
      <c r="BS354" s="578"/>
      <c r="BT354" s="578"/>
      <c r="BU354" s="578"/>
      <c r="BV354" s="578"/>
      <c r="BW354" s="578"/>
    </row>
    <row r="355" spans="2:75" ht="14.25" customHeight="1" x14ac:dyDescent="0.3">
      <c r="B355" s="823"/>
      <c r="D355" s="824"/>
      <c r="I355" s="825"/>
      <c r="AR355" s="826"/>
      <c r="AY355" s="827"/>
      <c r="BD355" s="577"/>
      <c r="BE355" s="578"/>
      <c r="BF355" s="578"/>
      <c r="BG355" s="578"/>
      <c r="BH355" s="578"/>
      <c r="BI355" s="578"/>
      <c r="BJ355" s="578"/>
      <c r="BK355" s="578"/>
      <c r="BL355" s="578"/>
      <c r="BM355" s="578"/>
      <c r="BN355" s="578"/>
      <c r="BO355" s="578"/>
      <c r="BP355" s="578"/>
      <c r="BQ355" s="578"/>
      <c r="BR355" s="578"/>
      <c r="BS355" s="578"/>
      <c r="BT355" s="578"/>
      <c r="BU355" s="578"/>
      <c r="BV355" s="578"/>
      <c r="BW355" s="578"/>
    </row>
    <row r="356" spans="2:75" ht="14.25" customHeight="1" x14ac:dyDescent="0.3">
      <c r="B356" s="823"/>
      <c r="D356" s="824"/>
      <c r="I356" s="825"/>
      <c r="AR356" s="826"/>
      <c r="AY356" s="827"/>
      <c r="BD356" s="577"/>
      <c r="BE356" s="578"/>
      <c r="BF356" s="578"/>
      <c r="BG356" s="578"/>
      <c r="BH356" s="578"/>
      <c r="BI356" s="578"/>
      <c r="BJ356" s="578"/>
      <c r="BK356" s="578"/>
      <c r="BL356" s="578"/>
      <c r="BM356" s="578"/>
      <c r="BN356" s="578"/>
      <c r="BO356" s="578"/>
      <c r="BP356" s="578"/>
      <c r="BQ356" s="578"/>
      <c r="BR356" s="578"/>
      <c r="BS356" s="578"/>
      <c r="BT356" s="578"/>
      <c r="BU356" s="578"/>
      <c r="BV356" s="578"/>
      <c r="BW356" s="578"/>
    </row>
    <row r="357" spans="2:75" ht="14.25" customHeight="1" x14ac:dyDescent="0.3">
      <c r="B357" s="823"/>
      <c r="D357" s="824"/>
      <c r="I357" s="825"/>
      <c r="AR357" s="826"/>
      <c r="AY357" s="827"/>
      <c r="BD357" s="577"/>
      <c r="BE357" s="578"/>
      <c r="BF357" s="578"/>
      <c r="BG357" s="578"/>
      <c r="BH357" s="578"/>
      <c r="BI357" s="578"/>
      <c r="BJ357" s="578"/>
      <c r="BK357" s="578"/>
      <c r="BL357" s="578"/>
      <c r="BM357" s="578"/>
      <c r="BN357" s="578"/>
      <c r="BO357" s="578"/>
      <c r="BP357" s="578"/>
      <c r="BQ357" s="578"/>
      <c r="BR357" s="578"/>
      <c r="BS357" s="578"/>
      <c r="BT357" s="578"/>
      <c r="BU357" s="578"/>
      <c r="BV357" s="578"/>
      <c r="BW357" s="578"/>
    </row>
    <row r="358" spans="2:75" ht="14.25" customHeight="1" x14ac:dyDescent="0.3">
      <c r="B358" s="823"/>
      <c r="D358" s="824"/>
      <c r="I358" s="825"/>
      <c r="AR358" s="826"/>
      <c r="AY358" s="827"/>
      <c r="BD358" s="577"/>
      <c r="BE358" s="578"/>
      <c r="BF358" s="578"/>
      <c r="BG358" s="578"/>
      <c r="BH358" s="578"/>
      <c r="BI358" s="578"/>
      <c r="BJ358" s="578"/>
      <c r="BK358" s="578"/>
      <c r="BL358" s="578"/>
      <c r="BM358" s="578"/>
      <c r="BN358" s="578"/>
      <c r="BO358" s="578"/>
      <c r="BP358" s="578"/>
      <c r="BQ358" s="578"/>
      <c r="BR358" s="578"/>
      <c r="BS358" s="578"/>
      <c r="BT358" s="578"/>
      <c r="BU358" s="578"/>
      <c r="BV358" s="578"/>
      <c r="BW358" s="578"/>
    </row>
    <row r="359" spans="2:75" ht="14.25" customHeight="1" x14ac:dyDescent="0.3">
      <c r="B359" s="823"/>
      <c r="D359" s="824"/>
      <c r="I359" s="825"/>
      <c r="AR359" s="826"/>
      <c r="AY359" s="827"/>
      <c r="BD359" s="577"/>
      <c r="BE359" s="578"/>
      <c r="BF359" s="578"/>
      <c r="BG359" s="578"/>
      <c r="BH359" s="578"/>
      <c r="BI359" s="578"/>
      <c r="BJ359" s="578"/>
      <c r="BK359" s="578"/>
      <c r="BL359" s="578"/>
      <c r="BM359" s="578"/>
      <c r="BN359" s="578"/>
      <c r="BO359" s="578"/>
      <c r="BP359" s="578"/>
      <c r="BQ359" s="578"/>
      <c r="BR359" s="578"/>
      <c r="BS359" s="578"/>
      <c r="BT359" s="578"/>
      <c r="BU359" s="578"/>
      <c r="BV359" s="578"/>
      <c r="BW359" s="578"/>
    </row>
    <row r="360" spans="2:75" ht="14.25" customHeight="1" x14ac:dyDescent="0.3">
      <c r="B360" s="823"/>
      <c r="D360" s="824"/>
      <c r="I360" s="825"/>
      <c r="AR360" s="826"/>
      <c r="AY360" s="827"/>
      <c r="BD360" s="577"/>
      <c r="BE360" s="578"/>
      <c r="BF360" s="578"/>
      <c r="BG360" s="578"/>
      <c r="BH360" s="578"/>
      <c r="BI360" s="578"/>
      <c r="BJ360" s="578"/>
      <c r="BK360" s="578"/>
      <c r="BL360" s="578"/>
      <c r="BM360" s="578"/>
      <c r="BN360" s="578"/>
      <c r="BO360" s="578"/>
      <c r="BP360" s="578"/>
      <c r="BQ360" s="578"/>
      <c r="BR360" s="578"/>
      <c r="BS360" s="578"/>
      <c r="BT360" s="578"/>
      <c r="BU360" s="578"/>
      <c r="BV360" s="578"/>
      <c r="BW360" s="578"/>
    </row>
    <row r="361" spans="2:75" ht="14.25" customHeight="1" x14ac:dyDescent="0.3">
      <c r="B361" s="823"/>
      <c r="D361" s="824"/>
      <c r="I361" s="825"/>
      <c r="AR361" s="826"/>
      <c r="AY361" s="827"/>
      <c r="BD361" s="577"/>
      <c r="BE361" s="578"/>
      <c r="BF361" s="578"/>
      <c r="BG361" s="578"/>
      <c r="BH361" s="578"/>
      <c r="BI361" s="578"/>
      <c r="BJ361" s="578"/>
      <c r="BK361" s="578"/>
      <c r="BL361" s="578"/>
      <c r="BM361" s="578"/>
      <c r="BN361" s="578"/>
      <c r="BO361" s="578"/>
      <c r="BP361" s="578"/>
      <c r="BQ361" s="578"/>
      <c r="BR361" s="578"/>
      <c r="BS361" s="578"/>
      <c r="BT361" s="578"/>
      <c r="BU361" s="578"/>
      <c r="BV361" s="578"/>
      <c r="BW361" s="578"/>
    </row>
    <row r="362" spans="2:75" ht="14.25" customHeight="1" x14ac:dyDescent="0.3">
      <c r="B362" s="823"/>
      <c r="D362" s="824"/>
      <c r="I362" s="825"/>
      <c r="AR362" s="826"/>
      <c r="AY362" s="827"/>
      <c r="BD362" s="577"/>
      <c r="BE362" s="578"/>
      <c r="BF362" s="578"/>
      <c r="BG362" s="578"/>
      <c r="BH362" s="578"/>
      <c r="BI362" s="578"/>
      <c r="BJ362" s="578"/>
      <c r="BK362" s="578"/>
      <c r="BL362" s="578"/>
      <c r="BM362" s="578"/>
      <c r="BN362" s="578"/>
      <c r="BO362" s="578"/>
      <c r="BP362" s="578"/>
      <c r="BQ362" s="578"/>
      <c r="BR362" s="578"/>
      <c r="BS362" s="578"/>
      <c r="BT362" s="578"/>
      <c r="BU362" s="578"/>
      <c r="BV362" s="578"/>
      <c r="BW362" s="578"/>
    </row>
    <row r="363" spans="2:75" ht="14.25" customHeight="1" x14ac:dyDescent="0.3">
      <c r="B363" s="823"/>
      <c r="D363" s="824"/>
      <c r="I363" s="825"/>
      <c r="AR363" s="826"/>
      <c r="AY363" s="827"/>
      <c r="BD363" s="577"/>
      <c r="BE363" s="578"/>
      <c r="BF363" s="578"/>
      <c r="BG363" s="578"/>
      <c r="BH363" s="578"/>
      <c r="BI363" s="578"/>
      <c r="BJ363" s="578"/>
      <c r="BK363" s="578"/>
      <c r="BL363" s="578"/>
      <c r="BM363" s="578"/>
      <c r="BN363" s="578"/>
      <c r="BO363" s="578"/>
      <c r="BP363" s="578"/>
      <c r="BQ363" s="578"/>
      <c r="BR363" s="578"/>
      <c r="BS363" s="578"/>
      <c r="BT363" s="578"/>
      <c r="BU363" s="578"/>
      <c r="BV363" s="578"/>
      <c r="BW363" s="578"/>
    </row>
    <row r="364" spans="2:75" ht="14.25" customHeight="1" x14ac:dyDescent="0.3">
      <c r="B364" s="823"/>
      <c r="D364" s="824"/>
      <c r="I364" s="825"/>
      <c r="AR364" s="826"/>
      <c r="AY364" s="827"/>
      <c r="BD364" s="577"/>
      <c r="BE364" s="578"/>
      <c r="BF364" s="578"/>
      <c r="BG364" s="578"/>
      <c r="BH364" s="578"/>
      <c r="BI364" s="578"/>
      <c r="BJ364" s="578"/>
      <c r="BK364" s="578"/>
      <c r="BL364" s="578"/>
      <c r="BM364" s="578"/>
      <c r="BN364" s="578"/>
      <c r="BO364" s="578"/>
      <c r="BP364" s="578"/>
      <c r="BQ364" s="578"/>
      <c r="BR364" s="578"/>
      <c r="BS364" s="578"/>
      <c r="BT364" s="578"/>
      <c r="BU364" s="578"/>
      <c r="BV364" s="578"/>
      <c r="BW364" s="578"/>
    </row>
    <row r="365" spans="2:75" ht="14.25" customHeight="1" x14ac:dyDescent="0.3">
      <c r="B365" s="823"/>
      <c r="D365" s="824"/>
      <c r="I365" s="825"/>
      <c r="AR365" s="826"/>
      <c r="AY365" s="827"/>
      <c r="BD365" s="577"/>
      <c r="BE365" s="578"/>
      <c r="BF365" s="578"/>
      <c r="BG365" s="578"/>
      <c r="BH365" s="578"/>
      <c r="BI365" s="578"/>
      <c r="BJ365" s="578"/>
      <c r="BK365" s="578"/>
      <c r="BL365" s="578"/>
      <c r="BM365" s="578"/>
      <c r="BN365" s="578"/>
      <c r="BO365" s="578"/>
      <c r="BP365" s="578"/>
      <c r="BQ365" s="578"/>
      <c r="BR365" s="578"/>
      <c r="BS365" s="578"/>
      <c r="BT365" s="578"/>
      <c r="BU365" s="578"/>
      <c r="BV365" s="578"/>
      <c r="BW365" s="578"/>
    </row>
    <row r="366" spans="2:75" ht="14.25" customHeight="1" x14ac:dyDescent="0.3">
      <c r="B366" s="823"/>
      <c r="D366" s="824"/>
      <c r="I366" s="825"/>
      <c r="AR366" s="826"/>
      <c r="AY366" s="827"/>
      <c r="BD366" s="577"/>
      <c r="BE366" s="578"/>
      <c r="BF366" s="578"/>
      <c r="BG366" s="578"/>
      <c r="BH366" s="578"/>
      <c r="BI366" s="578"/>
      <c r="BJ366" s="578"/>
      <c r="BK366" s="578"/>
      <c r="BL366" s="578"/>
      <c r="BM366" s="578"/>
      <c r="BN366" s="578"/>
      <c r="BO366" s="578"/>
      <c r="BP366" s="578"/>
      <c r="BQ366" s="578"/>
      <c r="BR366" s="578"/>
      <c r="BS366" s="578"/>
      <c r="BT366" s="578"/>
      <c r="BU366" s="578"/>
      <c r="BV366" s="578"/>
      <c r="BW366" s="578"/>
    </row>
    <row r="367" spans="2:75" ht="14.25" customHeight="1" x14ac:dyDescent="0.3">
      <c r="B367" s="823"/>
      <c r="D367" s="824"/>
      <c r="I367" s="825"/>
      <c r="AR367" s="826"/>
      <c r="AY367" s="827"/>
      <c r="BD367" s="577"/>
      <c r="BE367" s="578"/>
      <c r="BF367" s="578"/>
      <c r="BG367" s="578"/>
      <c r="BH367" s="578"/>
      <c r="BI367" s="578"/>
      <c r="BJ367" s="578"/>
      <c r="BK367" s="578"/>
      <c r="BL367" s="578"/>
      <c r="BM367" s="578"/>
      <c r="BN367" s="578"/>
      <c r="BO367" s="578"/>
      <c r="BP367" s="578"/>
      <c r="BQ367" s="578"/>
      <c r="BR367" s="578"/>
      <c r="BS367" s="578"/>
      <c r="BT367" s="578"/>
      <c r="BU367" s="578"/>
      <c r="BV367" s="578"/>
      <c r="BW367" s="578"/>
    </row>
    <row r="368" spans="2:75" ht="14.25" customHeight="1" x14ac:dyDescent="0.3">
      <c r="B368" s="823"/>
      <c r="D368" s="824"/>
      <c r="I368" s="825"/>
      <c r="AR368" s="826"/>
      <c r="AY368" s="827"/>
      <c r="BD368" s="577"/>
      <c r="BE368" s="578"/>
      <c r="BF368" s="578"/>
      <c r="BG368" s="578"/>
      <c r="BH368" s="578"/>
      <c r="BI368" s="578"/>
      <c r="BJ368" s="578"/>
      <c r="BK368" s="578"/>
      <c r="BL368" s="578"/>
      <c r="BM368" s="578"/>
      <c r="BN368" s="578"/>
      <c r="BO368" s="578"/>
      <c r="BP368" s="578"/>
      <c r="BQ368" s="578"/>
      <c r="BR368" s="578"/>
      <c r="BS368" s="578"/>
      <c r="BT368" s="578"/>
      <c r="BU368" s="578"/>
      <c r="BV368" s="578"/>
      <c r="BW368" s="578"/>
    </row>
    <row r="369" spans="2:75" ht="14.25" customHeight="1" x14ac:dyDescent="0.3">
      <c r="B369" s="823"/>
      <c r="D369" s="824"/>
      <c r="I369" s="825"/>
      <c r="AR369" s="826"/>
      <c r="AY369" s="827"/>
      <c r="BD369" s="577"/>
      <c r="BE369" s="578"/>
      <c r="BF369" s="578"/>
      <c r="BG369" s="578"/>
      <c r="BH369" s="578"/>
      <c r="BI369" s="578"/>
      <c r="BJ369" s="578"/>
      <c r="BK369" s="578"/>
      <c r="BL369" s="578"/>
      <c r="BM369" s="578"/>
      <c r="BN369" s="578"/>
      <c r="BO369" s="578"/>
      <c r="BP369" s="578"/>
      <c r="BQ369" s="578"/>
      <c r="BR369" s="578"/>
      <c r="BS369" s="578"/>
      <c r="BT369" s="578"/>
      <c r="BU369" s="578"/>
      <c r="BV369" s="578"/>
      <c r="BW369" s="578"/>
    </row>
    <row r="370" spans="2:75" ht="14.25" customHeight="1" x14ac:dyDescent="0.3">
      <c r="B370" s="823"/>
      <c r="D370" s="824"/>
      <c r="I370" s="825"/>
      <c r="AR370" s="826"/>
      <c r="AY370" s="827"/>
      <c r="BD370" s="577"/>
      <c r="BE370" s="578"/>
      <c r="BF370" s="578"/>
      <c r="BG370" s="578"/>
      <c r="BH370" s="578"/>
      <c r="BI370" s="578"/>
      <c r="BJ370" s="578"/>
      <c r="BK370" s="578"/>
      <c r="BL370" s="578"/>
      <c r="BM370" s="578"/>
      <c r="BN370" s="578"/>
      <c r="BO370" s="578"/>
      <c r="BP370" s="578"/>
      <c r="BQ370" s="578"/>
      <c r="BR370" s="578"/>
      <c r="BS370" s="578"/>
      <c r="BT370" s="578"/>
      <c r="BU370" s="578"/>
      <c r="BV370" s="578"/>
      <c r="BW370" s="578"/>
    </row>
    <row r="371" spans="2:75" ht="14.25" customHeight="1" x14ac:dyDescent="0.3">
      <c r="B371" s="823"/>
      <c r="D371" s="824"/>
      <c r="I371" s="825"/>
      <c r="AR371" s="826"/>
      <c r="AY371" s="827"/>
      <c r="BD371" s="577"/>
      <c r="BE371" s="578"/>
      <c r="BF371" s="578"/>
      <c r="BG371" s="578"/>
      <c r="BH371" s="578"/>
      <c r="BI371" s="578"/>
      <c r="BJ371" s="578"/>
      <c r="BK371" s="578"/>
      <c r="BL371" s="578"/>
      <c r="BM371" s="578"/>
      <c r="BN371" s="578"/>
      <c r="BO371" s="578"/>
      <c r="BP371" s="578"/>
      <c r="BQ371" s="578"/>
      <c r="BR371" s="578"/>
      <c r="BS371" s="578"/>
      <c r="BT371" s="578"/>
      <c r="BU371" s="578"/>
      <c r="BV371" s="578"/>
      <c r="BW371" s="578"/>
    </row>
    <row r="372" spans="2:75" ht="14.25" customHeight="1" x14ac:dyDescent="0.3">
      <c r="B372" s="823"/>
      <c r="D372" s="824"/>
      <c r="I372" s="825"/>
      <c r="AR372" s="826"/>
      <c r="AY372" s="827"/>
      <c r="BD372" s="577"/>
      <c r="BE372" s="578"/>
      <c r="BF372" s="578"/>
      <c r="BG372" s="578"/>
      <c r="BH372" s="578"/>
      <c r="BI372" s="578"/>
      <c r="BJ372" s="578"/>
      <c r="BK372" s="578"/>
      <c r="BL372" s="578"/>
      <c r="BM372" s="578"/>
      <c r="BN372" s="578"/>
      <c r="BO372" s="578"/>
      <c r="BP372" s="578"/>
      <c r="BQ372" s="578"/>
      <c r="BR372" s="578"/>
      <c r="BS372" s="578"/>
      <c r="BT372" s="578"/>
      <c r="BU372" s="578"/>
      <c r="BV372" s="578"/>
      <c r="BW372" s="578"/>
    </row>
    <row r="373" spans="2:75" ht="14.25" customHeight="1" x14ac:dyDescent="0.3">
      <c r="B373" s="823"/>
      <c r="D373" s="824"/>
      <c r="I373" s="825"/>
      <c r="AR373" s="826"/>
      <c r="AY373" s="827"/>
      <c r="BD373" s="577"/>
      <c r="BE373" s="578"/>
      <c r="BF373" s="578"/>
      <c r="BG373" s="578"/>
      <c r="BH373" s="578"/>
      <c r="BI373" s="578"/>
      <c r="BJ373" s="578"/>
      <c r="BK373" s="578"/>
      <c r="BL373" s="578"/>
      <c r="BM373" s="578"/>
      <c r="BN373" s="578"/>
      <c r="BO373" s="578"/>
      <c r="BP373" s="578"/>
      <c r="BQ373" s="578"/>
      <c r="BR373" s="578"/>
      <c r="BS373" s="578"/>
      <c r="BT373" s="578"/>
      <c r="BU373" s="578"/>
      <c r="BV373" s="578"/>
      <c r="BW373" s="578"/>
    </row>
    <row r="374" spans="2:75" ht="14.25" customHeight="1" x14ac:dyDescent="0.3">
      <c r="B374" s="823"/>
      <c r="D374" s="824"/>
      <c r="I374" s="825"/>
      <c r="AR374" s="826"/>
      <c r="AY374" s="827"/>
      <c r="BD374" s="577"/>
      <c r="BE374" s="578"/>
      <c r="BF374" s="578"/>
      <c r="BG374" s="578"/>
      <c r="BH374" s="578"/>
      <c r="BI374" s="578"/>
      <c r="BJ374" s="578"/>
      <c r="BK374" s="578"/>
      <c r="BL374" s="578"/>
      <c r="BM374" s="578"/>
      <c r="BN374" s="578"/>
      <c r="BO374" s="578"/>
      <c r="BP374" s="578"/>
      <c r="BQ374" s="578"/>
      <c r="BR374" s="578"/>
      <c r="BS374" s="578"/>
      <c r="BT374" s="578"/>
      <c r="BU374" s="578"/>
      <c r="BV374" s="578"/>
      <c r="BW374" s="578"/>
    </row>
    <row r="375" spans="2:75" ht="14.25" customHeight="1" x14ac:dyDescent="0.3">
      <c r="B375" s="823"/>
      <c r="D375" s="824"/>
      <c r="I375" s="825"/>
      <c r="AR375" s="826"/>
      <c r="AY375" s="827"/>
      <c r="BD375" s="577"/>
      <c r="BE375" s="578"/>
      <c r="BF375" s="578"/>
      <c r="BG375" s="578"/>
      <c r="BH375" s="578"/>
      <c r="BI375" s="578"/>
      <c r="BJ375" s="578"/>
      <c r="BK375" s="578"/>
      <c r="BL375" s="578"/>
      <c r="BM375" s="578"/>
      <c r="BN375" s="578"/>
      <c r="BO375" s="578"/>
      <c r="BP375" s="578"/>
      <c r="BQ375" s="578"/>
      <c r="BR375" s="578"/>
      <c r="BS375" s="578"/>
      <c r="BT375" s="578"/>
      <c r="BU375" s="578"/>
      <c r="BV375" s="578"/>
      <c r="BW375" s="578"/>
    </row>
    <row r="376" spans="2:75" ht="14.25" customHeight="1" x14ac:dyDescent="0.3">
      <c r="B376" s="823"/>
      <c r="D376" s="824"/>
      <c r="I376" s="825"/>
      <c r="AR376" s="826"/>
      <c r="AY376" s="827"/>
      <c r="BD376" s="577"/>
      <c r="BE376" s="578"/>
      <c r="BF376" s="578"/>
      <c r="BG376" s="578"/>
      <c r="BH376" s="578"/>
      <c r="BI376" s="578"/>
      <c r="BJ376" s="578"/>
      <c r="BK376" s="578"/>
      <c r="BL376" s="578"/>
      <c r="BM376" s="578"/>
      <c r="BN376" s="578"/>
      <c r="BO376" s="578"/>
      <c r="BP376" s="578"/>
      <c r="BQ376" s="578"/>
      <c r="BR376" s="578"/>
      <c r="BS376" s="578"/>
      <c r="BT376" s="578"/>
      <c r="BU376" s="578"/>
      <c r="BV376" s="578"/>
      <c r="BW376" s="578"/>
    </row>
    <row r="377" spans="2:75" ht="14.25" customHeight="1" x14ac:dyDescent="0.3">
      <c r="B377" s="823"/>
      <c r="D377" s="824"/>
      <c r="I377" s="825"/>
      <c r="AR377" s="826"/>
      <c r="AY377" s="827"/>
      <c r="BD377" s="577"/>
      <c r="BE377" s="578"/>
      <c r="BF377" s="578"/>
      <c r="BG377" s="578"/>
      <c r="BH377" s="578"/>
      <c r="BI377" s="578"/>
      <c r="BJ377" s="578"/>
      <c r="BK377" s="578"/>
      <c r="BL377" s="578"/>
      <c r="BM377" s="578"/>
      <c r="BN377" s="578"/>
      <c r="BO377" s="578"/>
      <c r="BP377" s="578"/>
      <c r="BQ377" s="578"/>
      <c r="BR377" s="578"/>
      <c r="BS377" s="578"/>
      <c r="BT377" s="578"/>
      <c r="BU377" s="578"/>
      <c r="BV377" s="578"/>
      <c r="BW377" s="578"/>
    </row>
    <row r="378" spans="2:75" ht="14.25" customHeight="1" x14ac:dyDescent="0.3">
      <c r="B378" s="823"/>
      <c r="D378" s="824"/>
      <c r="I378" s="825"/>
      <c r="AR378" s="826"/>
      <c r="AY378" s="827"/>
      <c r="BD378" s="577"/>
      <c r="BE378" s="578"/>
      <c r="BF378" s="578"/>
      <c r="BG378" s="578"/>
      <c r="BH378" s="578"/>
      <c r="BI378" s="578"/>
      <c r="BJ378" s="578"/>
      <c r="BK378" s="578"/>
      <c r="BL378" s="578"/>
      <c r="BM378" s="578"/>
      <c r="BN378" s="578"/>
      <c r="BO378" s="578"/>
      <c r="BP378" s="578"/>
      <c r="BQ378" s="578"/>
      <c r="BR378" s="578"/>
      <c r="BS378" s="578"/>
      <c r="BT378" s="578"/>
      <c r="BU378" s="578"/>
      <c r="BV378" s="578"/>
      <c r="BW378" s="578"/>
    </row>
    <row r="379" spans="2:75" ht="14.25" customHeight="1" x14ac:dyDescent="0.3">
      <c r="B379" s="823"/>
      <c r="D379" s="824"/>
      <c r="I379" s="825"/>
      <c r="AR379" s="826"/>
      <c r="AY379" s="827"/>
      <c r="BD379" s="577"/>
      <c r="BE379" s="578"/>
      <c r="BF379" s="578"/>
      <c r="BG379" s="578"/>
      <c r="BH379" s="578"/>
      <c r="BI379" s="578"/>
      <c r="BJ379" s="578"/>
      <c r="BK379" s="578"/>
      <c r="BL379" s="578"/>
      <c r="BM379" s="578"/>
      <c r="BN379" s="578"/>
      <c r="BO379" s="578"/>
      <c r="BP379" s="578"/>
      <c r="BQ379" s="578"/>
      <c r="BR379" s="578"/>
      <c r="BS379" s="578"/>
      <c r="BT379" s="578"/>
      <c r="BU379" s="578"/>
      <c r="BV379" s="578"/>
      <c r="BW379" s="578"/>
    </row>
    <row r="380" spans="2:75" ht="14.25" customHeight="1" x14ac:dyDescent="0.3">
      <c r="B380" s="823"/>
      <c r="D380" s="824"/>
      <c r="I380" s="825"/>
      <c r="AR380" s="826"/>
      <c r="AY380" s="827"/>
      <c r="BD380" s="577"/>
      <c r="BE380" s="578"/>
      <c r="BF380" s="578"/>
      <c r="BG380" s="578"/>
      <c r="BH380" s="578"/>
      <c r="BI380" s="578"/>
      <c r="BJ380" s="578"/>
      <c r="BK380" s="578"/>
      <c r="BL380" s="578"/>
      <c r="BM380" s="578"/>
      <c r="BN380" s="578"/>
      <c r="BO380" s="578"/>
      <c r="BP380" s="578"/>
      <c r="BQ380" s="578"/>
      <c r="BR380" s="578"/>
      <c r="BS380" s="578"/>
      <c r="BT380" s="578"/>
      <c r="BU380" s="578"/>
      <c r="BV380" s="578"/>
      <c r="BW380" s="578"/>
    </row>
    <row r="381" spans="2:75" ht="14.25" customHeight="1" x14ac:dyDescent="0.3">
      <c r="B381" s="823"/>
      <c r="D381" s="824"/>
      <c r="I381" s="825"/>
      <c r="AR381" s="826"/>
      <c r="AY381" s="827"/>
      <c r="BD381" s="577"/>
      <c r="BE381" s="578"/>
      <c r="BF381" s="578"/>
      <c r="BG381" s="578"/>
      <c r="BH381" s="578"/>
      <c r="BI381" s="578"/>
      <c r="BJ381" s="578"/>
      <c r="BK381" s="578"/>
      <c r="BL381" s="578"/>
      <c r="BM381" s="578"/>
      <c r="BN381" s="578"/>
      <c r="BO381" s="578"/>
      <c r="BP381" s="578"/>
      <c r="BQ381" s="578"/>
      <c r="BR381" s="578"/>
      <c r="BS381" s="578"/>
      <c r="BT381" s="578"/>
      <c r="BU381" s="578"/>
      <c r="BV381" s="578"/>
      <c r="BW381" s="578"/>
    </row>
    <row r="382" spans="2:75" ht="14.25" customHeight="1" x14ac:dyDescent="0.3">
      <c r="B382" s="823"/>
      <c r="D382" s="824"/>
      <c r="I382" s="825"/>
      <c r="AR382" s="826"/>
      <c r="AY382" s="827"/>
      <c r="BD382" s="577"/>
      <c r="BE382" s="578"/>
      <c r="BF382" s="578"/>
      <c r="BG382" s="578"/>
      <c r="BH382" s="578"/>
      <c r="BI382" s="578"/>
      <c r="BJ382" s="578"/>
      <c r="BK382" s="578"/>
      <c r="BL382" s="578"/>
      <c r="BM382" s="578"/>
      <c r="BN382" s="578"/>
      <c r="BO382" s="578"/>
      <c r="BP382" s="578"/>
      <c r="BQ382" s="578"/>
      <c r="BR382" s="578"/>
      <c r="BS382" s="578"/>
      <c r="BT382" s="578"/>
      <c r="BU382" s="578"/>
      <c r="BV382" s="578"/>
      <c r="BW382" s="578"/>
    </row>
    <row r="383" spans="2:75" ht="14.25" customHeight="1" x14ac:dyDescent="0.3">
      <c r="B383" s="823"/>
      <c r="D383" s="824"/>
      <c r="I383" s="825"/>
      <c r="AR383" s="826"/>
      <c r="AY383" s="827"/>
      <c r="BD383" s="577"/>
      <c r="BE383" s="578"/>
      <c r="BF383" s="578"/>
      <c r="BG383" s="578"/>
      <c r="BH383" s="578"/>
      <c r="BI383" s="578"/>
      <c r="BJ383" s="578"/>
      <c r="BK383" s="578"/>
      <c r="BL383" s="578"/>
      <c r="BM383" s="578"/>
      <c r="BN383" s="578"/>
      <c r="BO383" s="578"/>
      <c r="BP383" s="578"/>
      <c r="BQ383" s="578"/>
      <c r="BR383" s="578"/>
      <c r="BS383" s="578"/>
      <c r="BT383" s="578"/>
      <c r="BU383" s="578"/>
      <c r="BV383" s="578"/>
      <c r="BW383" s="578"/>
    </row>
    <row r="384" spans="2:75" ht="14.25" customHeight="1" x14ac:dyDescent="0.3">
      <c r="B384" s="823"/>
      <c r="D384" s="824"/>
      <c r="I384" s="825"/>
      <c r="AR384" s="826"/>
      <c r="AY384" s="827"/>
      <c r="BD384" s="577"/>
      <c r="BE384" s="578"/>
      <c r="BF384" s="578"/>
      <c r="BG384" s="578"/>
      <c r="BH384" s="578"/>
      <c r="BI384" s="578"/>
      <c r="BJ384" s="578"/>
      <c r="BK384" s="578"/>
      <c r="BL384" s="578"/>
      <c r="BM384" s="578"/>
      <c r="BN384" s="578"/>
      <c r="BO384" s="578"/>
      <c r="BP384" s="578"/>
      <c r="BQ384" s="578"/>
      <c r="BR384" s="578"/>
      <c r="BS384" s="578"/>
      <c r="BT384" s="578"/>
      <c r="BU384" s="578"/>
      <c r="BV384" s="578"/>
      <c r="BW384" s="578"/>
    </row>
    <row r="385" spans="2:75" ht="14.25" customHeight="1" x14ac:dyDescent="0.3">
      <c r="B385" s="823"/>
      <c r="D385" s="824"/>
      <c r="I385" s="825"/>
      <c r="AR385" s="826"/>
      <c r="AY385" s="827"/>
      <c r="BD385" s="577"/>
      <c r="BE385" s="578"/>
      <c r="BF385" s="578"/>
      <c r="BG385" s="578"/>
      <c r="BH385" s="578"/>
      <c r="BI385" s="578"/>
      <c r="BJ385" s="578"/>
      <c r="BK385" s="578"/>
      <c r="BL385" s="578"/>
      <c r="BM385" s="578"/>
      <c r="BN385" s="578"/>
      <c r="BO385" s="578"/>
      <c r="BP385" s="578"/>
      <c r="BQ385" s="578"/>
      <c r="BR385" s="578"/>
      <c r="BS385" s="578"/>
      <c r="BT385" s="578"/>
      <c r="BU385" s="578"/>
      <c r="BV385" s="578"/>
      <c r="BW385" s="578"/>
    </row>
    <row r="386" spans="2:75" ht="14.25" customHeight="1" x14ac:dyDescent="0.3">
      <c r="B386" s="823"/>
      <c r="D386" s="824"/>
      <c r="I386" s="825"/>
      <c r="AR386" s="826"/>
      <c r="AY386" s="827"/>
      <c r="BD386" s="577"/>
      <c r="BE386" s="578"/>
      <c r="BF386" s="578"/>
      <c r="BG386" s="578"/>
      <c r="BH386" s="578"/>
      <c r="BI386" s="578"/>
      <c r="BJ386" s="578"/>
      <c r="BK386" s="578"/>
      <c r="BL386" s="578"/>
      <c r="BM386" s="578"/>
      <c r="BN386" s="578"/>
      <c r="BO386" s="578"/>
      <c r="BP386" s="578"/>
      <c r="BQ386" s="578"/>
      <c r="BR386" s="578"/>
      <c r="BS386" s="578"/>
      <c r="BT386" s="578"/>
      <c r="BU386" s="578"/>
      <c r="BV386" s="578"/>
      <c r="BW386" s="578"/>
    </row>
    <row r="387" spans="2:75" ht="14.25" customHeight="1" x14ac:dyDescent="0.3">
      <c r="B387" s="823"/>
      <c r="D387" s="824"/>
      <c r="I387" s="825"/>
      <c r="AR387" s="826"/>
      <c r="AY387" s="827"/>
      <c r="BD387" s="577"/>
      <c r="BE387" s="578"/>
      <c r="BF387" s="578"/>
      <c r="BG387" s="578"/>
      <c r="BH387" s="578"/>
      <c r="BI387" s="578"/>
      <c r="BJ387" s="578"/>
      <c r="BK387" s="578"/>
      <c r="BL387" s="578"/>
      <c r="BM387" s="578"/>
      <c r="BN387" s="578"/>
      <c r="BO387" s="578"/>
      <c r="BP387" s="578"/>
      <c r="BQ387" s="578"/>
      <c r="BR387" s="578"/>
      <c r="BS387" s="578"/>
      <c r="BT387" s="578"/>
      <c r="BU387" s="578"/>
      <c r="BV387" s="578"/>
      <c r="BW387" s="578"/>
    </row>
    <row r="388" spans="2:75" ht="14.25" customHeight="1" x14ac:dyDescent="0.3">
      <c r="B388" s="823"/>
      <c r="D388" s="824"/>
      <c r="I388" s="825"/>
      <c r="AR388" s="826"/>
      <c r="AY388" s="827"/>
      <c r="BD388" s="577"/>
      <c r="BE388" s="578"/>
      <c r="BF388" s="578"/>
      <c r="BG388" s="578"/>
      <c r="BH388" s="578"/>
      <c r="BI388" s="578"/>
      <c r="BJ388" s="578"/>
      <c r="BK388" s="578"/>
      <c r="BL388" s="578"/>
      <c r="BM388" s="578"/>
      <c r="BN388" s="578"/>
      <c r="BO388" s="578"/>
      <c r="BP388" s="578"/>
      <c r="BQ388" s="578"/>
      <c r="BR388" s="578"/>
      <c r="BS388" s="578"/>
      <c r="BT388" s="578"/>
      <c r="BU388" s="578"/>
      <c r="BV388" s="578"/>
      <c r="BW388" s="578"/>
    </row>
    <row r="389" spans="2:75" ht="14.25" customHeight="1" x14ac:dyDescent="0.3">
      <c r="B389" s="823"/>
      <c r="D389" s="824"/>
      <c r="I389" s="825"/>
      <c r="AR389" s="826"/>
      <c r="AY389" s="827"/>
      <c r="BD389" s="577"/>
      <c r="BE389" s="578"/>
      <c r="BF389" s="578"/>
      <c r="BG389" s="578"/>
      <c r="BH389" s="578"/>
      <c r="BI389" s="578"/>
      <c r="BJ389" s="578"/>
      <c r="BK389" s="578"/>
      <c r="BL389" s="578"/>
      <c r="BM389" s="578"/>
      <c r="BN389" s="578"/>
      <c r="BO389" s="578"/>
      <c r="BP389" s="578"/>
      <c r="BQ389" s="578"/>
      <c r="BR389" s="578"/>
      <c r="BS389" s="578"/>
      <c r="BT389" s="578"/>
      <c r="BU389" s="578"/>
      <c r="BV389" s="578"/>
      <c r="BW389" s="578"/>
    </row>
    <row r="390" spans="2:75" ht="14.25" customHeight="1" x14ac:dyDescent="0.3">
      <c r="B390" s="823"/>
      <c r="D390" s="824"/>
      <c r="I390" s="825"/>
      <c r="AR390" s="826"/>
      <c r="AY390" s="827"/>
      <c r="BD390" s="577"/>
      <c r="BE390" s="578"/>
      <c r="BF390" s="578"/>
      <c r="BG390" s="578"/>
      <c r="BH390" s="578"/>
      <c r="BI390" s="578"/>
      <c r="BJ390" s="578"/>
      <c r="BK390" s="578"/>
      <c r="BL390" s="578"/>
      <c r="BM390" s="578"/>
      <c r="BN390" s="578"/>
      <c r="BO390" s="578"/>
      <c r="BP390" s="578"/>
      <c r="BQ390" s="578"/>
      <c r="BR390" s="578"/>
      <c r="BS390" s="578"/>
      <c r="BT390" s="578"/>
      <c r="BU390" s="578"/>
      <c r="BV390" s="578"/>
      <c r="BW390" s="578"/>
    </row>
    <row r="391" spans="2:75" ht="14.25" customHeight="1" x14ac:dyDescent="0.3">
      <c r="B391" s="823"/>
      <c r="D391" s="824"/>
      <c r="I391" s="825"/>
      <c r="AR391" s="826"/>
      <c r="AY391" s="827"/>
      <c r="BD391" s="577"/>
      <c r="BE391" s="578"/>
      <c r="BF391" s="578"/>
      <c r="BG391" s="578"/>
      <c r="BH391" s="578"/>
      <c r="BI391" s="578"/>
      <c r="BJ391" s="578"/>
      <c r="BK391" s="578"/>
      <c r="BL391" s="578"/>
      <c r="BM391" s="578"/>
      <c r="BN391" s="578"/>
      <c r="BO391" s="578"/>
      <c r="BP391" s="578"/>
      <c r="BQ391" s="578"/>
      <c r="BR391" s="578"/>
      <c r="BS391" s="578"/>
      <c r="BT391" s="578"/>
      <c r="BU391" s="578"/>
      <c r="BV391" s="578"/>
      <c r="BW391" s="578"/>
    </row>
    <row r="392" spans="2:75" ht="14.25" customHeight="1" x14ac:dyDescent="0.3">
      <c r="B392" s="823"/>
      <c r="D392" s="824"/>
      <c r="I392" s="825"/>
      <c r="AR392" s="826"/>
      <c r="AY392" s="827"/>
      <c r="BD392" s="577"/>
      <c r="BE392" s="578"/>
      <c r="BF392" s="578"/>
      <c r="BG392" s="578"/>
      <c r="BH392" s="578"/>
      <c r="BI392" s="578"/>
      <c r="BJ392" s="578"/>
      <c r="BK392" s="578"/>
      <c r="BL392" s="578"/>
      <c r="BM392" s="578"/>
      <c r="BN392" s="578"/>
      <c r="BO392" s="578"/>
      <c r="BP392" s="578"/>
      <c r="BQ392" s="578"/>
      <c r="BR392" s="578"/>
      <c r="BS392" s="578"/>
      <c r="BT392" s="578"/>
      <c r="BU392" s="578"/>
      <c r="BV392" s="578"/>
      <c r="BW392" s="578"/>
    </row>
    <row r="393" spans="2:75" ht="14.25" customHeight="1" x14ac:dyDescent="0.3">
      <c r="B393" s="823"/>
      <c r="D393" s="824"/>
      <c r="I393" s="825"/>
      <c r="AR393" s="826"/>
      <c r="AY393" s="827"/>
      <c r="BD393" s="577"/>
      <c r="BE393" s="578"/>
      <c r="BF393" s="578"/>
      <c r="BG393" s="578"/>
      <c r="BH393" s="578"/>
      <c r="BI393" s="578"/>
      <c r="BJ393" s="578"/>
      <c r="BK393" s="578"/>
      <c r="BL393" s="578"/>
      <c r="BM393" s="578"/>
      <c r="BN393" s="578"/>
      <c r="BO393" s="578"/>
      <c r="BP393" s="578"/>
      <c r="BQ393" s="578"/>
      <c r="BR393" s="578"/>
      <c r="BS393" s="578"/>
      <c r="BT393" s="578"/>
      <c r="BU393" s="578"/>
      <c r="BV393" s="578"/>
      <c r="BW393" s="578"/>
    </row>
    <row r="394" spans="2:75" ht="14.25" customHeight="1" x14ac:dyDescent="0.3">
      <c r="B394" s="823"/>
      <c r="D394" s="824"/>
      <c r="I394" s="825"/>
      <c r="AR394" s="826"/>
      <c r="AY394" s="827"/>
      <c r="BD394" s="577"/>
      <c r="BE394" s="578"/>
      <c r="BF394" s="578"/>
      <c r="BG394" s="578"/>
      <c r="BH394" s="578"/>
      <c r="BI394" s="578"/>
      <c r="BJ394" s="578"/>
      <c r="BK394" s="578"/>
      <c r="BL394" s="578"/>
      <c r="BM394" s="578"/>
      <c r="BN394" s="578"/>
      <c r="BO394" s="578"/>
      <c r="BP394" s="578"/>
      <c r="BQ394" s="578"/>
      <c r="BR394" s="578"/>
      <c r="BS394" s="578"/>
      <c r="BT394" s="578"/>
      <c r="BU394" s="578"/>
      <c r="BV394" s="578"/>
      <c r="BW394" s="578"/>
    </row>
    <row r="395" spans="2:75" ht="14.25" customHeight="1" x14ac:dyDescent="0.3">
      <c r="B395" s="823"/>
      <c r="D395" s="824"/>
      <c r="I395" s="825"/>
      <c r="AR395" s="826"/>
      <c r="AY395" s="827"/>
      <c r="BD395" s="577"/>
      <c r="BE395" s="578"/>
      <c r="BF395" s="578"/>
      <c r="BG395" s="578"/>
      <c r="BH395" s="578"/>
      <c r="BI395" s="578"/>
      <c r="BJ395" s="578"/>
      <c r="BK395" s="578"/>
      <c r="BL395" s="578"/>
      <c r="BM395" s="578"/>
      <c r="BN395" s="578"/>
      <c r="BO395" s="578"/>
      <c r="BP395" s="578"/>
      <c r="BQ395" s="578"/>
      <c r="BR395" s="578"/>
      <c r="BS395" s="578"/>
      <c r="BT395" s="578"/>
      <c r="BU395" s="578"/>
      <c r="BV395" s="578"/>
      <c r="BW395" s="578"/>
    </row>
    <row r="396" spans="2:75" ht="14.25" customHeight="1" x14ac:dyDescent="0.3">
      <c r="B396" s="823"/>
      <c r="D396" s="824"/>
      <c r="I396" s="825"/>
      <c r="AR396" s="826"/>
      <c r="AY396" s="827"/>
      <c r="BD396" s="577"/>
      <c r="BE396" s="578"/>
      <c r="BF396" s="578"/>
      <c r="BG396" s="578"/>
      <c r="BH396" s="578"/>
      <c r="BI396" s="578"/>
      <c r="BJ396" s="578"/>
      <c r="BK396" s="578"/>
      <c r="BL396" s="578"/>
      <c r="BM396" s="578"/>
      <c r="BN396" s="578"/>
      <c r="BO396" s="578"/>
      <c r="BP396" s="578"/>
      <c r="BQ396" s="578"/>
      <c r="BR396" s="578"/>
      <c r="BS396" s="578"/>
      <c r="BT396" s="578"/>
      <c r="BU396" s="578"/>
      <c r="BV396" s="578"/>
      <c r="BW396" s="578"/>
    </row>
    <row r="397" spans="2:75" ht="14.25" customHeight="1" x14ac:dyDescent="0.3">
      <c r="B397" s="823"/>
      <c r="D397" s="824"/>
      <c r="I397" s="825"/>
      <c r="AR397" s="826"/>
      <c r="AY397" s="827"/>
      <c r="BD397" s="577"/>
      <c r="BE397" s="578"/>
      <c r="BF397" s="578"/>
      <c r="BG397" s="578"/>
      <c r="BH397" s="578"/>
      <c r="BI397" s="578"/>
      <c r="BJ397" s="578"/>
      <c r="BK397" s="578"/>
      <c r="BL397" s="578"/>
      <c r="BM397" s="578"/>
      <c r="BN397" s="578"/>
      <c r="BO397" s="578"/>
      <c r="BP397" s="578"/>
      <c r="BQ397" s="578"/>
      <c r="BR397" s="578"/>
      <c r="BS397" s="578"/>
      <c r="BT397" s="578"/>
      <c r="BU397" s="578"/>
      <c r="BV397" s="578"/>
      <c r="BW397" s="578"/>
    </row>
    <row r="398" spans="2:75" ht="14.25" customHeight="1" x14ac:dyDescent="0.3">
      <c r="B398" s="823"/>
      <c r="D398" s="824"/>
      <c r="I398" s="825"/>
      <c r="AR398" s="826"/>
      <c r="AY398" s="827"/>
      <c r="BD398" s="577"/>
      <c r="BE398" s="578"/>
      <c r="BF398" s="578"/>
      <c r="BG398" s="578"/>
      <c r="BH398" s="578"/>
      <c r="BI398" s="578"/>
      <c r="BJ398" s="578"/>
      <c r="BK398" s="578"/>
      <c r="BL398" s="578"/>
      <c r="BM398" s="578"/>
      <c r="BN398" s="578"/>
      <c r="BO398" s="578"/>
      <c r="BP398" s="578"/>
      <c r="BQ398" s="578"/>
      <c r="BR398" s="578"/>
      <c r="BS398" s="578"/>
      <c r="BT398" s="578"/>
      <c r="BU398" s="578"/>
      <c r="BV398" s="578"/>
      <c r="BW398" s="578"/>
    </row>
    <row r="399" spans="2:75" ht="14.25" customHeight="1" x14ac:dyDescent="0.3">
      <c r="B399" s="823"/>
      <c r="D399" s="824"/>
      <c r="I399" s="825"/>
      <c r="AR399" s="826"/>
      <c r="AY399" s="827"/>
      <c r="BD399" s="577"/>
      <c r="BE399" s="578"/>
      <c r="BF399" s="578"/>
      <c r="BG399" s="578"/>
      <c r="BH399" s="578"/>
      <c r="BI399" s="578"/>
      <c r="BJ399" s="578"/>
      <c r="BK399" s="578"/>
      <c r="BL399" s="578"/>
      <c r="BM399" s="578"/>
      <c r="BN399" s="578"/>
      <c r="BO399" s="578"/>
      <c r="BP399" s="578"/>
      <c r="BQ399" s="578"/>
      <c r="BR399" s="578"/>
      <c r="BS399" s="578"/>
      <c r="BT399" s="578"/>
      <c r="BU399" s="578"/>
      <c r="BV399" s="578"/>
      <c r="BW399" s="578"/>
    </row>
    <row r="400" spans="2:75" ht="14.25" customHeight="1" x14ac:dyDescent="0.3">
      <c r="B400" s="823"/>
      <c r="D400" s="824"/>
      <c r="I400" s="825"/>
      <c r="AR400" s="826"/>
      <c r="AY400" s="827"/>
      <c r="BD400" s="577"/>
      <c r="BE400" s="578"/>
      <c r="BF400" s="578"/>
      <c r="BG400" s="578"/>
      <c r="BH400" s="578"/>
      <c r="BI400" s="578"/>
      <c r="BJ400" s="578"/>
      <c r="BK400" s="578"/>
      <c r="BL400" s="578"/>
      <c r="BM400" s="578"/>
      <c r="BN400" s="578"/>
      <c r="BO400" s="578"/>
      <c r="BP400" s="578"/>
      <c r="BQ400" s="578"/>
      <c r="BR400" s="578"/>
      <c r="BS400" s="578"/>
      <c r="BT400" s="578"/>
      <c r="BU400" s="578"/>
      <c r="BV400" s="578"/>
      <c r="BW400" s="578"/>
    </row>
    <row r="401" spans="2:75" ht="14.25" customHeight="1" x14ac:dyDescent="0.3">
      <c r="B401" s="823"/>
      <c r="D401" s="824"/>
      <c r="I401" s="825"/>
      <c r="AR401" s="826"/>
      <c r="AY401" s="827"/>
      <c r="BD401" s="577"/>
      <c r="BE401" s="578"/>
      <c r="BF401" s="578"/>
      <c r="BG401" s="578"/>
      <c r="BH401" s="578"/>
      <c r="BI401" s="578"/>
      <c r="BJ401" s="578"/>
      <c r="BK401" s="578"/>
      <c r="BL401" s="578"/>
      <c r="BM401" s="578"/>
      <c r="BN401" s="578"/>
      <c r="BO401" s="578"/>
      <c r="BP401" s="578"/>
      <c r="BQ401" s="578"/>
      <c r="BR401" s="578"/>
      <c r="BS401" s="578"/>
      <c r="BT401" s="578"/>
      <c r="BU401" s="578"/>
      <c r="BV401" s="578"/>
      <c r="BW401" s="578"/>
    </row>
    <row r="402" spans="2:75" ht="14.25" customHeight="1" x14ac:dyDescent="0.3">
      <c r="B402" s="823"/>
      <c r="D402" s="824"/>
      <c r="I402" s="825"/>
      <c r="AR402" s="826"/>
      <c r="AY402" s="827"/>
      <c r="BD402" s="577"/>
      <c r="BE402" s="578"/>
      <c r="BF402" s="578"/>
      <c r="BG402" s="578"/>
      <c r="BH402" s="578"/>
      <c r="BI402" s="578"/>
      <c r="BJ402" s="578"/>
      <c r="BK402" s="578"/>
      <c r="BL402" s="578"/>
      <c r="BM402" s="578"/>
      <c r="BN402" s="578"/>
      <c r="BO402" s="578"/>
      <c r="BP402" s="578"/>
      <c r="BQ402" s="578"/>
      <c r="BR402" s="578"/>
      <c r="BS402" s="578"/>
      <c r="BT402" s="578"/>
      <c r="BU402" s="578"/>
      <c r="BV402" s="578"/>
      <c r="BW402" s="578"/>
    </row>
    <row r="403" spans="2:75" ht="14.25" customHeight="1" x14ac:dyDescent="0.3">
      <c r="B403" s="823"/>
      <c r="D403" s="824"/>
      <c r="I403" s="825"/>
      <c r="AR403" s="826"/>
      <c r="AY403" s="827"/>
      <c r="BD403" s="577"/>
      <c r="BE403" s="578"/>
      <c r="BF403" s="578"/>
      <c r="BG403" s="578"/>
      <c r="BH403" s="578"/>
      <c r="BI403" s="578"/>
      <c r="BJ403" s="578"/>
      <c r="BK403" s="578"/>
      <c r="BL403" s="578"/>
      <c r="BM403" s="578"/>
      <c r="BN403" s="578"/>
      <c r="BO403" s="578"/>
      <c r="BP403" s="578"/>
      <c r="BQ403" s="578"/>
      <c r="BR403" s="578"/>
      <c r="BS403" s="578"/>
      <c r="BT403" s="578"/>
      <c r="BU403" s="578"/>
      <c r="BV403" s="578"/>
      <c r="BW403" s="578"/>
    </row>
    <row r="404" spans="2:75" ht="14.25" customHeight="1" x14ac:dyDescent="0.3">
      <c r="B404" s="823"/>
      <c r="D404" s="824"/>
      <c r="I404" s="825"/>
      <c r="AR404" s="826"/>
      <c r="AY404" s="827"/>
      <c r="BD404" s="577"/>
      <c r="BE404" s="578"/>
      <c r="BF404" s="578"/>
      <c r="BG404" s="578"/>
      <c r="BH404" s="578"/>
      <c r="BI404" s="578"/>
      <c r="BJ404" s="578"/>
      <c r="BK404" s="578"/>
      <c r="BL404" s="578"/>
      <c r="BM404" s="578"/>
      <c r="BN404" s="578"/>
      <c r="BO404" s="578"/>
      <c r="BP404" s="578"/>
      <c r="BQ404" s="578"/>
      <c r="BR404" s="578"/>
      <c r="BS404" s="578"/>
      <c r="BT404" s="578"/>
      <c r="BU404" s="578"/>
      <c r="BV404" s="578"/>
      <c r="BW404" s="578"/>
    </row>
    <row r="405" spans="2:75" ht="14.25" customHeight="1" x14ac:dyDescent="0.3">
      <c r="B405" s="823"/>
      <c r="D405" s="824"/>
      <c r="I405" s="825"/>
      <c r="AR405" s="826"/>
      <c r="AY405" s="827"/>
      <c r="BD405" s="577"/>
      <c r="BE405" s="578"/>
      <c r="BF405" s="578"/>
      <c r="BG405" s="578"/>
      <c r="BH405" s="578"/>
      <c r="BI405" s="578"/>
      <c r="BJ405" s="578"/>
      <c r="BK405" s="578"/>
      <c r="BL405" s="578"/>
      <c r="BM405" s="578"/>
      <c r="BN405" s="578"/>
      <c r="BO405" s="578"/>
      <c r="BP405" s="578"/>
      <c r="BQ405" s="578"/>
      <c r="BR405" s="578"/>
      <c r="BS405" s="578"/>
      <c r="BT405" s="578"/>
      <c r="BU405" s="578"/>
      <c r="BV405" s="578"/>
      <c r="BW405" s="578"/>
    </row>
    <row r="406" spans="2:75" ht="14.25" customHeight="1" x14ac:dyDescent="0.3">
      <c r="B406" s="823"/>
      <c r="D406" s="824"/>
      <c r="I406" s="825"/>
      <c r="AR406" s="826"/>
      <c r="AY406" s="827"/>
      <c r="BD406" s="577"/>
      <c r="BE406" s="578"/>
      <c r="BF406" s="578"/>
      <c r="BG406" s="578"/>
      <c r="BH406" s="578"/>
      <c r="BI406" s="578"/>
      <c r="BJ406" s="578"/>
      <c r="BK406" s="578"/>
      <c r="BL406" s="578"/>
      <c r="BM406" s="578"/>
      <c r="BN406" s="578"/>
      <c r="BO406" s="578"/>
      <c r="BP406" s="578"/>
      <c r="BQ406" s="578"/>
      <c r="BR406" s="578"/>
      <c r="BS406" s="578"/>
      <c r="BT406" s="578"/>
      <c r="BU406" s="578"/>
      <c r="BV406" s="578"/>
      <c r="BW406" s="578"/>
    </row>
    <row r="407" spans="2:75" ht="14.25" customHeight="1" x14ac:dyDescent="0.3">
      <c r="B407" s="823"/>
      <c r="D407" s="824"/>
      <c r="I407" s="825"/>
      <c r="AR407" s="826"/>
      <c r="AY407" s="827"/>
      <c r="BD407" s="577"/>
      <c r="BE407" s="578"/>
      <c r="BF407" s="578"/>
      <c r="BG407" s="578"/>
      <c r="BH407" s="578"/>
      <c r="BI407" s="578"/>
      <c r="BJ407" s="578"/>
      <c r="BK407" s="578"/>
      <c r="BL407" s="578"/>
      <c r="BM407" s="578"/>
      <c r="BN407" s="578"/>
      <c r="BO407" s="578"/>
      <c r="BP407" s="578"/>
      <c r="BQ407" s="578"/>
      <c r="BR407" s="578"/>
      <c r="BS407" s="578"/>
      <c r="BT407" s="578"/>
      <c r="BU407" s="578"/>
      <c r="BV407" s="578"/>
      <c r="BW407" s="578"/>
    </row>
    <row r="408" spans="2:75" ht="14.25" customHeight="1" x14ac:dyDescent="0.3">
      <c r="B408" s="823"/>
      <c r="D408" s="824"/>
      <c r="I408" s="825"/>
      <c r="AR408" s="826"/>
      <c r="AY408" s="827"/>
      <c r="BD408" s="577"/>
      <c r="BE408" s="578"/>
      <c r="BF408" s="578"/>
      <c r="BG408" s="578"/>
      <c r="BH408" s="578"/>
      <c r="BI408" s="578"/>
      <c r="BJ408" s="578"/>
      <c r="BK408" s="578"/>
      <c r="BL408" s="578"/>
      <c r="BM408" s="578"/>
      <c r="BN408" s="578"/>
      <c r="BO408" s="578"/>
      <c r="BP408" s="578"/>
      <c r="BQ408" s="578"/>
      <c r="BR408" s="578"/>
      <c r="BS408" s="578"/>
      <c r="BT408" s="578"/>
      <c r="BU408" s="578"/>
      <c r="BV408" s="578"/>
      <c r="BW408" s="578"/>
    </row>
    <row r="409" spans="2:75" ht="14.25" customHeight="1" x14ac:dyDescent="0.3">
      <c r="B409" s="823"/>
      <c r="D409" s="824"/>
      <c r="I409" s="825"/>
      <c r="AR409" s="826"/>
      <c r="AY409" s="827"/>
      <c r="BD409" s="577"/>
      <c r="BE409" s="578"/>
      <c r="BF409" s="578"/>
      <c r="BG409" s="578"/>
      <c r="BH409" s="578"/>
      <c r="BI409" s="578"/>
      <c r="BJ409" s="578"/>
      <c r="BK409" s="578"/>
      <c r="BL409" s="578"/>
      <c r="BM409" s="578"/>
      <c r="BN409" s="578"/>
      <c r="BO409" s="578"/>
      <c r="BP409" s="578"/>
      <c r="BQ409" s="578"/>
      <c r="BR409" s="578"/>
      <c r="BS409" s="578"/>
      <c r="BT409" s="578"/>
      <c r="BU409" s="578"/>
      <c r="BV409" s="578"/>
      <c r="BW409" s="578"/>
    </row>
    <row r="410" spans="2:75" ht="14.25" customHeight="1" x14ac:dyDescent="0.3">
      <c r="B410" s="823"/>
      <c r="D410" s="824"/>
      <c r="I410" s="825"/>
      <c r="AR410" s="826"/>
      <c r="AY410" s="827"/>
      <c r="BD410" s="577"/>
      <c r="BE410" s="578"/>
      <c r="BF410" s="578"/>
      <c r="BG410" s="578"/>
      <c r="BH410" s="578"/>
      <c r="BI410" s="578"/>
      <c r="BJ410" s="578"/>
      <c r="BK410" s="578"/>
      <c r="BL410" s="578"/>
      <c r="BM410" s="578"/>
      <c r="BN410" s="578"/>
      <c r="BO410" s="578"/>
      <c r="BP410" s="578"/>
      <c r="BQ410" s="578"/>
      <c r="BR410" s="578"/>
      <c r="BS410" s="578"/>
      <c r="BT410" s="578"/>
      <c r="BU410" s="578"/>
      <c r="BV410" s="578"/>
      <c r="BW410" s="578"/>
    </row>
    <row r="411" spans="2:75" ht="14.25" customHeight="1" x14ac:dyDescent="0.3">
      <c r="B411" s="823"/>
      <c r="D411" s="824"/>
      <c r="I411" s="825"/>
      <c r="AR411" s="826"/>
      <c r="AY411" s="827"/>
      <c r="BD411" s="577"/>
      <c r="BE411" s="578"/>
      <c r="BF411" s="578"/>
      <c r="BG411" s="578"/>
      <c r="BH411" s="578"/>
      <c r="BI411" s="578"/>
      <c r="BJ411" s="578"/>
      <c r="BK411" s="578"/>
      <c r="BL411" s="578"/>
      <c r="BM411" s="578"/>
      <c r="BN411" s="578"/>
      <c r="BO411" s="578"/>
      <c r="BP411" s="578"/>
      <c r="BQ411" s="578"/>
      <c r="BR411" s="578"/>
      <c r="BS411" s="578"/>
      <c r="BT411" s="578"/>
      <c r="BU411" s="578"/>
      <c r="BV411" s="578"/>
      <c r="BW411" s="578"/>
    </row>
    <row r="412" spans="2:75" ht="14.25" customHeight="1" x14ac:dyDescent="0.3">
      <c r="B412" s="823"/>
      <c r="D412" s="824"/>
      <c r="I412" s="825"/>
      <c r="AR412" s="826"/>
      <c r="AY412" s="827"/>
      <c r="BD412" s="577"/>
      <c r="BE412" s="578"/>
      <c r="BF412" s="578"/>
      <c r="BG412" s="578"/>
      <c r="BH412" s="578"/>
      <c r="BI412" s="578"/>
      <c r="BJ412" s="578"/>
      <c r="BK412" s="578"/>
      <c r="BL412" s="578"/>
      <c r="BM412" s="578"/>
      <c r="BN412" s="578"/>
      <c r="BO412" s="578"/>
      <c r="BP412" s="578"/>
      <c r="BQ412" s="578"/>
      <c r="BR412" s="578"/>
      <c r="BS412" s="578"/>
      <c r="BT412" s="578"/>
      <c r="BU412" s="578"/>
      <c r="BV412" s="578"/>
      <c r="BW412" s="578"/>
    </row>
    <row r="413" spans="2:75" ht="14.25" customHeight="1" x14ac:dyDescent="0.3">
      <c r="B413" s="823"/>
      <c r="D413" s="824"/>
      <c r="I413" s="825"/>
      <c r="AR413" s="826"/>
      <c r="AY413" s="827"/>
      <c r="BD413" s="577"/>
      <c r="BE413" s="578"/>
      <c r="BF413" s="578"/>
      <c r="BG413" s="578"/>
      <c r="BH413" s="578"/>
      <c r="BI413" s="578"/>
      <c r="BJ413" s="578"/>
      <c r="BK413" s="578"/>
      <c r="BL413" s="578"/>
      <c r="BM413" s="578"/>
      <c r="BN413" s="578"/>
      <c r="BO413" s="578"/>
      <c r="BP413" s="578"/>
      <c r="BQ413" s="578"/>
      <c r="BR413" s="578"/>
      <c r="BS413" s="578"/>
      <c r="BT413" s="578"/>
      <c r="BU413" s="578"/>
      <c r="BV413" s="578"/>
      <c r="BW413" s="578"/>
    </row>
    <row r="414" spans="2:75" ht="14.25" customHeight="1" x14ac:dyDescent="0.3">
      <c r="B414" s="823"/>
      <c r="D414" s="824"/>
      <c r="I414" s="825"/>
      <c r="AR414" s="826"/>
      <c r="AY414" s="827"/>
      <c r="BD414" s="577"/>
      <c r="BE414" s="578"/>
      <c r="BF414" s="578"/>
      <c r="BG414" s="578"/>
      <c r="BH414" s="578"/>
      <c r="BI414" s="578"/>
      <c r="BJ414" s="578"/>
      <c r="BK414" s="578"/>
      <c r="BL414" s="578"/>
      <c r="BM414" s="578"/>
      <c r="BN414" s="578"/>
      <c r="BO414" s="578"/>
      <c r="BP414" s="578"/>
      <c r="BQ414" s="578"/>
      <c r="BR414" s="578"/>
      <c r="BS414" s="578"/>
      <c r="BT414" s="578"/>
      <c r="BU414" s="578"/>
      <c r="BV414" s="578"/>
      <c r="BW414" s="578"/>
    </row>
    <row r="415" spans="2:75" ht="14.25" customHeight="1" x14ac:dyDescent="0.3">
      <c r="B415" s="823"/>
      <c r="D415" s="824"/>
      <c r="I415" s="825"/>
      <c r="AR415" s="826"/>
      <c r="AY415" s="827"/>
      <c r="BD415" s="577"/>
      <c r="BE415" s="578"/>
      <c r="BF415" s="578"/>
      <c r="BG415" s="578"/>
      <c r="BH415" s="578"/>
      <c r="BI415" s="578"/>
      <c r="BJ415" s="578"/>
      <c r="BK415" s="578"/>
      <c r="BL415" s="578"/>
      <c r="BM415" s="578"/>
      <c r="BN415" s="578"/>
      <c r="BO415" s="578"/>
      <c r="BP415" s="578"/>
      <c r="BQ415" s="578"/>
      <c r="BR415" s="578"/>
      <c r="BS415" s="578"/>
      <c r="BT415" s="578"/>
      <c r="BU415" s="578"/>
      <c r="BV415" s="578"/>
      <c r="BW415" s="578"/>
    </row>
    <row r="416" spans="2:75" ht="14.25" customHeight="1" x14ac:dyDescent="0.3">
      <c r="B416" s="823"/>
      <c r="D416" s="824"/>
      <c r="I416" s="825"/>
      <c r="AR416" s="826"/>
      <c r="AY416" s="827"/>
      <c r="BD416" s="577"/>
      <c r="BE416" s="578"/>
      <c r="BF416" s="578"/>
      <c r="BG416" s="578"/>
      <c r="BH416" s="578"/>
      <c r="BI416" s="578"/>
      <c r="BJ416" s="578"/>
      <c r="BK416" s="578"/>
      <c r="BL416" s="578"/>
      <c r="BM416" s="578"/>
      <c r="BN416" s="578"/>
      <c r="BO416" s="578"/>
      <c r="BP416" s="578"/>
      <c r="BQ416" s="578"/>
      <c r="BR416" s="578"/>
      <c r="BS416" s="578"/>
      <c r="BT416" s="578"/>
      <c r="BU416" s="578"/>
      <c r="BV416" s="578"/>
      <c r="BW416" s="578"/>
    </row>
    <row r="417" spans="2:75" ht="14.25" customHeight="1" x14ac:dyDescent="0.3">
      <c r="B417" s="823"/>
      <c r="D417" s="824"/>
      <c r="I417" s="825"/>
      <c r="AR417" s="826"/>
      <c r="AY417" s="827"/>
      <c r="BD417" s="577"/>
      <c r="BE417" s="578"/>
      <c r="BF417" s="578"/>
      <c r="BG417" s="578"/>
      <c r="BH417" s="578"/>
      <c r="BI417" s="578"/>
      <c r="BJ417" s="578"/>
      <c r="BK417" s="578"/>
      <c r="BL417" s="578"/>
      <c r="BM417" s="578"/>
      <c r="BN417" s="578"/>
      <c r="BO417" s="578"/>
      <c r="BP417" s="578"/>
      <c r="BQ417" s="578"/>
      <c r="BR417" s="578"/>
      <c r="BS417" s="578"/>
      <c r="BT417" s="578"/>
      <c r="BU417" s="578"/>
      <c r="BV417" s="578"/>
      <c r="BW417" s="578"/>
    </row>
    <row r="418" spans="2:75" ht="14.25" customHeight="1" x14ac:dyDescent="0.3">
      <c r="B418" s="823"/>
      <c r="D418" s="824"/>
      <c r="I418" s="825"/>
      <c r="AR418" s="826"/>
      <c r="AY418" s="827"/>
      <c r="BD418" s="577"/>
      <c r="BE418" s="578"/>
      <c r="BF418" s="578"/>
      <c r="BG418" s="578"/>
      <c r="BH418" s="578"/>
      <c r="BI418" s="578"/>
      <c r="BJ418" s="578"/>
      <c r="BK418" s="578"/>
      <c r="BL418" s="578"/>
      <c r="BM418" s="578"/>
      <c r="BN418" s="578"/>
      <c r="BO418" s="578"/>
      <c r="BP418" s="578"/>
      <c r="BQ418" s="578"/>
      <c r="BR418" s="578"/>
      <c r="BS418" s="578"/>
      <c r="BT418" s="578"/>
      <c r="BU418" s="578"/>
      <c r="BV418" s="578"/>
      <c r="BW418" s="578"/>
    </row>
    <row r="419" spans="2:75" ht="14.25" customHeight="1" x14ac:dyDescent="0.3">
      <c r="B419" s="823"/>
      <c r="D419" s="824"/>
      <c r="I419" s="825"/>
      <c r="AR419" s="826"/>
      <c r="AY419" s="827"/>
      <c r="BD419" s="577"/>
      <c r="BE419" s="578"/>
      <c r="BF419" s="578"/>
      <c r="BG419" s="578"/>
      <c r="BH419" s="578"/>
      <c r="BI419" s="578"/>
      <c r="BJ419" s="578"/>
      <c r="BK419" s="578"/>
      <c r="BL419" s="578"/>
      <c r="BM419" s="578"/>
      <c r="BN419" s="578"/>
      <c r="BO419" s="578"/>
      <c r="BP419" s="578"/>
      <c r="BQ419" s="578"/>
      <c r="BR419" s="578"/>
      <c r="BS419" s="578"/>
      <c r="BT419" s="578"/>
      <c r="BU419" s="578"/>
      <c r="BV419" s="578"/>
      <c r="BW419" s="578"/>
    </row>
    <row r="420" spans="2:75" ht="14.25" customHeight="1" x14ac:dyDescent="0.3">
      <c r="B420" s="823"/>
      <c r="D420" s="824"/>
      <c r="I420" s="825"/>
      <c r="AR420" s="826"/>
      <c r="AY420" s="827"/>
      <c r="BD420" s="577"/>
      <c r="BE420" s="578"/>
      <c r="BF420" s="578"/>
      <c r="BG420" s="578"/>
      <c r="BH420" s="578"/>
      <c r="BI420" s="578"/>
      <c r="BJ420" s="578"/>
      <c r="BK420" s="578"/>
      <c r="BL420" s="578"/>
      <c r="BM420" s="578"/>
      <c r="BN420" s="578"/>
      <c r="BO420" s="578"/>
      <c r="BP420" s="578"/>
      <c r="BQ420" s="578"/>
      <c r="BR420" s="578"/>
      <c r="BS420" s="578"/>
      <c r="BT420" s="578"/>
      <c r="BU420" s="578"/>
      <c r="BV420" s="578"/>
      <c r="BW420" s="578"/>
    </row>
    <row r="421" spans="2:75" ht="14.25" customHeight="1" x14ac:dyDescent="0.3">
      <c r="B421" s="823"/>
      <c r="D421" s="824"/>
      <c r="I421" s="825"/>
      <c r="AR421" s="826"/>
      <c r="AY421" s="827"/>
      <c r="BD421" s="577"/>
      <c r="BE421" s="578"/>
      <c r="BF421" s="578"/>
      <c r="BG421" s="578"/>
      <c r="BH421" s="578"/>
      <c r="BI421" s="578"/>
      <c r="BJ421" s="578"/>
      <c r="BK421" s="578"/>
      <c r="BL421" s="578"/>
      <c r="BM421" s="578"/>
      <c r="BN421" s="578"/>
      <c r="BO421" s="578"/>
      <c r="BP421" s="578"/>
      <c r="BQ421" s="578"/>
      <c r="BR421" s="578"/>
      <c r="BS421" s="578"/>
      <c r="BT421" s="578"/>
      <c r="BU421" s="578"/>
      <c r="BV421" s="578"/>
      <c r="BW421" s="578"/>
    </row>
    <row r="422" spans="2:75" ht="14.25" customHeight="1" x14ac:dyDescent="0.3">
      <c r="B422" s="823"/>
      <c r="D422" s="824"/>
      <c r="I422" s="825"/>
      <c r="AR422" s="826"/>
      <c r="AY422" s="827"/>
      <c r="BD422" s="577"/>
      <c r="BE422" s="578"/>
      <c r="BF422" s="578"/>
      <c r="BG422" s="578"/>
      <c r="BH422" s="578"/>
      <c r="BI422" s="578"/>
      <c r="BJ422" s="578"/>
      <c r="BK422" s="578"/>
      <c r="BL422" s="578"/>
      <c r="BM422" s="578"/>
      <c r="BN422" s="578"/>
      <c r="BO422" s="578"/>
      <c r="BP422" s="578"/>
      <c r="BQ422" s="578"/>
      <c r="BR422" s="578"/>
      <c r="BS422" s="578"/>
      <c r="BT422" s="578"/>
      <c r="BU422" s="578"/>
      <c r="BV422" s="578"/>
      <c r="BW422" s="578"/>
    </row>
    <row r="423" spans="2:75" ht="14.25" customHeight="1" x14ac:dyDescent="0.3">
      <c r="B423" s="823"/>
      <c r="D423" s="824"/>
      <c r="I423" s="825"/>
      <c r="AR423" s="826"/>
      <c r="AY423" s="827"/>
      <c r="BD423" s="577"/>
      <c r="BE423" s="578"/>
      <c r="BF423" s="578"/>
      <c r="BG423" s="578"/>
      <c r="BH423" s="578"/>
      <c r="BI423" s="578"/>
      <c r="BJ423" s="578"/>
      <c r="BK423" s="578"/>
      <c r="BL423" s="578"/>
      <c r="BM423" s="578"/>
      <c r="BN423" s="578"/>
      <c r="BO423" s="578"/>
      <c r="BP423" s="578"/>
      <c r="BQ423" s="578"/>
      <c r="BR423" s="578"/>
      <c r="BS423" s="578"/>
      <c r="BT423" s="578"/>
      <c r="BU423" s="578"/>
      <c r="BV423" s="578"/>
      <c r="BW423" s="578"/>
    </row>
    <row r="424" spans="2:75" ht="14.25" customHeight="1" x14ac:dyDescent="0.3">
      <c r="B424" s="823"/>
      <c r="D424" s="824"/>
      <c r="I424" s="825"/>
      <c r="AR424" s="826"/>
      <c r="AY424" s="827"/>
      <c r="BD424" s="577"/>
      <c r="BE424" s="578"/>
      <c r="BF424" s="578"/>
      <c r="BG424" s="578"/>
      <c r="BH424" s="578"/>
      <c r="BI424" s="578"/>
      <c r="BJ424" s="578"/>
      <c r="BK424" s="578"/>
      <c r="BL424" s="578"/>
      <c r="BM424" s="578"/>
      <c r="BN424" s="578"/>
      <c r="BO424" s="578"/>
      <c r="BP424" s="578"/>
      <c r="BQ424" s="578"/>
      <c r="BR424" s="578"/>
      <c r="BS424" s="578"/>
      <c r="BT424" s="578"/>
      <c r="BU424" s="578"/>
      <c r="BV424" s="578"/>
      <c r="BW424" s="578"/>
    </row>
    <row r="425" spans="2:75" ht="14.25" customHeight="1" x14ac:dyDescent="0.3">
      <c r="B425" s="823"/>
      <c r="D425" s="824"/>
      <c r="I425" s="825"/>
      <c r="AR425" s="826"/>
      <c r="AY425" s="827"/>
      <c r="BD425" s="577"/>
      <c r="BE425" s="578"/>
      <c r="BF425" s="578"/>
      <c r="BG425" s="578"/>
      <c r="BH425" s="578"/>
      <c r="BI425" s="578"/>
      <c r="BJ425" s="578"/>
      <c r="BK425" s="578"/>
      <c r="BL425" s="578"/>
      <c r="BM425" s="578"/>
      <c r="BN425" s="578"/>
      <c r="BO425" s="578"/>
      <c r="BP425" s="578"/>
      <c r="BQ425" s="578"/>
      <c r="BR425" s="578"/>
      <c r="BS425" s="578"/>
      <c r="BT425" s="578"/>
      <c r="BU425" s="578"/>
      <c r="BV425" s="578"/>
      <c r="BW425" s="578"/>
    </row>
    <row r="426" spans="2:75" ht="14.25" customHeight="1" x14ac:dyDescent="0.3">
      <c r="B426" s="823"/>
      <c r="D426" s="824"/>
      <c r="I426" s="825"/>
      <c r="AR426" s="826"/>
      <c r="AY426" s="827"/>
      <c r="BD426" s="577"/>
      <c r="BE426" s="578"/>
      <c r="BF426" s="578"/>
      <c r="BG426" s="578"/>
      <c r="BH426" s="578"/>
      <c r="BI426" s="578"/>
      <c r="BJ426" s="578"/>
      <c r="BK426" s="578"/>
      <c r="BL426" s="578"/>
      <c r="BM426" s="578"/>
      <c r="BN426" s="578"/>
      <c r="BO426" s="578"/>
      <c r="BP426" s="578"/>
      <c r="BQ426" s="578"/>
      <c r="BR426" s="578"/>
      <c r="BS426" s="578"/>
      <c r="BT426" s="578"/>
      <c r="BU426" s="578"/>
      <c r="BV426" s="578"/>
      <c r="BW426" s="578"/>
    </row>
    <row r="427" spans="2:75" ht="14.25" customHeight="1" x14ac:dyDescent="0.3">
      <c r="B427" s="823"/>
      <c r="D427" s="824"/>
      <c r="I427" s="825"/>
      <c r="AR427" s="826"/>
      <c r="AY427" s="827"/>
      <c r="BD427" s="577"/>
      <c r="BE427" s="578"/>
      <c r="BF427" s="578"/>
      <c r="BG427" s="578"/>
      <c r="BH427" s="578"/>
      <c r="BI427" s="578"/>
      <c r="BJ427" s="578"/>
      <c r="BK427" s="578"/>
      <c r="BL427" s="578"/>
      <c r="BM427" s="578"/>
      <c r="BN427" s="578"/>
      <c r="BO427" s="578"/>
      <c r="BP427" s="578"/>
      <c r="BQ427" s="578"/>
      <c r="BR427" s="578"/>
      <c r="BS427" s="578"/>
      <c r="BT427" s="578"/>
      <c r="BU427" s="578"/>
      <c r="BV427" s="578"/>
      <c r="BW427" s="578"/>
    </row>
    <row r="428" spans="2:75" ht="14.25" customHeight="1" x14ac:dyDescent="0.3">
      <c r="B428" s="823"/>
      <c r="D428" s="824"/>
      <c r="I428" s="825"/>
      <c r="AR428" s="826"/>
      <c r="AY428" s="827"/>
      <c r="BD428" s="577"/>
      <c r="BE428" s="578"/>
      <c r="BF428" s="578"/>
      <c r="BG428" s="578"/>
      <c r="BH428" s="578"/>
      <c r="BI428" s="578"/>
      <c r="BJ428" s="578"/>
      <c r="BK428" s="578"/>
      <c r="BL428" s="578"/>
      <c r="BM428" s="578"/>
      <c r="BN428" s="578"/>
      <c r="BO428" s="578"/>
      <c r="BP428" s="578"/>
      <c r="BQ428" s="578"/>
      <c r="BR428" s="578"/>
      <c r="BS428" s="578"/>
      <c r="BT428" s="578"/>
      <c r="BU428" s="578"/>
      <c r="BV428" s="578"/>
      <c r="BW428" s="578"/>
    </row>
    <row r="429" spans="2:75" ht="14.25" customHeight="1" x14ac:dyDescent="0.3">
      <c r="B429" s="823"/>
      <c r="D429" s="824"/>
      <c r="I429" s="825"/>
      <c r="AR429" s="826"/>
      <c r="AY429" s="827"/>
      <c r="BD429" s="577"/>
      <c r="BE429" s="578"/>
      <c r="BF429" s="578"/>
      <c r="BG429" s="578"/>
      <c r="BH429" s="578"/>
      <c r="BI429" s="578"/>
      <c r="BJ429" s="578"/>
      <c r="BK429" s="578"/>
      <c r="BL429" s="578"/>
      <c r="BM429" s="578"/>
      <c r="BN429" s="578"/>
      <c r="BO429" s="578"/>
      <c r="BP429" s="578"/>
      <c r="BQ429" s="578"/>
      <c r="BR429" s="578"/>
      <c r="BS429" s="578"/>
      <c r="BT429" s="578"/>
      <c r="BU429" s="578"/>
      <c r="BV429" s="578"/>
      <c r="BW429" s="578"/>
    </row>
    <row r="430" spans="2:75" ht="14.25" customHeight="1" x14ac:dyDescent="0.3">
      <c r="B430" s="823"/>
      <c r="D430" s="824"/>
      <c r="I430" s="825"/>
      <c r="AR430" s="826"/>
      <c r="AY430" s="827"/>
      <c r="BD430" s="577"/>
      <c r="BE430" s="578"/>
      <c r="BF430" s="578"/>
      <c r="BG430" s="578"/>
      <c r="BH430" s="578"/>
      <c r="BI430" s="578"/>
      <c r="BJ430" s="578"/>
      <c r="BK430" s="578"/>
      <c r="BL430" s="578"/>
      <c r="BM430" s="578"/>
      <c r="BN430" s="578"/>
      <c r="BO430" s="578"/>
      <c r="BP430" s="578"/>
      <c r="BQ430" s="578"/>
      <c r="BR430" s="578"/>
      <c r="BS430" s="578"/>
      <c r="BT430" s="578"/>
      <c r="BU430" s="578"/>
      <c r="BV430" s="578"/>
      <c r="BW430" s="578"/>
    </row>
    <row r="431" spans="2:75" ht="14.25" customHeight="1" x14ac:dyDescent="0.3">
      <c r="B431" s="823"/>
      <c r="D431" s="824"/>
      <c r="I431" s="825"/>
      <c r="AR431" s="826"/>
      <c r="AY431" s="827"/>
      <c r="BD431" s="577"/>
      <c r="BE431" s="578"/>
      <c r="BF431" s="578"/>
      <c r="BG431" s="578"/>
      <c r="BH431" s="578"/>
      <c r="BI431" s="578"/>
      <c r="BJ431" s="578"/>
      <c r="BK431" s="578"/>
      <c r="BL431" s="578"/>
      <c r="BM431" s="578"/>
      <c r="BN431" s="578"/>
      <c r="BO431" s="578"/>
      <c r="BP431" s="578"/>
      <c r="BQ431" s="578"/>
      <c r="BR431" s="578"/>
      <c r="BS431" s="578"/>
      <c r="BT431" s="578"/>
      <c r="BU431" s="578"/>
      <c r="BV431" s="578"/>
      <c r="BW431" s="578"/>
    </row>
    <row r="432" spans="2:75" ht="14.25" customHeight="1" x14ac:dyDescent="0.3">
      <c r="B432" s="823"/>
      <c r="D432" s="824"/>
      <c r="I432" s="825"/>
      <c r="AR432" s="826"/>
      <c r="AY432" s="827"/>
      <c r="BD432" s="577"/>
      <c r="BE432" s="578"/>
      <c r="BF432" s="578"/>
      <c r="BG432" s="578"/>
      <c r="BH432" s="578"/>
      <c r="BI432" s="578"/>
      <c r="BJ432" s="578"/>
      <c r="BK432" s="578"/>
      <c r="BL432" s="578"/>
      <c r="BM432" s="578"/>
      <c r="BN432" s="578"/>
      <c r="BO432" s="578"/>
      <c r="BP432" s="578"/>
      <c r="BQ432" s="578"/>
      <c r="BR432" s="578"/>
      <c r="BS432" s="578"/>
      <c r="BT432" s="578"/>
      <c r="BU432" s="578"/>
      <c r="BV432" s="578"/>
      <c r="BW432" s="578"/>
    </row>
    <row r="433" spans="2:75" ht="14.25" customHeight="1" x14ac:dyDescent="0.3">
      <c r="B433" s="823"/>
      <c r="D433" s="824"/>
      <c r="I433" s="825"/>
      <c r="AR433" s="826"/>
      <c r="AY433" s="827"/>
      <c r="BD433" s="577"/>
      <c r="BE433" s="578"/>
      <c r="BF433" s="578"/>
      <c r="BG433" s="578"/>
      <c r="BH433" s="578"/>
      <c r="BI433" s="578"/>
      <c r="BJ433" s="578"/>
      <c r="BK433" s="578"/>
      <c r="BL433" s="578"/>
      <c r="BM433" s="578"/>
      <c r="BN433" s="578"/>
      <c r="BO433" s="578"/>
      <c r="BP433" s="578"/>
      <c r="BQ433" s="578"/>
      <c r="BR433" s="578"/>
      <c r="BS433" s="578"/>
      <c r="BT433" s="578"/>
      <c r="BU433" s="578"/>
      <c r="BV433" s="578"/>
      <c r="BW433" s="578"/>
    </row>
    <row r="434" spans="2:75" ht="14.25" customHeight="1" x14ac:dyDescent="0.3">
      <c r="B434" s="823"/>
      <c r="D434" s="824"/>
      <c r="I434" s="825"/>
      <c r="AR434" s="826"/>
      <c r="AY434" s="827"/>
      <c r="BD434" s="577"/>
      <c r="BE434" s="578"/>
      <c r="BF434" s="578"/>
      <c r="BG434" s="578"/>
      <c r="BH434" s="578"/>
      <c r="BI434" s="578"/>
      <c r="BJ434" s="578"/>
      <c r="BK434" s="578"/>
      <c r="BL434" s="578"/>
      <c r="BM434" s="578"/>
      <c r="BN434" s="578"/>
      <c r="BO434" s="578"/>
      <c r="BP434" s="578"/>
      <c r="BQ434" s="578"/>
      <c r="BR434" s="578"/>
      <c r="BS434" s="578"/>
      <c r="BT434" s="578"/>
      <c r="BU434" s="578"/>
      <c r="BV434" s="578"/>
      <c r="BW434" s="578"/>
    </row>
    <row r="435" spans="2:75" ht="14.25" customHeight="1" x14ac:dyDescent="0.3">
      <c r="B435" s="823"/>
      <c r="D435" s="824"/>
      <c r="I435" s="825"/>
      <c r="AR435" s="826"/>
      <c r="AY435" s="827"/>
      <c r="BD435" s="577"/>
      <c r="BE435" s="578"/>
      <c r="BF435" s="578"/>
      <c r="BG435" s="578"/>
      <c r="BH435" s="578"/>
      <c r="BI435" s="578"/>
      <c r="BJ435" s="578"/>
      <c r="BK435" s="578"/>
      <c r="BL435" s="578"/>
      <c r="BM435" s="578"/>
      <c r="BN435" s="578"/>
      <c r="BO435" s="578"/>
      <c r="BP435" s="578"/>
      <c r="BQ435" s="578"/>
      <c r="BR435" s="578"/>
      <c r="BS435" s="578"/>
      <c r="BT435" s="578"/>
      <c r="BU435" s="578"/>
      <c r="BV435" s="578"/>
      <c r="BW435" s="578"/>
    </row>
    <row r="436" spans="2:75" ht="14.25" customHeight="1" x14ac:dyDescent="0.3">
      <c r="B436" s="823"/>
      <c r="D436" s="824"/>
      <c r="I436" s="825"/>
      <c r="AR436" s="826"/>
      <c r="AY436" s="827"/>
      <c r="BD436" s="577"/>
      <c r="BE436" s="578"/>
      <c r="BF436" s="578"/>
      <c r="BG436" s="578"/>
      <c r="BH436" s="578"/>
      <c r="BI436" s="578"/>
      <c r="BJ436" s="578"/>
      <c r="BK436" s="578"/>
      <c r="BL436" s="578"/>
      <c r="BM436" s="578"/>
      <c r="BN436" s="578"/>
      <c r="BO436" s="578"/>
      <c r="BP436" s="578"/>
      <c r="BQ436" s="578"/>
      <c r="BR436" s="578"/>
      <c r="BS436" s="578"/>
      <c r="BT436" s="578"/>
      <c r="BU436" s="578"/>
      <c r="BV436" s="578"/>
      <c r="BW436" s="578"/>
    </row>
    <row r="437" spans="2:75" ht="14.25" customHeight="1" x14ac:dyDescent="0.3">
      <c r="B437" s="823"/>
      <c r="D437" s="824"/>
      <c r="I437" s="825"/>
      <c r="AR437" s="826"/>
      <c r="AY437" s="827"/>
      <c r="BD437" s="577"/>
      <c r="BE437" s="578"/>
      <c r="BF437" s="578"/>
      <c r="BG437" s="578"/>
      <c r="BH437" s="578"/>
      <c r="BI437" s="578"/>
      <c r="BJ437" s="578"/>
      <c r="BK437" s="578"/>
      <c r="BL437" s="578"/>
      <c r="BM437" s="578"/>
      <c r="BN437" s="578"/>
      <c r="BO437" s="578"/>
      <c r="BP437" s="578"/>
      <c r="BQ437" s="578"/>
      <c r="BR437" s="578"/>
      <c r="BS437" s="578"/>
      <c r="BT437" s="578"/>
      <c r="BU437" s="578"/>
      <c r="BV437" s="578"/>
      <c r="BW437" s="578"/>
    </row>
    <row r="438" spans="2:75" ht="14.25" customHeight="1" x14ac:dyDescent="0.3">
      <c r="B438" s="823"/>
      <c r="D438" s="824"/>
      <c r="I438" s="825"/>
      <c r="AR438" s="826"/>
      <c r="AY438" s="827"/>
      <c r="BD438" s="577"/>
      <c r="BE438" s="578"/>
      <c r="BF438" s="578"/>
      <c r="BG438" s="578"/>
      <c r="BH438" s="578"/>
      <c r="BI438" s="578"/>
      <c r="BJ438" s="578"/>
      <c r="BK438" s="578"/>
      <c r="BL438" s="578"/>
      <c r="BM438" s="578"/>
      <c r="BN438" s="578"/>
      <c r="BO438" s="578"/>
      <c r="BP438" s="578"/>
      <c r="BQ438" s="578"/>
      <c r="BR438" s="578"/>
      <c r="BS438" s="578"/>
      <c r="BT438" s="578"/>
      <c r="BU438" s="578"/>
      <c r="BV438" s="578"/>
      <c r="BW438" s="578"/>
    </row>
    <row r="439" spans="2:75" ht="14.25" customHeight="1" x14ac:dyDescent="0.3">
      <c r="B439" s="823"/>
      <c r="D439" s="824"/>
      <c r="I439" s="825"/>
      <c r="AR439" s="826"/>
      <c r="AY439" s="827"/>
      <c r="BD439" s="577"/>
      <c r="BE439" s="578"/>
      <c r="BF439" s="578"/>
      <c r="BG439" s="578"/>
      <c r="BH439" s="578"/>
      <c r="BI439" s="578"/>
      <c r="BJ439" s="578"/>
      <c r="BK439" s="578"/>
      <c r="BL439" s="578"/>
      <c r="BM439" s="578"/>
      <c r="BN439" s="578"/>
      <c r="BO439" s="578"/>
      <c r="BP439" s="578"/>
      <c r="BQ439" s="578"/>
      <c r="BR439" s="578"/>
      <c r="BS439" s="578"/>
      <c r="BT439" s="578"/>
      <c r="BU439" s="578"/>
      <c r="BV439" s="578"/>
      <c r="BW439" s="578"/>
    </row>
    <row r="440" spans="2:75" ht="14.25" customHeight="1" x14ac:dyDescent="0.3">
      <c r="B440" s="823"/>
      <c r="D440" s="824"/>
      <c r="I440" s="825"/>
      <c r="AR440" s="826"/>
      <c r="AY440" s="827"/>
      <c r="BD440" s="577"/>
      <c r="BE440" s="578"/>
      <c r="BF440" s="578"/>
      <c r="BG440" s="578"/>
      <c r="BH440" s="578"/>
      <c r="BI440" s="578"/>
      <c r="BJ440" s="578"/>
      <c r="BK440" s="578"/>
      <c r="BL440" s="578"/>
      <c r="BM440" s="578"/>
      <c r="BN440" s="578"/>
      <c r="BO440" s="578"/>
      <c r="BP440" s="578"/>
      <c r="BQ440" s="578"/>
      <c r="BR440" s="578"/>
      <c r="BS440" s="578"/>
      <c r="BT440" s="578"/>
      <c r="BU440" s="578"/>
      <c r="BV440" s="578"/>
      <c r="BW440" s="578"/>
    </row>
    <row r="441" spans="2:75" ht="14.25" customHeight="1" x14ac:dyDescent="0.3">
      <c r="B441" s="823"/>
      <c r="D441" s="824"/>
      <c r="I441" s="825"/>
      <c r="AR441" s="826"/>
      <c r="AY441" s="827"/>
      <c r="BD441" s="577"/>
      <c r="BE441" s="578"/>
      <c r="BF441" s="578"/>
      <c r="BG441" s="578"/>
      <c r="BH441" s="578"/>
      <c r="BI441" s="578"/>
      <c r="BJ441" s="578"/>
      <c r="BK441" s="578"/>
      <c r="BL441" s="578"/>
      <c r="BM441" s="578"/>
      <c r="BN441" s="578"/>
      <c r="BO441" s="578"/>
      <c r="BP441" s="578"/>
      <c r="BQ441" s="578"/>
      <c r="BR441" s="578"/>
      <c r="BS441" s="578"/>
      <c r="BT441" s="578"/>
      <c r="BU441" s="578"/>
      <c r="BV441" s="578"/>
      <c r="BW441" s="578"/>
    </row>
    <row r="442" spans="2:75" ht="14.25" customHeight="1" x14ac:dyDescent="0.3">
      <c r="B442" s="823"/>
      <c r="D442" s="824"/>
      <c r="I442" s="825"/>
      <c r="AR442" s="826"/>
      <c r="AY442" s="827"/>
      <c r="BD442" s="577"/>
      <c r="BE442" s="578"/>
      <c r="BF442" s="578"/>
      <c r="BG442" s="578"/>
      <c r="BH442" s="578"/>
      <c r="BI442" s="578"/>
      <c r="BJ442" s="578"/>
      <c r="BK442" s="578"/>
      <c r="BL442" s="578"/>
      <c r="BM442" s="578"/>
      <c r="BN442" s="578"/>
      <c r="BO442" s="578"/>
      <c r="BP442" s="578"/>
      <c r="BQ442" s="578"/>
      <c r="BR442" s="578"/>
      <c r="BS442" s="578"/>
      <c r="BT442" s="578"/>
      <c r="BU442" s="578"/>
      <c r="BV442" s="578"/>
      <c r="BW442" s="578"/>
    </row>
    <row r="443" spans="2:75" ht="14.25" customHeight="1" x14ac:dyDescent="0.3">
      <c r="B443" s="823"/>
      <c r="D443" s="824"/>
      <c r="I443" s="825"/>
      <c r="AR443" s="826"/>
      <c r="AY443" s="827"/>
      <c r="BD443" s="577"/>
      <c r="BE443" s="578"/>
      <c r="BF443" s="578"/>
      <c r="BG443" s="578"/>
      <c r="BH443" s="578"/>
      <c r="BI443" s="578"/>
      <c r="BJ443" s="578"/>
      <c r="BK443" s="578"/>
      <c r="BL443" s="578"/>
      <c r="BM443" s="578"/>
      <c r="BN443" s="578"/>
      <c r="BO443" s="578"/>
      <c r="BP443" s="578"/>
      <c r="BQ443" s="578"/>
      <c r="BR443" s="578"/>
      <c r="BS443" s="578"/>
      <c r="BT443" s="578"/>
      <c r="BU443" s="578"/>
      <c r="BV443" s="578"/>
      <c r="BW443" s="578"/>
    </row>
    <row r="444" spans="2:75" ht="14.25" customHeight="1" x14ac:dyDescent="0.3">
      <c r="B444" s="823"/>
      <c r="D444" s="824"/>
      <c r="I444" s="825"/>
      <c r="AR444" s="826"/>
      <c r="AY444" s="827"/>
      <c r="BD444" s="577"/>
      <c r="BE444" s="578"/>
      <c r="BF444" s="578"/>
      <c r="BG444" s="578"/>
      <c r="BH444" s="578"/>
      <c r="BI444" s="578"/>
      <c r="BJ444" s="578"/>
      <c r="BK444" s="578"/>
      <c r="BL444" s="578"/>
      <c r="BM444" s="578"/>
      <c r="BN444" s="578"/>
      <c r="BO444" s="578"/>
      <c r="BP444" s="578"/>
      <c r="BQ444" s="578"/>
      <c r="BR444" s="578"/>
      <c r="BS444" s="578"/>
      <c r="BT444" s="578"/>
      <c r="BU444" s="578"/>
      <c r="BV444" s="578"/>
      <c r="BW444" s="578"/>
    </row>
    <row r="445" spans="2:75" ht="14.25" customHeight="1" x14ac:dyDescent="0.3">
      <c r="B445" s="823"/>
      <c r="D445" s="824"/>
      <c r="I445" s="825"/>
      <c r="AR445" s="826"/>
      <c r="AY445" s="827"/>
      <c r="BD445" s="577"/>
      <c r="BE445" s="578"/>
      <c r="BF445" s="578"/>
      <c r="BG445" s="578"/>
      <c r="BH445" s="578"/>
      <c r="BI445" s="578"/>
      <c r="BJ445" s="578"/>
      <c r="BK445" s="578"/>
      <c r="BL445" s="578"/>
      <c r="BM445" s="578"/>
      <c r="BN445" s="578"/>
      <c r="BO445" s="578"/>
      <c r="BP445" s="578"/>
      <c r="BQ445" s="578"/>
      <c r="BR445" s="578"/>
      <c r="BS445" s="578"/>
      <c r="BT445" s="578"/>
      <c r="BU445" s="578"/>
      <c r="BV445" s="578"/>
      <c r="BW445" s="578"/>
    </row>
    <row r="446" spans="2:75" ht="14.25" customHeight="1" x14ac:dyDescent="0.3">
      <c r="B446" s="823"/>
      <c r="D446" s="824"/>
      <c r="I446" s="825"/>
      <c r="AR446" s="826"/>
      <c r="AY446" s="827"/>
      <c r="BD446" s="577"/>
      <c r="BE446" s="578"/>
      <c r="BF446" s="578"/>
      <c r="BG446" s="578"/>
      <c r="BH446" s="578"/>
      <c r="BI446" s="578"/>
      <c r="BJ446" s="578"/>
      <c r="BK446" s="578"/>
      <c r="BL446" s="578"/>
      <c r="BM446" s="578"/>
      <c r="BN446" s="578"/>
      <c r="BO446" s="578"/>
      <c r="BP446" s="578"/>
      <c r="BQ446" s="578"/>
      <c r="BR446" s="578"/>
      <c r="BS446" s="578"/>
      <c r="BT446" s="578"/>
      <c r="BU446" s="578"/>
      <c r="BV446" s="578"/>
      <c r="BW446" s="578"/>
    </row>
    <row r="447" spans="2:75" ht="14.25" customHeight="1" x14ac:dyDescent="0.3">
      <c r="B447" s="823"/>
      <c r="D447" s="824"/>
      <c r="I447" s="825"/>
      <c r="AR447" s="826"/>
      <c r="AY447" s="827"/>
      <c r="BD447" s="577"/>
      <c r="BE447" s="578"/>
      <c r="BF447" s="578"/>
      <c r="BG447" s="578"/>
      <c r="BH447" s="578"/>
      <c r="BI447" s="578"/>
      <c r="BJ447" s="578"/>
      <c r="BK447" s="578"/>
      <c r="BL447" s="578"/>
      <c r="BM447" s="578"/>
      <c r="BN447" s="578"/>
      <c r="BO447" s="578"/>
      <c r="BP447" s="578"/>
      <c r="BQ447" s="578"/>
      <c r="BR447" s="578"/>
      <c r="BS447" s="578"/>
      <c r="BT447" s="578"/>
      <c r="BU447" s="578"/>
      <c r="BV447" s="578"/>
      <c r="BW447" s="578"/>
    </row>
    <row r="448" spans="2:75" ht="14.25" customHeight="1" x14ac:dyDescent="0.3">
      <c r="B448" s="823"/>
      <c r="D448" s="824"/>
      <c r="I448" s="825"/>
      <c r="AR448" s="826"/>
      <c r="AY448" s="827"/>
      <c r="BD448" s="577"/>
      <c r="BE448" s="578"/>
      <c r="BF448" s="578"/>
      <c r="BG448" s="578"/>
      <c r="BH448" s="578"/>
      <c r="BI448" s="578"/>
      <c r="BJ448" s="578"/>
      <c r="BK448" s="578"/>
      <c r="BL448" s="578"/>
      <c r="BM448" s="578"/>
      <c r="BN448" s="578"/>
      <c r="BO448" s="578"/>
      <c r="BP448" s="578"/>
      <c r="BQ448" s="578"/>
      <c r="BR448" s="578"/>
      <c r="BS448" s="578"/>
      <c r="BT448" s="578"/>
      <c r="BU448" s="578"/>
      <c r="BV448" s="578"/>
      <c r="BW448" s="578"/>
    </row>
    <row r="449" spans="2:75" ht="14.25" customHeight="1" x14ac:dyDescent="0.3">
      <c r="B449" s="823"/>
      <c r="D449" s="824"/>
      <c r="I449" s="825"/>
      <c r="AR449" s="826"/>
      <c r="AY449" s="827"/>
      <c r="BD449" s="577"/>
      <c r="BE449" s="578"/>
      <c r="BF449" s="578"/>
      <c r="BG449" s="578"/>
      <c r="BH449" s="578"/>
      <c r="BI449" s="578"/>
      <c r="BJ449" s="578"/>
      <c r="BK449" s="578"/>
      <c r="BL449" s="578"/>
      <c r="BM449" s="578"/>
      <c r="BN449" s="578"/>
      <c r="BO449" s="578"/>
      <c r="BP449" s="578"/>
      <c r="BQ449" s="578"/>
      <c r="BR449" s="578"/>
      <c r="BS449" s="578"/>
      <c r="BT449" s="578"/>
      <c r="BU449" s="578"/>
      <c r="BV449" s="578"/>
      <c r="BW449" s="578"/>
    </row>
    <row r="450" spans="2:75" ht="14.25" customHeight="1" x14ac:dyDescent="0.3">
      <c r="B450" s="823"/>
      <c r="D450" s="824"/>
      <c r="I450" s="825"/>
      <c r="AR450" s="826"/>
      <c r="AY450" s="827"/>
      <c r="BD450" s="577"/>
      <c r="BE450" s="578"/>
      <c r="BF450" s="578"/>
      <c r="BG450" s="578"/>
      <c r="BH450" s="578"/>
      <c r="BI450" s="578"/>
      <c r="BJ450" s="578"/>
      <c r="BK450" s="578"/>
      <c r="BL450" s="578"/>
      <c r="BM450" s="578"/>
      <c r="BN450" s="578"/>
      <c r="BO450" s="578"/>
      <c r="BP450" s="578"/>
      <c r="BQ450" s="578"/>
      <c r="BR450" s="578"/>
      <c r="BS450" s="578"/>
      <c r="BT450" s="578"/>
      <c r="BU450" s="578"/>
      <c r="BV450" s="578"/>
      <c r="BW450" s="578"/>
    </row>
    <row r="451" spans="2:75" ht="14.25" customHeight="1" x14ac:dyDescent="0.3">
      <c r="B451" s="823"/>
      <c r="D451" s="824"/>
      <c r="I451" s="825"/>
      <c r="AR451" s="826"/>
      <c r="AY451" s="827"/>
      <c r="BD451" s="577"/>
      <c r="BE451" s="578"/>
      <c r="BF451" s="578"/>
      <c r="BG451" s="578"/>
      <c r="BH451" s="578"/>
      <c r="BI451" s="578"/>
      <c r="BJ451" s="578"/>
      <c r="BK451" s="578"/>
      <c r="BL451" s="578"/>
      <c r="BM451" s="578"/>
      <c r="BN451" s="578"/>
      <c r="BO451" s="578"/>
      <c r="BP451" s="578"/>
      <c r="BQ451" s="578"/>
      <c r="BR451" s="578"/>
      <c r="BS451" s="578"/>
      <c r="BT451" s="578"/>
      <c r="BU451" s="578"/>
      <c r="BV451" s="578"/>
      <c r="BW451" s="578"/>
    </row>
    <row r="452" spans="2:75" ht="14.25" customHeight="1" x14ac:dyDescent="0.3">
      <c r="B452" s="823"/>
      <c r="D452" s="824"/>
      <c r="I452" s="825"/>
      <c r="AR452" s="826"/>
      <c r="AY452" s="827"/>
      <c r="BD452" s="577"/>
      <c r="BE452" s="578"/>
      <c r="BF452" s="578"/>
      <c r="BG452" s="578"/>
      <c r="BH452" s="578"/>
      <c r="BI452" s="578"/>
      <c r="BJ452" s="578"/>
      <c r="BK452" s="578"/>
      <c r="BL452" s="578"/>
      <c r="BM452" s="578"/>
      <c r="BN452" s="578"/>
      <c r="BO452" s="578"/>
      <c r="BP452" s="578"/>
      <c r="BQ452" s="578"/>
      <c r="BR452" s="578"/>
      <c r="BS452" s="578"/>
      <c r="BT452" s="578"/>
      <c r="BU452" s="578"/>
      <c r="BV452" s="578"/>
      <c r="BW452" s="578"/>
    </row>
    <row r="453" spans="2:75" ht="14.25" customHeight="1" x14ac:dyDescent="0.3">
      <c r="B453" s="823"/>
      <c r="D453" s="824"/>
      <c r="I453" s="825"/>
      <c r="AR453" s="826"/>
      <c r="AY453" s="827"/>
      <c r="BD453" s="577"/>
      <c r="BE453" s="578"/>
      <c r="BF453" s="578"/>
      <c r="BG453" s="578"/>
      <c r="BH453" s="578"/>
      <c r="BI453" s="578"/>
      <c r="BJ453" s="578"/>
      <c r="BK453" s="578"/>
      <c r="BL453" s="578"/>
      <c r="BM453" s="578"/>
      <c r="BN453" s="578"/>
      <c r="BO453" s="578"/>
      <c r="BP453" s="578"/>
      <c r="BQ453" s="578"/>
      <c r="BR453" s="578"/>
      <c r="BS453" s="578"/>
      <c r="BT453" s="578"/>
      <c r="BU453" s="578"/>
      <c r="BV453" s="578"/>
      <c r="BW453" s="578"/>
    </row>
    <row r="454" spans="2:75" ht="14.25" customHeight="1" x14ac:dyDescent="0.3">
      <c r="B454" s="823"/>
      <c r="D454" s="824"/>
      <c r="I454" s="825"/>
      <c r="AR454" s="826"/>
      <c r="AY454" s="827"/>
      <c r="BD454" s="577"/>
      <c r="BE454" s="578"/>
      <c r="BF454" s="578"/>
      <c r="BG454" s="578"/>
      <c r="BH454" s="578"/>
      <c r="BI454" s="578"/>
      <c r="BJ454" s="578"/>
      <c r="BK454" s="578"/>
      <c r="BL454" s="578"/>
      <c r="BM454" s="578"/>
      <c r="BN454" s="578"/>
      <c r="BO454" s="578"/>
      <c r="BP454" s="578"/>
      <c r="BQ454" s="578"/>
      <c r="BR454" s="578"/>
      <c r="BS454" s="578"/>
      <c r="BT454" s="578"/>
      <c r="BU454" s="578"/>
      <c r="BV454" s="578"/>
      <c r="BW454" s="578"/>
    </row>
    <row r="455" spans="2:75" ht="14.25" customHeight="1" x14ac:dyDescent="0.3">
      <c r="B455" s="823"/>
      <c r="D455" s="824"/>
      <c r="I455" s="825"/>
      <c r="AR455" s="826"/>
      <c r="AY455" s="827"/>
      <c r="BD455" s="577"/>
      <c r="BE455" s="578"/>
      <c r="BF455" s="578"/>
      <c r="BG455" s="578"/>
      <c r="BH455" s="578"/>
      <c r="BI455" s="578"/>
      <c r="BJ455" s="578"/>
      <c r="BK455" s="578"/>
      <c r="BL455" s="578"/>
      <c r="BM455" s="578"/>
      <c r="BN455" s="578"/>
      <c r="BO455" s="578"/>
      <c r="BP455" s="578"/>
      <c r="BQ455" s="578"/>
      <c r="BR455" s="578"/>
      <c r="BS455" s="578"/>
      <c r="BT455" s="578"/>
      <c r="BU455" s="578"/>
      <c r="BV455" s="578"/>
      <c r="BW455" s="578"/>
    </row>
    <row r="456" spans="2:75" ht="14.25" customHeight="1" x14ac:dyDescent="0.3">
      <c r="B456" s="823"/>
      <c r="D456" s="824"/>
      <c r="I456" s="825"/>
      <c r="AR456" s="826"/>
      <c r="AY456" s="827"/>
      <c r="BD456" s="577"/>
      <c r="BE456" s="578"/>
      <c r="BF456" s="578"/>
      <c r="BG456" s="578"/>
      <c r="BH456" s="578"/>
      <c r="BI456" s="578"/>
      <c r="BJ456" s="578"/>
      <c r="BK456" s="578"/>
      <c r="BL456" s="578"/>
      <c r="BM456" s="578"/>
      <c r="BN456" s="578"/>
      <c r="BO456" s="578"/>
      <c r="BP456" s="578"/>
      <c r="BQ456" s="578"/>
      <c r="BR456" s="578"/>
      <c r="BS456" s="578"/>
      <c r="BT456" s="578"/>
      <c r="BU456" s="578"/>
      <c r="BV456" s="578"/>
      <c r="BW456" s="578"/>
    </row>
    <row r="457" spans="2:75" ht="14.25" customHeight="1" x14ac:dyDescent="0.3">
      <c r="B457" s="823"/>
      <c r="D457" s="824"/>
      <c r="I457" s="825"/>
      <c r="AR457" s="826"/>
      <c r="AY457" s="827"/>
      <c r="BD457" s="577"/>
      <c r="BE457" s="578"/>
      <c r="BF457" s="578"/>
      <c r="BG457" s="578"/>
      <c r="BH457" s="578"/>
      <c r="BI457" s="578"/>
      <c r="BJ457" s="578"/>
      <c r="BK457" s="578"/>
      <c r="BL457" s="578"/>
      <c r="BM457" s="578"/>
      <c r="BN457" s="578"/>
      <c r="BO457" s="578"/>
      <c r="BP457" s="578"/>
      <c r="BQ457" s="578"/>
      <c r="BR457" s="578"/>
      <c r="BS457" s="578"/>
      <c r="BT457" s="578"/>
      <c r="BU457" s="578"/>
      <c r="BV457" s="578"/>
      <c r="BW457" s="578"/>
    </row>
    <row r="458" spans="2:75" ht="14.25" customHeight="1" x14ac:dyDescent="0.3">
      <c r="B458" s="823"/>
      <c r="D458" s="824"/>
      <c r="I458" s="825"/>
      <c r="AR458" s="826"/>
      <c r="AY458" s="827"/>
      <c r="BD458" s="577"/>
      <c r="BE458" s="578"/>
      <c r="BF458" s="578"/>
      <c r="BG458" s="578"/>
      <c r="BH458" s="578"/>
      <c r="BI458" s="578"/>
      <c r="BJ458" s="578"/>
      <c r="BK458" s="578"/>
      <c r="BL458" s="578"/>
      <c r="BM458" s="578"/>
      <c r="BN458" s="578"/>
      <c r="BO458" s="578"/>
      <c r="BP458" s="578"/>
      <c r="BQ458" s="578"/>
      <c r="BR458" s="578"/>
      <c r="BS458" s="578"/>
      <c r="BT458" s="578"/>
      <c r="BU458" s="578"/>
      <c r="BV458" s="578"/>
      <c r="BW458" s="578"/>
    </row>
    <row r="459" spans="2:75" ht="14.25" customHeight="1" x14ac:dyDescent="0.3">
      <c r="B459" s="823"/>
      <c r="D459" s="824"/>
      <c r="I459" s="825"/>
      <c r="AR459" s="826"/>
      <c r="AY459" s="827"/>
      <c r="BD459" s="577"/>
      <c r="BE459" s="578"/>
      <c r="BF459" s="578"/>
      <c r="BG459" s="578"/>
      <c r="BH459" s="578"/>
      <c r="BI459" s="578"/>
      <c r="BJ459" s="578"/>
      <c r="BK459" s="578"/>
      <c r="BL459" s="578"/>
      <c r="BM459" s="578"/>
      <c r="BN459" s="578"/>
      <c r="BO459" s="578"/>
      <c r="BP459" s="578"/>
      <c r="BQ459" s="578"/>
      <c r="BR459" s="578"/>
      <c r="BS459" s="578"/>
      <c r="BT459" s="578"/>
      <c r="BU459" s="578"/>
      <c r="BV459" s="578"/>
      <c r="BW459" s="578"/>
    </row>
    <row r="460" spans="2:75" ht="14.25" customHeight="1" x14ac:dyDescent="0.3">
      <c r="B460" s="823"/>
      <c r="D460" s="824"/>
      <c r="I460" s="825"/>
      <c r="AR460" s="826"/>
      <c r="AY460" s="827"/>
      <c r="BD460" s="577"/>
      <c r="BE460" s="578"/>
      <c r="BF460" s="578"/>
      <c r="BG460" s="578"/>
      <c r="BH460" s="578"/>
      <c r="BI460" s="578"/>
      <c r="BJ460" s="578"/>
      <c r="BK460" s="578"/>
      <c r="BL460" s="578"/>
      <c r="BM460" s="578"/>
      <c r="BN460" s="578"/>
      <c r="BO460" s="578"/>
      <c r="BP460" s="578"/>
      <c r="BQ460" s="578"/>
      <c r="BR460" s="578"/>
      <c r="BS460" s="578"/>
      <c r="BT460" s="578"/>
      <c r="BU460" s="578"/>
      <c r="BV460" s="578"/>
      <c r="BW460" s="578"/>
    </row>
    <row r="461" spans="2:75" ht="14.25" customHeight="1" x14ac:dyDescent="0.3">
      <c r="B461" s="823"/>
      <c r="D461" s="824"/>
      <c r="I461" s="825"/>
      <c r="AR461" s="826"/>
      <c r="AY461" s="827"/>
      <c r="BD461" s="577"/>
      <c r="BE461" s="578"/>
      <c r="BF461" s="578"/>
      <c r="BG461" s="578"/>
      <c r="BH461" s="578"/>
      <c r="BI461" s="578"/>
      <c r="BJ461" s="578"/>
      <c r="BK461" s="578"/>
      <c r="BL461" s="578"/>
      <c r="BM461" s="578"/>
      <c r="BN461" s="578"/>
      <c r="BO461" s="578"/>
      <c r="BP461" s="578"/>
      <c r="BQ461" s="578"/>
      <c r="BR461" s="578"/>
      <c r="BS461" s="578"/>
      <c r="BT461" s="578"/>
      <c r="BU461" s="578"/>
      <c r="BV461" s="578"/>
      <c r="BW461" s="578"/>
    </row>
    <row r="462" spans="2:75" ht="14.25" customHeight="1" x14ac:dyDescent="0.3">
      <c r="B462" s="823"/>
      <c r="D462" s="824"/>
      <c r="I462" s="825"/>
      <c r="AR462" s="826"/>
      <c r="AY462" s="827"/>
      <c r="BD462" s="577"/>
      <c r="BE462" s="578"/>
      <c r="BF462" s="578"/>
      <c r="BG462" s="578"/>
      <c r="BH462" s="578"/>
      <c r="BI462" s="578"/>
      <c r="BJ462" s="578"/>
      <c r="BK462" s="578"/>
      <c r="BL462" s="578"/>
      <c r="BM462" s="578"/>
      <c r="BN462" s="578"/>
      <c r="BO462" s="578"/>
      <c r="BP462" s="578"/>
      <c r="BQ462" s="578"/>
      <c r="BR462" s="578"/>
      <c r="BS462" s="578"/>
      <c r="BT462" s="578"/>
      <c r="BU462" s="578"/>
      <c r="BV462" s="578"/>
      <c r="BW462" s="578"/>
    </row>
    <row r="463" spans="2:75" ht="14.25" customHeight="1" x14ac:dyDescent="0.3">
      <c r="B463" s="823"/>
      <c r="D463" s="824"/>
      <c r="I463" s="825"/>
      <c r="AR463" s="826"/>
      <c r="AY463" s="827"/>
      <c r="BD463" s="577"/>
      <c r="BE463" s="578"/>
      <c r="BF463" s="578"/>
      <c r="BG463" s="578"/>
      <c r="BH463" s="578"/>
      <c r="BI463" s="578"/>
      <c r="BJ463" s="578"/>
      <c r="BK463" s="578"/>
      <c r="BL463" s="578"/>
      <c r="BM463" s="578"/>
      <c r="BN463" s="578"/>
      <c r="BO463" s="578"/>
      <c r="BP463" s="578"/>
      <c r="BQ463" s="578"/>
      <c r="BR463" s="578"/>
      <c r="BS463" s="578"/>
      <c r="BT463" s="578"/>
      <c r="BU463" s="578"/>
      <c r="BV463" s="578"/>
      <c r="BW463" s="578"/>
    </row>
    <row r="464" spans="2:75" ht="14.25" customHeight="1" x14ac:dyDescent="0.3">
      <c r="B464" s="823"/>
      <c r="D464" s="824"/>
      <c r="I464" s="825"/>
      <c r="AR464" s="826"/>
      <c r="AY464" s="827"/>
      <c r="BD464" s="577"/>
      <c r="BE464" s="578"/>
      <c r="BF464" s="578"/>
      <c r="BG464" s="578"/>
      <c r="BH464" s="578"/>
      <c r="BI464" s="578"/>
      <c r="BJ464" s="578"/>
      <c r="BK464" s="578"/>
      <c r="BL464" s="578"/>
      <c r="BM464" s="578"/>
      <c r="BN464" s="578"/>
      <c r="BO464" s="578"/>
      <c r="BP464" s="578"/>
      <c r="BQ464" s="578"/>
      <c r="BR464" s="578"/>
      <c r="BS464" s="578"/>
      <c r="BT464" s="578"/>
      <c r="BU464" s="578"/>
      <c r="BV464" s="578"/>
      <c r="BW464" s="578"/>
    </row>
    <row r="465" spans="2:75" ht="14.25" customHeight="1" x14ac:dyDescent="0.3">
      <c r="B465" s="823"/>
      <c r="D465" s="824"/>
      <c r="I465" s="825"/>
      <c r="AR465" s="826"/>
      <c r="AY465" s="827"/>
      <c r="BD465" s="577"/>
      <c r="BE465" s="578"/>
      <c r="BF465" s="578"/>
      <c r="BG465" s="578"/>
      <c r="BH465" s="578"/>
      <c r="BI465" s="578"/>
      <c r="BJ465" s="578"/>
      <c r="BK465" s="578"/>
      <c r="BL465" s="578"/>
      <c r="BM465" s="578"/>
      <c r="BN465" s="578"/>
      <c r="BO465" s="578"/>
      <c r="BP465" s="578"/>
      <c r="BQ465" s="578"/>
      <c r="BR465" s="578"/>
      <c r="BS465" s="578"/>
      <c r="BT465" s="578"/>
      <c r="BU465" s="578"/>
      <c r="BV465" s="578"/>
      <c r="BW465" s="578"/>
    </row>
    <row r="466" spans="2:75" ht="14.25" customHeight="1" x14ac:dyDescent="0.3">
      <c r="B466" s="823"/>
      <c r="D466" s="824"/>
      <c r="I466" s="825"/>
      <c r="AR466" s="826"/>
      <c r="AY466" s="827"/>
      <c r="BD466" s="577"/>
      <c r="BE466" s="578"/>
      <c r="BF466" s="578"/>
      <c r="BG466" s="578"/>
      <c r="BH466" s="578"/>
      <c r="BI466" s="578"/>
      <c r="BJ466" s="578"/>
      <c r="BK466" s="578"/>
      <c r="BL466" s="578"/>
      <c r="BM466" s="578"/>
      <c r="BN466" s="578"/>
      <c r="BO466" s="578"/>
      <c r="BP466" s="578"/>
      <c r="BQ466" s="578"/>
      <c r="BR466" s="578"/>
      <c r="BS466" s="578"/>
      <c r="BT466" s="578"/>
      <c r="BU466" s="578"/>
      <c r="BV466" s="578"/>
      <c r="BW466" s="578"/>
    </row>
    <row r="467" spans="2:75" ht="14.25" customHeight="1" x14ac:dyDescent="0.3">
      <c r="B467" s="823"/>
      <c r="D467" s="824"/>
      <c r="I467" s="825"/>
      <c r="AR467" s="826"/>
      <c r="AY467" s="827"/>
      <c r="BD467" s="577"/>
      <c r="BE467" s="578"/>
      <c r="BF467" s="578"/>
      <c r="BG467" s="578"/>
      <c r="BH467" s="578"/>
      <c r="BI467" s="578"/>
      <c r="BJ467" s="578"/>
      <c r="BK467" s="578"/>
      <c r="BL467" s="578"/>
      <c r="BM467" s="578"/>
      <c r="BN467" s="578"/>
      <c r="BO467" s="578"/>
      <c r="BP467" s="578"/>
      <c r="BQ467" s="578"/>
      <c r="BR467" s="578"/>
      <c r="BS467" s="578"/>
      <c r="BT467" s="578"/>
      <c r="BU467" s="578"/>
      <c r="BV467" s="578"/>
      <c r="BW467" s="578"/>
    </row>
    <row r="468" spans="2:75" ht="14.25" customHeight="1" x14ac:dyDescent="0.3">
      <c r="B468" s="823"/>
      <c r="D468" s="824"/>
      <c r="I468" s="825"/>
      <c r="AR468" s="826"/>
      <c r="AY468" s="827"/>
      <c r="BD468" s="577"/>
      <c r="BE468" s="578"/>
      <c r="BF468" s="578"/>
      <c r="BG468" s="578"/>
      <c r="BH468" s="578"/>
      <c r="BI468" s="578"/>
      <c r="BJ468" s="578"/>
      <c r="BK468" s="578"/>
      <c r="BL468" s="578"/>
      <c r="BM468" s="578"/>
      <c r="BN468" s="578"/>
      <c r="BO468" s="578"/>
      <c r="BP468" s="578"/>
      <c r="BQ468" s="578"/>
      <c r="BR468" s="578"/>
      <c r="BS468" s="578"/>
      <c r="BT468" s="578"/>
      <c r="BU468" s="578"/>
      <c r="BV468" s="578"/>
      <c r="BW468" s="578"/>
    </row>
    <row r="469" spans="2:75" ht="14.25" customHeight="1" x14ac:dyDescent="0.3">
      <c r="B469" s="823"/>
      <c r="D469" s="824"/>
      <c r="I469" s="825"/>
      <c r="AR469" s="826"/>
      <c r="AY469" s="827"/>
      <c r="BD469" s="577"/>
      <c r="BE469" s="578"/>
      <c r="BF469" s="578"/>
      <c r="BG469" s="578"/>
      <c r="BH469" s="578"/>
      <c r="BI469" s="578"/>
      <c r="BJ469" s="578"/>
      <c r="BK469" s="578"/>
      <c r="BL469" s="578"/>
      <c r="BM469" s="578"/>
      <c r="BN469" s="578"/>
      <c r="BO469" s="578"/>
      <c r="BP469" s="578"/>
      <c r="BQ469" s="578"/>
      <c r="BR469" s="578"/>
      <c r="BS469" s="578"/>
      <c r="BT469" s="578"/>
      <c r="BU469" s="578"/>
      <c r="BV469" s="578"/>
      <c r="BW469" s="578"/>
    </row>
    <row r="470" spans="2:75" ht="14.25" customHeight="1" x14ac:dyDescent="0.3">
      <c r="B470" s="823"/>
      <c r="D470" s="824"/>
      <c r="I470" s="825"/>
      <c r="AR470" s="826"/>
      <c r="AY470" s="827"/>
      <c r="BD470" s="577"/>
      <c r="BE470" s="578"/>
      <c r="BF470" s="578"/>
      <c r="BG470" s="578"/>
      <c r="BH470" s="578"/>
      <c r="BI470" s="578"/>
      <c r="BJ470" s="578"/>
      <c r="BK470" s="578"/>
      <c r="BL470" s="578"/>
      <c r="BM470" s="578"/>
      <c r="BN470" s="578"/>
      <c r="BO470" s="578"/>
      <c r="BP470" s="578"/>
      <c r="BQ470" s="578"/>
      <c r="BR470" s="578"/>
      <c r="BS470" s="578"/>
      <c r="BT470" s="578"/>
      <c r="BU470" s="578"/>
      <c r="BV470" s="578"/>
      <c r="BW470" s="578"/>
    </row>
    <row r="471" spans="2:75" ht="14.25" customHeight="1" x14ac:dyDescent="0.3">
      <c r="B471" s="823"/>
      <c r="D471" s="824"/>
      <c r="I471" s="825"/>
      <c r="AR471" s="826"/>
      <c r="AY471" s="827"/>
      <c r="BD471" s="577"/>
      <c r="BE471" s="578"/>
      <c r="BF471" s="578"/>
      <c r="BG471" s="578"/>
      <c r="BH471" s="578"/>
      <c r="BI471" s="578"/>
      <c r="BJ471" s="578"/>
      <c r="BK471" s="578"/>
      <c r="BL471" s="578"/>
      <c r="BM471" s="578"/>
      <c r="BN471" s="578"/>
      <c r="BO471" s="578"/>
      <c r="BP471" s="578"/>
      <c r="BQ471" s="578"/>
      <c r="BR471" s="578"/>
      <c r="BS471" s="578"/>
      <c r="BT471" s="578"/>
      <c r="BU471" s="578"/>
      <c r="BV471" s="578"/>
      <c r="BW471" s="578"/>
    </row>
    <row r="472" spans="2:75" ht="14.25" customHeight="1" x14ac:dyDescent="0.3">
      <c r="B472" s="823"/>
      <c r="D472" s="824"/>
      <c r="I472" s="825"/>
      <c r="AR472" s="826"/>
      <c r="AY472" s="827"/>
      <c r="BD472" s="577"/>
      <c r="BE472" s="578"/>
      <c r="BF472" s="578"/>
      <c r="BG472" s="578"/>
      <c r="BH472" s="578"/>
      <c r="BI472" s="578"/>
      <c r="BJ472" s="578"/>
      <c r="BK472" s="578"/>
      <c r="BL472" s="578"/>
      <c r="BM472" s="578"/>
      <c r="BN472" s="578"/>
      <c r="BO472" s="578"/>
      <c r="BP472" s="578"/>
      <c r="BQ472" s="578"/>
      <c r="BR472" s="578"/>
      <c r="BS472" s="578"/>
      <c r="BT472" s="578"/>
      <c r="BU472" s="578"/>
      <c r="BV472" s="578"/>
      <c r="BW472" s="578"/>
    </row>
    <row r="473" spans="2:75" ht="14.25" customHeight="1" x14ac:dyDescent="0.3">
      <c r="B473" s="823"/>
      <c r="D473" s="824"/>
      <c r="I473" s="825"/>
      <c r="AR473" s="826"/>
      <c r="AY473" s="827"/>
      <c r="BD473" s="577"/>
      <c r="BE473" s="578"/>
      <c r="BF473" s="578"/>
      <c r="BG473" s="578"/>
      <c r="BH473" s="578"/>
      <c r="BI473" s="578"/>
      <c r="BJ473" s="578"/>
      <c r="BK473" s="578"/>
      <c r="BL473" s="578"/>
      <c r="BM473" s="578"/>
      <c r="BN473" s="578"/>
      <c r="BO473" s="578"/>
      <c r="BP473" s="578"/>
      <c r="BQ473" s="578"/>
      <c r="BR473" s="578"/>
      <c r="BS473" s="578"/>
      <c r="BT473" s="578"/>
      <c r="BU473" s="578"/>
      <c r="BV473" s="578"/>
      <c r="BW473" s="578"/>
    </row>
    <row r="474" spans="2:75" ht="14.25" customHeight="1" x14ac:dyDescent="0.3">
      <c r="B474" s="823"/>
      <c r="D474" s="824"/>
      <c r="I474" s="825"/>
      <c r="AR474" s="826"/>
      <c r="AY474" s="827"/>
      <c r="BD474" s="577"/>
      <c r="BE474" s="578"/>
      <c r="BF474" s="578"/>
      <c r="BG474" s="578"/>
      <c r="BH474" s="578"/>
      <c r="BI474" s="578"/>
      <c r="BJ474" s="578"/>
      <c r="BK474" s="578"/>
      <c r="BL474" s="578"/>
      <c r="BM474" s="578"/>
      <c r="BN474" s="578"/>
      <c r="BO474" s="578"/>
      <c r="BP474" s="578"/>
      <c r="BQ474" s="578"/>
      <c r="BR474" s="578"/>
      <c r="BS474" s="578"/>
      <c r="BT474" s="578"/>
      <c r="BU474" s="578"/>
      <c r="BV474" s="578"/>
      <c r="BW474" s="578"/>
    </row>
    <row r="475" spans="2:75" ht="14.25" customHeight="1" x14ac:dyDescent="0.3">
      <c r="B475" s="823"/>
      <c r="D475" s="824"/>
      <c r="I475" s="825"/>
      <c r="AR475" s="826"/>
      <c r="AY475" s="827"/>
      <c r="BD475" s="577"/>
      <c r="BE475" s="578"/>
      <c r="BF475" s="578"/>
      <c r="BG475" s="578"/>
      <c r="BH475" s="578"/>
      <c r="BI475" s="578"/>
      <c r="BJ475" s="578"/>
      <c r="BK475" s="578"/>
      <c r="BL475" s="578"/>
      <c r="BM475" s="578"/>
      <c r="BN475" s="578"/>
      <c r="BO475" s="578"/>
      <c r="BP475" s="578"/>
      <c r="BQ475" s="578"/>
      <c r="BR475" s="578"/>
      <c r="BS475" s="578"/>
      <c r="BT475" s="578"/>
      <c r="BU475" s="578"/>
      <c r="BV475" s="578"/>
      <c r="BW475" s="578"/>
    </row>
    <row r="476" spans="2:75" ht="14.25" customHeight="1" x14ac:dyDescent="0.3">
      <c r="B476" s="823"/>
      <c r="D476" s="824"/>
      <c r="I476" s="825"/>
      <c r="AR476" s="826"/>
      <c r="AY476" s="827"/>
      <c r="BD476" s="577"/>
      <c r="BE476" s="578"/>
      <c r="BF476" s="578"/>
      <c r="BG476" s="578"/>
      <c r="BH476" s="578"/>
      <c r="BI476" s="578"/>
      <c r="BJ476" s="578"/>
      <c r="BK476" s="578"/>
      <c r="BL476" s="578"/>
      <c r="BM476" s="578"/>
      <c r="BN476" s="578"/>
      <c r="BO476" s="578"/>
      <c r="BP476" s="578"/>
      <c r="BQ476" s="578"/>
      <c r="BR476" s="578"/>
      <c r="BS476" s="578"/>
      <c r="BT476" s="578"/>
      <c r="BU476" s="578"/>
      <c r="BV476" s="578"/>
      <c r="BW476" s="578"/>
    </row>
    <row r="477" spans="2:75" ht="14.25" customHeight="1" x14ac:dyDescent="0.3">
      <c r="B477" s="823"/>
      <c r="D477" s="824"/>
      <c r="I477" s="825"/>
      <c r="AR477" s="826"/>
      <c r="AY477" s="827"/>
      <c r="BD477" s="577"/>
      <c r="BE477" s="578"/>
      <c r="BF477" s="578"/>
      <c r="BG477" s="578"/>
      <c r="BH477" s="578"/>
      <c r="BI477" s="578"/>
      <c r="BJ477" s="578"/>
      <c r="BK477" s="578"/>
      <c r="BL477" s="578"/>
      <c r="BM477" s="578"/>
      <c r="BN477" s="578"/>
      <c r="BO477" s="578"/>
      <c r="BP477" s="578"/>
      <c r="BQ477" s="578"/>
      <c r="BR477" s="578"/>
      <c r="BS477" s="578"/>
      <c r="BT477" s="578"/>
      <c r="BU477" s="578"/>
      <c r="BV477" s="578"/>
      <c r="BW477" s="578"/>
    </row>
    <row r="478" spans="2:75" ht="14.25" customHeight="1" x14ac:dyDescent="0.3">
      <c r="B478" s="823"/>
      <c r="D478" s="824"/>
      <c r="I478" s="825"/>
      <c r="AR478" s="826"/>
      <c r="AY478" s="827"/>
      <c r="BD478" s="577"/>
      <c r="BE478" s="578"/>
      <c r="BF478" s="578"/>
      <c r="BG478" s="578"/>
      <c r="BH478" s="578"/>
      <c r="BI478" s="578"/>
      <c r="BJ478" s="578"/>
      <c r="BK478" s="578"/>
      <c r="BL478" s="578"/>
      <c r="BM478" s="578"/>
      <c r="BN478" s="578"/>
      <c r="BO478" s="578"/>
      <c r="BP478" s="578"/>
      <c r="BQ478" s="578"/>
      <c r="BR478" s="578"/>
      <c r="BS478" s="578"/>
      <c r="BT478" s="578"/>
      <c r="BU478" s="578"/>
      <c r="BV478" s="578"/>
      <c r="BW478" s="578"/>
    </row>
    <row r="479" spans="2:75" ht="14.25" customHeight="1" x14ac:dyDescent="0.3">
      <c r="B479" s="823"/>
      <c r="D479" s="824"/>
      <c r="I479" s="825"/>
      <c r="AR479" s="826"/>
      <c r="AY479" s="827"/>
      <c r="BD479" s="577"/>
      <c r="BE479" s="578"/>
      <c r="BF479" s="578"/>
      <c r="BG479" s="578"/>
      <c r="BH479" s="578"/>
      <c r="BI479" s="578"/>
      <c r="BJ479" s="578"/>
      <c r="BK479" s="578"/>
      <c r="BL479" s="578"/>
      <c r="BM479" s="578"/>
      <c r="BN479" s="578"/>
      <c r="BO479" s="578"/>
      <c r="BP479" s="578"/>
      <c r="BQ479" s="578"/>
      <c r="BR479" s="578"/>
      <c r="BS479" s="578"/>
      <c r="BT479" s="578"/>
      <c r="BU479" s="578"/>
      <c r="BV479" s="578"/>
      <c r="BW479" s="578"/>
    </row>
    <row r="480" spans="2:75" ht="14.25" customHeight="1" x14ac:dyDescent="0.3">
      <c r="B480" s="823"/>
      <c r="D480" s="824"/>
      <c r="I480" s="825"/>
      <c r="AR480" s="826"/>
      <c r="AY480" s="827"/>
      <c r="BD480" s="577"/>
      <c r="BE480" s="578"/>
      <c r="BF480" s="578"/>
      <c r="BG480" s="578"/>
      <c r="BH480" s="578"/>
      <c r="BI480" s="578"/>
      <c r="BJ480" s="578"/>
      <c r="BK480" s="578"/>
      <c r="BL480" s="578"/>
      <c r="BM480" s="578"/>
      <c r="BN480" s="578"/>
      <c r="BO480" s="578"/>
      <c r="BP480" s="578"/>
      <c r="BQ480" s="578"/>
      <c r="BR480" s="578"/>
      <c r="BS480" s="578"/>
      <c r="BT480" s="578"/>
      <c r="BU480" s="578"/>
      <c r="BV480" s="578"/>
      <c r="BW480" s="578"/>
    </row>
    <row r="481" spans="2:75" ht="14.25" customHeight="1" x14ac:dyDescent="0.3">
      <c r="B481" s="823"/>
      <c r="D481" s="824"/>
      <c r="I481" s="825"/>
      <c r="AR481" s="826"/>
      <c r="AY481" s="827"/>
      <c r="BD481" s="577"/>
      <c r="BE481" s="578"/>
      <c r="BF481" s="578"/>
      <c r="BG481" s="578"/>
      <c r="BH481" s="578"/>
      <c r="BI481" s="578"/>
      <c r="BJ481" s="578"/>
      <c r="BK481" s="578"/>
      <c r="BL481" s="578"/>
      <c r="BM481" s="578"/>
      <c r="BN481" s="578"/>
      <c r="BO481" s="578"/>
      <c r="BP481" s="578"/>
      <c r="BQ481" s="578"/>
      <c r="BR481" s="578"/>
      <c r="BS481" s="578"/>
      <c r="BT481" s="578"/>
      <c r="BU481" s="578"/>
      <c r="BV481" s="578"/>
      <c r="BW481" s="578"/>
    </row>
    <row r="482" spans="2:75" ht="14.25" customHeight="1" x14ac:dyDescent="0.3">
      <c r="B482" s="823"/>
      <c r="D482" s="824"/>
      <c r="I482" s="825"/>
      <c r="AR482" s="826"/>
      <c r="AY482" s="827"/>
      <c r="BD482" s="577"/>
      <c r="BE482" s="578"/>
      <c r="BF482" s="578"/>
      <c r="BG482" s="578"/>
      <c r="BH482" s="578"/>
      <c r="BI482" s="578"/>
      <c r="BJ482" s="578"/>
      <c r="BK482" s="578"/>
      <c r="BL482" s="578"/>
      <c r="BM482" s="578"/>
      <c r="BN482" s="578"/>
      <c r="BO482" s="578"/>
      <c r="BP482" s="578"/>
      <c r="BQ482" s="578"/>
      <c r="BR482" s="578"/>
      <c r="BS482" s="578"/>
      <c r="BT482" s="578"/>
      <c r="BU482" s="578"/>
      <c r="BV482" s="578"/>
      <c r="BW482" s="578"/>
    </row>
    <row r="483" spans="2:75" ht="14.25" customHeight="1" x14ac:dyDescent="0.3">
      <c r="B483" s="823"/>
      <c r="D483" s="824"/>
      <c r="I483" s="825"/>
      <c r="AR483" s="826"/>
      <c r="AY483" s="827"/>
      <c r="BD483" s="577"/>
      <c r="BE483" s="578"/>
      <c r="BF483" s="578"/>
      <c r="BG483" s="578"/>
      <c r="BH483" s="578"/>
      <c r="BI483" s="578"/>
      <c r="BJ483" s="578"/>
      <c r="BK483" s="578"/>
      <c r="BL483" s="578"/>
      <c r="BM483" s="578"/>
      <c r="BN483" s="578"/>
      <c r="BO483" s="578"/>
      <c r="BP483" s="578"/>
      <c r="BQ483" s="578"/>
      <c r="BR483" s="578"/>
      <c r="BS483" s="578"/>
      <c r="BT483" s="578"/>
      <c r="BU483" s="578"/>
      <c r="BV483" s="578"/>
      <c r="BW483" s="578"/>
    </row>
    <row r="484" spans="2:75" ht="14.25" customHeight="1" x14ac:dyDescent="0.3">
      <c r="B484" s="823"/>
      <c r="D484" s="824"/>
      <c r="I484" s="825"/>
      <c r="AR484" s="826"/>
      <c r="AY484" s="827"/>
      <c r="BD484" s="577"/>
      <c r="BE484" s="578"/>
      <c r="BF484" s="578"/>
      <c r="BG484" s="578"/>
      <c r="BH484" s="578"/>
      <c r="BI484" s="578"/>
      <c r="BJ484" s="578"/>
      <c r="BK484" s="578"/>
      <c r="BL484" s="578"/>
      <c r="BM484" s="578"/>
      <c r="BN484" s="578"/>
      <c r="BO484" s="578"/>
      <c r="BP484" s="578"/>
      <c r="BQ484" s="578"/>
      <c r="BR484" s="578"/>
      <c r="BS484" s="578"/>
      <c r="BT484" s="578"/>
      <c r="BU484" s="578"/>
      <c r="BV484" s="578"/>
      <c r="BW484" s="578"/>
    </row>
    <row r="485" spans="2:75" ht="14.25" customHeight="1" x14ac:dyDescent="0.3">
      <c r="B485" s="823"/>
      <c r="D485" s="824"/>
      <c r="I485" s="825"/>
      <c r="AR485" s="826"/>
      <c r="AY485" s="827"/>
      <c r="BD485" s="577"/>
      <c r="BE485" s="578"/>
      <c r="BF485" s="578"/>
      <c r="BG485" s="578"/>
      <c r="BH485" s="578"/>
      <c r="BI485" s="578"/>
      <c r="BJ485" s="578"/>
      <c r="BK485" s="578"/>
      <c r="BL485" s="578"/>
      <c r="BM485" s="578"/>
      <c r="BN485" s="578"/>
      <c r="BO485" s="578"/>
      <c r="BP485" s="578"/>
      <c r="BQ485" s="578"/>
      <c r="BR485" s="578"/>
      <c r="BS485" s="578"/>
      <c r="BT485" s="578"/>
      <c r="BU485" s="578"/>
      <c r="BV485" s="578"/>
      <c r="BW485" s="578"/>
    </row>
    <row r="486" spans="2:75" ht="14.25" customHeight="1" x14ac:dyDescent="0.3">
      <c r="B486" s="823"/>
      <c r="D486" s="824"/>
      <c r="I486" s="825"/>
      <c r="AR486" s="826"/>
      <c r="AY486" s="827"/>
      <c r="BD486" s="577"/>
      <c r="BE486" s="578"/>
      <c r="BF486" s="578"/>
      <c r="BG486" s="578"/>
      <c r="BH486" s="578"/>
      <c r="BI486" s="578"/>
      <c r="BJ486" s="578"/>
      <c r="BK486" s="578"/>
      <c r="BL486" s="578"/>
      <c r="BM486" s="578"/>
      <c r="BN486" s="578"/>
      <c r="BO486" s="578"/>
      <c r="BP486" s="578"/>
      <c r="BQ486" s="578"/>
      <c r="BR486" s="578"/>
      <c r="BS486" s="578"/>
      <c r="BT486" s="578"/>
      <c r="BU486" s="578"/>
      <c r="BV486" s="578"/>
      <c r="BW486" s="578"/>
    </row>
    <row r="487" spans="2:75" ht="14.25" customHeight="1" x14ac:dyDescent="0.3">
      <c r="B487" s="823"/>
      <c r="D487" s="824"/>
      <c r="I487" s="825"/>
      <c r="AR487" s="826"/>
      <c r="AY487" s="827"/>
      <c r="BD487" s="577"/>
      <c r="BE487" s="578"/>
      <c r="BF487" s="578"/>
      <c r="BG487" s="578"/>
      <c r="BH487" s="578"/>
      <c r="BI487" s="578"/>
      <c r="BJ487" s="578"/>
      <c r="BK487" s="578"/>
      <c r="BL487" s="578"/>
      <c r="BM487" s="578"/>
      <c r="BN487" s="578"/>
      <c r="BO487" s="578"/>
      <c r="BP487" s="578"/>
      <c r="BQ487" s="578"/>
      <c r="BR487" s="578"/>
      <c r="BS487" s="578"/>
      <c r="BT487" s="578"/>
      <c r="BU487" s="578"/>
      <c r="BV487" s="578"/>
      <c r="BW487" s="578"/>
    </row>
    <row r="488" spans="2:75" ht="14.25" customHeight="1" x14ac:dyDescent="0.3">
      <c r="B488" s="823"/>
      <c r="D488" s="824"/>
      <c r="I488" s="825"/>
      <c r="AR488" s="826"/>
      <c r="AY488" s="827"/>
      <c r="BD488" s="577"/>
      <c r="BE488" s="578"/>
      <c r="BF488" s="578"/>
      <c r="BG488" s="578"/>
      <c r="BH488" s="578"/>
      <c r="BI488" s="578"/>
      <c r="BJ488" s="578"/>
      <c r="BK488" s="578"/>
      <c r="BL488" s="578"/>
      <c r="BM488" s="578"/>
      <c r="BN488" s="578"/>
      <c r="BO488" s="578"/>
      <c r="BP488" s="578"/>
      <c r="BQ488" s="578"/>
      <c r="BR488" s="578"/>
      <c r="BS488" s="578"/>
      <c r="BT488" s="578"/>
      <c r="BU488" s="578"/>
      <c r="BV488" s="578"/>
      <c r="BW488" s="578"/>
    </row>
    <row r="489" spans="2:75" ht="14.25" customHeight="1" x14ac:dyDescent="0.3">
      <c r="B489" s="823"/>
      <c r="D489" s="824"/>
      <c r="I489" s="825"/>
      <c r="AR489" s="826"/>
      <c r="AY489" s="827"/>
      <c r="BD489" s="577"/>
      <c r="BE489" s="578"/>
      <c r="BF489" s="578"/>
      <c r="BG489" s="578"/>
      <c r="BH489" s="578"/>
      <c r="BI489" s="578"/>
      <c r="BJ489" s="578"/>
      <c r="BK489" s="578"/>
      <c r="BL489" s="578"/>
      <c r="BM489" s="578"/>
      <c r="BN489" s="578"/>
      <c r="BO489" s="578"/>
      <c r="BP489" s="578"/>
      <c r="BQ489" s="578"/>
      <c r="BR489" s="578"/>
      <c r="BS489" s="578"/>
      <c r="BT489" s="578"/>
      <c r="BU489" s="578"/>
      <c r="BV489" s="578"/>
      <c r="BW489" s="578"/>
    </row>
    <row r="490" spans="2:75" ht="14.25" customHeight="1" x14ac:dyDescent="0.3">
      <c r="B490" s="823"/>
      <c r="D490" s="824"/>
      <c r="I490" s="825"/>
      <c r="AR490" s="826"/>
      <c r="AY490" s="827"/>
      <c r="BD490" s="577"/>
      <c r="BE490" s="578"/>
      <c r="BF490" s="578"/>
      <c r="BG490" s="578"/>
      <c r="BH490" s="578"/>
      <c r="BI490" s="578"/>
      <c r="BJ490" s="578"/>
      <c r="BK490" s="578"/>
      <c r="BL490" s="578"/>
      <c r="BM490" s="578"/>
      <c r="BN490" s="578"/>
      <c r="BO490" s="578"/>
      <c r="BP490" s="578"/>
      <c r="BQ490" s="578"/>
      <c r="BR490" s="578"/>
      <c r="BS490" s="578"/>
      <c r="BT490" s="578"/>
      <c r="BU490" s="578"/>
      <c r="BV490" s="578"/>
      <c r="BW490" s="578"/>
    </row>
    <row r="491" spans="2:75" ht="14.25" customHeight="1" x14ac:dyDescent="0.3">
      <c r="B491" s="823"/>
      <c r="D491" s="824"/>
      <c r="I491" s="825"/>
      <c r="AR491" s="826"/>
      <c r="AY491" s="827"/>
      <c r="BD491" s="577"/>
      <c r="BE491" s="578"/>
      <c r="BF491" s="578"/>
      <c r="BG491" s="578"/>
      <c r="BH491" s="578"/>
      <c r="BI491" s="578"/>
      <c r="BJ491" s="578"/>
      <c r="BK491" s="578"/>
      <c r="BL491" s="578"/>
      <c r="BM491" s="578"/>
      <c r="BN491" s="578"/>
      <c r="BO491" s="578"/>
      <c r="BP491" s="578"/>
      <c r="BQ491" s="578"/>
      <c r="BR491" s="578"/>
      <c r="BS491" s="578"/>
      <c r="BT491" s="578"/>
      <c r="BU491" s="578"/>
      <c r="BV491" s="578"/>
      <c r="BW491" s="578"/>
    </row>
    <row r="492" spans="2:75" ht="14.25" customHeight="1" x14ac:dyDescent="0.3">
      <c r="B492" s="823"/>
      <c r="D492" s="824"/>
      <c r="I492" s="825"/>
      <c r="AR492" s="826"/>
      <c r="AY492" s="827"/>
      <c r="BD492" s="577"/>
      <c r="BE492" s="578"/>
      <c r="BF492" s="578"/>
      <c r="BG492" s="578"/>
      <c r="BH492" s="578"/>
      <c r="BI492" s="578"/>
      <c r="BJ492" s="578"/>
      <c r="BK492" s="578"/>
      <c r="BL492" s="578"/>
      <c r="BM492" s="578"/>
      <c r="BN492" s="578"/>
      <c r="BO492" s="578"/>
      <c r="BP492" s="578"/>
      <c r="BQ492" s="578"/>
      <c r="BR492" s="578"/>
      <c r="BS492" s="578"/>
      <c r="BT492" s="578"/>
      <c r="BU492" s="578"/>
      <c r="BV492" s="578"/>
      <c r="BW492" s="578"/>
    </row>
    <row r="493" spans="2:75" ht="14.25" customHeight="1" x14ac:dyDescent="0.3">
      <c r="B493" s="823"/>
      <c r="D493" s="824"/>
      <c r="I493" s="825"/>
      <c r="AR493" s="826"/>
      <c r="AY493" s="827"/>
      <c r="BD493" s="577"/>
      <c r="BE493" s="578"/>
      <c r="BF493" s="578"/>
      <c r="BG493" s="578"/>
      <c r="BH493" s="578"/>
      <c r="BI493" s="578"/>
      <c r="BJ493" s="578"/>
      <c r="BK493" s="578"/>
      <c r="BL493" s="578"/>
      <c r="BM493" s="578"/>
      <c r="BN493" s="578"/>
      <c r="BO493" s="578"/>
      <c r="BP493" s="578"/>
      <c r="BQ493" s="578"/>
      <c r="BR493" s="578"/>
      <c r="BS493" s="578"/>
      <c r="BT493" s="578"/>
      <c r="BU493" s="578"/>
      <c r="BV493" s="578"/>
      <c r="BW493" s="578"/>
    </row>
    <row r="494" spans="2:75" ht="14.25" customHeight="1" x14ac:dyDescent="0.3">
      <c r="B494" s="823"/>
      <c r="D494" s="824"/>
      <c r="I494" s="825"/>
      <c r="AR494" s="826"/>
      <c r="AY494" s="827"/>
      <c r="BD494" s="577"/>
      <c r="BE494" s="578"/>
      <c r="BF494" s="578"/>
      <c r="BG494" s="578"/>
      <c r="BH494" s="578"/>
      <c r="BI494" s="578"/>
      <c r="BJ494" s="578"/>
      <c r="BK494" s="578"/>
      <c r="BL494" s="578"/>
      <c r="BM494" s="578"/>
      <c r="BN494" s="578"/>
      <c r="BO494" s="578"/>
      <c r="BP494" s="578"/>
      <c r="BQ494" s="578"/>
      <c r="BR494" s="578"/>
      <c r="BS494" s="578"/>
      <c r="BT494" s="578"/>
      <c r="BU494" s="578"/>
      <c r="BV494" s="578"/>
      <c r="BW494" s="578"/>
    </row>
    <row r="495" spans="2:75" ht="14.25" customHeight="1" x14ac:dyDescent="0.3">
      <c r="B495" s="823"/>
      <c r="D495" s="824"/>
      <c r="I495" s="825"/>
      <c r="AR495" s="826"/>
      <c r="AY495" s="827"/>
      <c r="BD495" s="577"/>
      <c r="BE495" s="578"/>
      <c r="BF495" s="578"/>
      <c r="BG495" s="578"/>
      <c r="BH495" s="578"/>
      <c r="BI495" s="578"/>
      <c r="BJ495" s="578"/>
      <c r="BK495" s="578"/>
      <c r="BL495" s="578"/>
      <c r="BM495" s="578"/>
      <c r="BN495" s="578"/>
      <c r="BO495" s="578"/>
      <c r="BP495" s="578"/>
      <c r="BQ495" s="578"/>
      <c r="BR495" s="578"/>
      <c r="BS495" s="578"/>
      <c r="BT495" s="578"/>
      <c r="BU495" s="578"/>
      <c r="BV495" s="578"/>
      <c r="BW495" s="578"/>
    </row>
    <row r="496" spans="2:75" ht="14.25" customHeight="1" x14ac:dyDescent="0.3">
      <c r="B496" s="823"/>
      <c r="D496" s="824"/>
      <c r="I496" s="825"/>
      <c r="AR496" s="826"/>
      <c r="AY496" s="827"/>
      <c r="BD496" s="577"/>
      <c r="BE496" s="578"/>
      <c r="BF496" s="578"/>
      <c r="BG496" s="578"/>
      <c r="BH496" s="578"/>
      <c r="BI496" s="578"/>
      <c r="BJ496" s="578"/>
      <c r="BK496" s="578"/>
      <c r="BL496" s="578"/>
      <c r="BM496" s="578"/>
      <c r="BN496" s="578"/>
      <c r="BO496" s="578"/>
      <c r="BP496" s="578"/>
      <c r="BQ496" s="578"/>
      <c r="BR496" s="578"/>
      <c r="BS496" s="578"/>
      <c r="BT496" s="578"/>
      <c r="BU496" s="578"/>
      <c r="BV496" s="578"/>
      <c r="BW496" s="578"/>
    </row>
    <row r="497" spans="2:75" ht="14.25" customHeight="1" x14ac:dyDescent="0.3">
      <c r="B497" s="823"/>
      <c r="D497" s="824"/>
      <c r="I497" s="825"/>
      <c r="AR497" s="826"/>
      <c r="AY497" s="827"/>
      <c r="BD497" s="577"/>
      <c r="BE497" s="578"/>
      <c r="BF497" s="578"/>
      <c r="BG497" s="578"/>
      <c r="BH497" s="578"/>
      <c r="BI497" s="578"/>
      <c r="BJ497" s="578"/>
      <c r="BK497" s="578"/>
      <c r="BL497" s="578"/>
      <c r="BM497" s="578"/>
      <c r="BN497" s="578"/>
      <c r="BO497" s="578"/>
      <c r="BP497" s="578"/>
      <c r="BQ497" s="578"/>
      <c r="BR497" s="578"/>
      <c r="BS497" s="578"/>
      <c r="BT497" s="578"/>
      <c r="BU497" s="578"/>
      <c r="BV497" s="578"/>
      <c r="BW497" s="578"/>
    </row>
    <row r="498" spans="2:75" ht="14.25" customHeight="1" x14ac:dyDescent="0.3">
      <c r="B498" s="823"/>
      <c r="D498" s="824"/>
      <c r="I498" s="825"/>
      <c r="AR498" s="826"/>
      <c r="AY498" s="827"/>
      <c r="BD498" s="577"/>
      <c r="BE498" s="578"/>
      <c r="BF498" s="578"/>
      <c r="BG498" s="578"/>
      <c r="BH498" s="578"/>
      <c r="BI498" s="578"/>
      <c r="BJ498" s="578"/>
      <c r="BK498" s="578"/>
      <c r="BL498" s="578"/>
      <c r="BM498" s="578"/>
      <c r="BN498" s="578"/>
      <c r="BO498" s="578"/>
      <c r="BP498" s="578"/>
      <c r="BQ498" s="578"/>
      <c r="BR498" s="578"/>
      <c r="BS498" s="578"/>
      <c r="BT498" s="578"/>
      <c r="BU498" s="578"/>
      <c r="BV498" s="578"/>
      <c r="BW498" s="578"/>
    </row>
    <row r="499" spans="2:75" ht="14.25" customHeight="1" x14ac:dyDescent="0.3">
      <c r="B499" s="823"/>
      <c r="D499" s="824"/>
      <c r="I499" s="825"/>
      <c r="AR499" s="826"/>
      <c r="AY499" s="827"/>
      <c r="BD499" s="577"/>
      <c r="BE499" s="578"/>
      <c r="BF499" s="578"/>
      <c r="BG499" s="578"/>
      <c r="BH499" s="578"/>
      <c r="BI499" s="578"/>
      <c r="BJ499" s="578"/>
      <c r="BK499" s="578"/>
      <c r="BL499" s="578"/>
      <c r="BM499" s="578"/>
      <c r="BN499" s="578"/>
      <c r="BO499" s="578"/>
      <c r="BP499" s="578"/>
      <c r="BQ499" s="578"/>
      <c r="BR499" s="578"/>
      <c r="BS499" s="578"/>
      <c r="BT499" s="578"/>
      <c r="BU499" s="578"/>
      <c r="BV499" s="578"/>
      <c r="BW499" s="578"/>
    </row>
    <row r="500" spans="2:75" ht="14.25" customHeight="1" x14ac:dyDescent="0.3">
      <c r="B500" s="823"/>
      <c r="D500" s="824"/>
      <c r="I500" s="825"/>
      <c r="AR500" s="826"/>
      <c r="AY500" s="827"/>
      <c r="BD500" s="577"/>
      <c r="BE500" s="578"/>
      <c r="BF500" s="578"/>
      <c r="BG500" s="578"/>
      <c r="BH500" s="578"/>
      <c r="BI500" s="578"/>
      <c r="BJ500" s="578"/>
      <c r="BK500" s="578"/>
      <c r="BL500" s="578"/>
      <c r="BM500" s="578"/>
      <c r="BN500" s="578"/>
      <c r="BO500" s="578"/>
      <c r="BP500" s="578"/>
      <c r="BQ500" s="578"/>
      <c r="BR500" s="578"/>
      <c r="BS500" s="578"/>
      <c r="BT500" s="578"/>
      <c r="BU500" s="578"/>
      <c r="BV500" s="578"/>
      <c r="BW500" s="578"/>
    </row>
    <row r="501" spans="2:75" ht="14.25" customHeight="1" x14ac:dyDescent="0.3">
      <c r="B501" s="823"/>
      <c r="D501" s="824"/>
      <c r="I501" s="825"/>
      <c r="AR501" s="826"/>
      <c r="AY501" s="827"/>
      <c r="BD501" s="577"/>
      <c r="BE501" s="578"/>
      <c r="BF501" s="578"/>
      <c r="BG501" s="578"/>
      <c r="BH501" s="578"/>
      <c r="BI501" s="578"/>
      <c r="BJ501" s="578"/>
      <c r="BK501" s="578"/>
      <c r="BL501" s="578"/>
      <c r="BM501" s="578"/>
      <c r="BN501" s="578"/>
      <c r="BO501" s="578"/>
      <c r="BP501" s="578"/>
      <c r="BQ501" s="578"/>
      <c r="BR501" s="578"/>
      <c r="BS501" s="578"/>
      <c r="BT501" s="578"/>
      <c r="BU501" s="578"/>
      <c r="BV501" s="578"/>
      <c r="BW501" s="578"/>
    </row>
    <row r="502" spans="2:75" ht="14.25" customHeight="1" x14ac:dyDescent="0.3">
      <c r="B502" s="823"/>
      <c r="D502" s="824"/>
      <c r="I502" s="825"/>
      <c r="AR502" s="826"/>
      <c r="AY502" s="827"/>
      <c r="BD502" s="577"/>
      <c r="BE502" s="578"/>
      <c r="BF502" s="578"/>
      <c r="BG502" s="578"/>
      <c r="BH502" s="578"/>
      <c r="BI502" s="578"/>
      <c r="BJ502" s="578"/>
      <c r="BK502" s="578"/>
      <c r="BL502" s="578"/>
      <c r="BM502" s="578"/>
      <c r="BN502" s="578"/>
      <c r="BO502" s="578"/>
      <c r="BP502" s="578"/>
      <c r="BQ502" s="578"/>
      <c r="BR502" s="578"/>
      <c r="BS502" s="578"/>
      <c r="BT502" s="578"/>
      <c r="BU502" s="578"/>
      <c r="BV502" s="578"/>
      <c r="BW502" s="578"/>
    </row>
    <row r="503" spans="2:75" ht="14.25" customHeight="1" x14ac:dyDescent="0.3">
      <c r="B503" s="823"/>
      <c r="D503" s="824"/>
      <c r="I503" s="825"/>
      <c r="AR503" s="826"/>
      <c r="AY503" s="827"/>
      <c r="BD503" s="577"/>
      <c r="BE503" s="578"/>
      <c r="BF503" s="578"/>
      <c r="BG503" s="578"/>
      <c r="BH503" s="578"/>
      <c r="BI503" s="578"/>
      <c r="BJ503" s="578"/>
      <c r="BK503" s="578"/>
      <c r="BL503" s="578"/>
      <c r="BM503" s="578"/>
      <c r="BN503" s="578"/>
      <c r="BO503" s="578"/>
      <c r="BP503" s="578"/>
      <c r="BQ503" s="578"/>
      <c r="BR503" s="578"/>
      <c r="BS503" s="578"/>
      <c r="BT503" s="578"/>
      <c r="BU503" s="578"/>
      <c r="BV503" s="578"/>
      <c r="BW503" s="578"/>
    </row>
    <row r="504" spans="2:75" ht="14.25" customHeight="1" x14ac:dyDescent="0.3">
      <c r="B504" s="823"/>
      <c r="D504" s="824"/>
      <c r="I504" s="825"/>
      <c r="AR504" s="826"/>
      <c r="AY504" s="827"/>
      <c r="BD504" s="577"/>
      <c r="BE504" s="578"/>
      <c r="BF504" s="578"/>
      <c r="BG504" s="578"/>
      <c r="BH504" s="578"/>
      <c r="BI504" s="578"/>
      <c r="BJ504" s="578"/>
      <c r="BK504" s="578"/>
      <c r="BL504" s="578"/>
      <c r="BM504" s="578"/>
      <c r="BN504" s="578"/>
      <c r="BO504" s="578"/>
      <c r="BP504" s="578"/>
      <c r="BQ504" s="578"/>
      <c r="BR504" s="578"/>
      <c r="BS504" s="578"/>
      <c r="BT504" s="578"/>
      <c r="BU504" s="578"/>
      <c r="BV504" s="578"/>
      <c r="BW504" s="578"/>
    </row>
    <row r="505" spans="2:75" ht="14.25" customHeight="1" x14ac:dyDescent="0.3">
      <c r="B505" s="823"/>
      <c r="D505" s="824"/>
      <c r="I505" s="825"/>
      <c r="AR505" s="826"/>
      <c r="AY505" s="827"/>
      <c r="BD505" s="577"/>
      <c r="BE505" s="578"/>
      <c r="BF505" s="578"/>
      <c r="BG505" s="578"/>
      <c r="BH505" s="578"/>
      <c r="BI505" s="578"/>
      <c r="BJ505" s="578"/>
      <c r="BK505" s="578"/>
      <c r="BL505" s="578"/>
      <c r="BM505" s="578"/>
      <c r="BN505" s="578"/>
      <c r="BO505" s="578"/>
      <c r="BP505" s="578"/>
      <c r="BQ505" s="578"/>
      <c r="BR505" s="578"/>
      <c r="BS505" s="578"/>
      <c r="BT505" s="578"/>
      <c r="BU505" s="578"/>
      <c r="BV505" s="578"/>
      <c r="BW505" s="578"/>
    </row>
    <row r="506" spans="2:75" ht="14.25" customHeight="1" x14ac:dyDescent="0.3">
      <c r="B506" s="823"/>
      <c r="D506" s="824"/>
      <c r="I506" s="825"/>
      <c r="AR506" s="826"/>
      <c r="AY506" s="827"/>
      <c r="BD506" s="577"/>
      <c r="BE506" s="578"/>
      <c r="BF506" s="578"/>
      <c r="BG506" s="578"/>
      <c r="BH506" s="578"/>
      <c r="BI506" s="578"/>
      <c r="BJ506" s="578"/>
      <c r="BK506" s="578"/>
      <c r="BL506" s="578"/>
      <c r="BM506" s="578"/>
      <c r="BN506" s="578"/>
      <c r="BO506" s="578"/>
      <c r="BP506" s="578"/>
      <c r="BQ506" s="578"/>
      <c r="BR506" s="578"/>
      <c r="BS506" s="578"/>
      <c r="BT506" s="578"/>
      <c r="BU506" s="578"/>
      <c r="BV506" s="578"/>
      <c r="BW506" s="578"/>
    </row>
    <row r="507" spans="2:75" ht="14.25" customHeight="1" x14ac:dyDescent="0.3">
      <c r="B507" s="823"/>
      <c r="D507" s="824"/>
      <c r="I507" s="825"/>
      <c r="AR507" s="826"/>
      <c r="AY507" s="827"/>
      <c r="BD507" s="577"/>
      <c r="BE507" s="578"/>
      <c r="BF507" s="578"/>
      <c r="BG507" s="578"/>
      <c r="BH507" s="578"/>
      <c r="BI507" s="578"/>
      <c r="BJ507" s="578"/>
      <c r="BK507" s="578"/>
      <c r="BL507" s="578"/>
      <c r="BM507" s="578"/>
      <c r="BN507" s="578"/>
      <c r="BO507" s="578"/>
      <c r="BP507" s="578"/>
      <c r="BQ507" s="578"/>
      <c r="BR507" s="578"/>
      <c r="BS507" s="578"/>
      <c r="BT507" s="578"/>
      <c r="BU507" s="578"/>
      <c r="BV507" s="578"/>
      <c r="BW507" s="578"/>
    </row>
    <row r="508" spans="2:75" ht="14.25" customHeight="1" x14ac:dyDescent="0.3">
      <c r="B508" s="823"/>
      <c r="D508" s="824"/>
      <c r="I508" s="825"/>
      <c r="AR508" s="826"/>
      <c r="AY508" s="827"/>
      <c r="BD508" s="577"/>
      <c r="BE508" s="578"/>
      <c r="BF508" s="578"/>
      <c r="BG508" s="578"/>
      <c r="BH508" s="578"/>
      <c r="BI508" s="578"/>
      <c r="BJ508" s="578"/>
      <c r="BK508" s="578"/>
      <c r="BL508" s="578"/>
      <c r="BM508" s="578"/>
      <c r="BN508" s="578"/>
      <c r="BO508" s="578"/>
      <c r="BP508" s="578"/>
      <c r="BQ508" s="578"/>
      <c r="BR508" s="578"/>
      <c r="BS508" s="578"/>
      <c r="BT508" s="578"/>
      <c r="BU508" s="578"/>
      <c r="BV508" s="578"/>
      <c r="BW508" s="578"/>
    </row>
    <row r="509" spans="2:75" ht="14.25" customHeight="1" x14ac:dyDescent="0.3">
      <c r="B509" s="823"/>
      <c r="D509" s="824"/>
      <c r="I509" s="825"/>
      <c r="AR509" s="826"/>
      <c r="AY509" s="827"/>
      <c r="BD509" s="577"/>
      <c r="BE509" s="578"/>
      <c r="BF509" s="578"/>
      <c r="BG509" s="578"/>
      <c r="BH509" s="578"/>
      <c r="BI509" s="578"/>
      <c r="BJ509" s="578"/>
      <c r="BK509" s="578"/>
      <c r="BL509" s="578"/>
      <c r="BM509" s="578"/>
      <c r="BN509" s="578"/>
      <c r="BO509" s="578"/>
      <c r="BP509" s="578"/>
      <c r="BQ509" s="578"/>
      <c r="BR509" s="578"/>
      <c r="BS509" s="578"/>
      <c r="BT509" s="578"/>
      <c r="BU509" s="578"/>
      <c r="BV509" s="578"/>
      <c r="BW509" s="578"/>
    </row>
    <row r="510" spans="2:75" ht="14.25" customHeight="1" x14ac:dyDescent="0.3">
      <c r="B510" s="823"/>
      <c r="D510" s="824"/>
      <c r="I510" s="825"/>
      <c r="AR510" s="826"/>
      <c r="AY510" s="827"/>
      <c r="BD510" s="577"/>
      <c r="BE510" s="578"/>
      <c r="BF510" s="578"/>
      <c r="BG510" s="578"/>
      <c r="BH510" s="578"/>
      <c r="BI510" s="578"/>
      <c r="BJ510" s="578"/>
      <c r="BK510" s="578"/>
      <c r="BL510" s="578"/>
      <c r="BM510" s="578"/>
      <c r="BN510" s="578"/>
      <c r="BO510" s="578"/>
      <c r="BP510" s="578"/>
      <c r="BQ510" s="578"/>
      <c r="BR510" s="578"/>
      <c r="BS510" s="578"/>
      <c r="BT510" s="578"/>
      <c r="BU510" s="578"/>
      <c r="BV510" s="578"/>
      <c r="BW510" s="578"/>
    </row>
    <row r="511" spans="2:75" ht="14.25" customHeight="1" x14ac:dyDescent="0.3">
      <c r="B511" s="823"/>
      <c r="D511" s="824"/>
      <c r="I511" s="825"/>
      <c r="AR511" s="826"/>
      <c r="AY511" s="827"/>
      <c r="BD511" s="577"/>
      <c r="BE511" s="578"/>
      <c r="BF511" s="578"/>
      <c r="BG511" s="578"/>
      <c r="BH511" s="578"/>
      <c r="BI511" s="578"/>
      <c r="BJ511" s="578"/>
      <c r="BK511" s="578"/>
      <c r="BL511" s="578"/>
      <c r="BM511" s="578"/>
      <c r="BN511" s="578"/>
      <c r="BO511" s="578"/>
      <c r="BP511" s="578"/>
      <c r="BQ511" s="578"/>
      <c r="BR511" s="578"/>
      <c r="BS511" s="578"/>
      <c r="BT511" s="578"/>
      <c r="BU511" s="578"/>
      <c r="BV511" s="578"/>
      <c r="BW511" s="578"/>
    </row>
    <row r="512" spans="2:75" ht="14.25" customHeight="1" x14ac:dyDescent="0.3">
      <c r="B512" s="823"/>
      <c r="D512" s="824"/>
      <c r="I512" s="825"/>
      <c r="AR512" s="826"/>
      <c r="AY512" s="827"/>
      <c r="BD512" s="577"/>
      <c r="BE512" s="578"/>
      <c r="BF512" s="578"/>
      <c r="BG512" s="578"/>
      <c r="BH512" s="578"/>
      <c r="BI512" s="578"/>
      <c r="BJ512" s="578"/>
      <c r="BK512" s="578"/>
      <c r="BL512" s="578"/>
      <c r="BM512" s="578"/>
      <c r="BN512" s="578"/>
      <c r="BO512" s="578"/>
      <c r="BP512" s="578"/>
      <c r="BQ512" s="578"/>
      <c r="BR512" s="578"/>
      <c r="BS512" s="578"/>
      <c r="BT512" s="578"/>
      <c r="BU512" s="578"/>
      <c r="BV512" s="578"/>
      <c r="BW512" s="578"/>
    </row>
    <row r="513" spans="2:75" ht="14.25" customHeight="1" x14ac:dyDescent="0.3">
      <c r="B513" s="823"/>
      <c r="D513" s="824"/>
      <c r="I513" s="825"/>
      <c r="AR513" s="826"/>
      <c r="AY513" s="827"/>
      <c r="BD513" s="577"/>
      <c r="BE513" s="578"/>
      <c r="BF513" s="578"/>
      <c r="BG513" s="578"/>
      <c r="BH513" s="578"/>
      <c r="BI513" s="578"/>
      <c r="BJ513" s="578"/>
      <c r="BK513" s="578"/>
      <c r="BL513" s="578"/>
      <c r="BM513" s="578"/>
      <c r="BN513" s="578"/>
      <c r="BO513" s="578"/>
      <c r="BP513" s="578"/>
      <c r="BQ513" s="578"/>
      <c r="BR513" s="578"/>
      <c r="BS513" s="578"/>
      <c r="BT513" s="578"/>
      <c r="BU513" s="578"/>
      <c r="BV513" s="578"/>
      <c r="BW513" s="578"/>
    </row>
    <row r="514" spans="2:75" ht="14.25" customHeight="1" x14ac:dyDescent="0.3">
      <c r="B514" s="823"/>
      <c r="D514" s="824"/>
      <c r="I514" s="825"/>
      <c r="AR514" s="826"/>
      <c r="AY514" s="827"/>
      <c r="BD514" s="577"/>
      <c r="BE514" s="578"/>
      <c r="BF514" s="578"/>
      <c r="BG514" s="578"/>
      <c r="BH514" s="578"/>
      <c r="BI514" s="578"/>
      <c r="BJ514" s="578"/>
      <c r="BK514" s="578"/>
      <c r="BL514" s="578"/>
      <c r="BM514" s="578"/>
      <c r="BN514" s="578"/>
      <c r="BO514" s="578"/>
      <c r="BP514" s="578"/>
      <c r="BQ514" s="578"/>
      <c r="BR514" s="578"/>
      <c r="BS514" s="578"/>
      <c r="BT514" s="578"/>
      <c r="BU514" s="578"/>
      <c r="BV514" s="578"/>
      <c r="BW514" s="578"/>
    </row>
    <row r="515" spans="2:75" ht="14.25" customHeight="1" x14ac:dyDescent="0.3">
      <c r="B515" s="823"/>
      <c r="D515" s="824"/>
      <c r="I515" s="825"/>
      <c r="AR515" s="826"/>
      <c r="AY515" s="827"/>
      <c r="BD515" s="577"/>
      <c r="BE515" s="578"/>
      <c r="BF515" s="578"/>
      <c r="BG515" s="578"/>
      <c r="BH515" s="578"/>
      <c r="BI515" s="578"/>
      <c r="BJ515" s="578"/>
      <c r="BK515" s="578"/>
      <c r="BL515" s="578"/>
      <c r="BM515" s="578"/>
      <c r="BN515" s="578"/>
      <c r="BO515" s="578"/>
      <c r="BP515" s="578"/>
      <c r="BQ515" s="578"/>
      <c r="BR515" s="578"/>
      <c r="BS515" s="578"/>
      <c r="BT515" s="578"/>
      <c r="BU515" s="578"/>
      <c r="BV515" s="578"/>
      <c r="BW515" s="578"/>
    </row>
    <row r="516" spans="2:75" ht="14.25" customHeight="1" x14ac:dyDescent="0.3">
      <c r="B516" s="823"/>
      <c r="D516" s="824"/>
      <c r="I516" s="825"/>
      <c r="AR516" s="826"/>
      <c r="AY516" s="827"/>
      <c r="BD516" s="577"/>
      <c r="BE516" s="578"/>
      <c r="BF516" s="578"/>
      <c r="BG516" s="578"/>
      <c r="BH516" s="578"/>
      <c r="BI516" s="578"/>
      <c r="BJ516" s="578"/>
      <c r="BK516" s="578"/>
      <c r="BL516" s="578"/>
      <c r="BM516" s="578"/>
      <c r="BN516" s="578"/>
      <c r="BO516" s="578"/>
      <c r="BP516" s="578"/>
      <c r="BQ516" s="578"/>
      <c r="BR516" s="578"/>
      <c r="BS516" s="578"/>
      <c r="BT516" s="578"/>
      <c r="BU516" s="578"/>
      <c r="BV516" s="578"/>
      <c r="BW516" s="578"/>
    </row>
    <row r="517" spans="2:75" ht="14.25" customHeight="1" x14ac:dyDescent="0.3">
      <c r="B517" s="823"/>
      <c r="D517" s="824"/>
      <c r="I517" s="825"/>
      <c r="AR517" s="826"/>
      <c r="AY517" s="827"/>
      <c r="BD517" s="577"/>
      <c r="BE517" s="578"/>
      <c r="BF517" s="578"/>
      <c r="BG517" s="578"/>
      <c r="BH517" s="578"/>
      <c r="BI517" s="578"/>
      <c r="BJ517" s="578"/>
      <c r="BK517" s="578"/>
      <c r="BL517" s="578"/>
      <c r="BM517" s="578"/>
      <c r="BN517" s="578"/>
      <c r="BO517" s="578"/>
      <c r="BP517" s="578"/>
      <c r="BQ517" s="578"/>
      <c r="BR517" s="578"/>
      <c r="BS517" s="578"/>
      <c r="BT517" s="578"/>
      <c r="BU517" s="578"/>
      <c r="BV517" s="578"/>
      <c r="BW517" s="578"/>
    </row>
    <row r="518" spans="2:75" ht="14.25" customHeight="1" x14ac:dyDescent="0.3">
      <c r="B518" s="823"/>
      <c r="D518" s="824"/>
      <c r="I518" s="825"/>
      <c r="AR518" s="826"/>
      <c r="AY518" s="827"/>
      <c r="BD518" s="577"/>
      <c r="BE518" s="578"/>
      <c r="BF518" s="578"/>
      <c r="BG518" s="578"/>
      <c r="BH518" s="578"/>
      <c r="BI518" s="578"/>
      <c r="BJ518" s="578"/>
      <c r="BK518" s="578"/>
      <c r="BL518" s="578"/>
      <c r="BM518" s="578"/>
      <c r="BN518" s="578"/>
      <c r="BO518" s="578"/>
      <c r="BP518" s="578"/>
      <c r="BQ518" s="578"/>
      <c r="BR518" s="578"/>
      <c r="BS518" s="578"/>
      <c r="BT518" s="578"/>
      <c r="BU518" s="578"/>
      <c r="BV518" s="578"/>
      <c r="BW518" s="578"/>
    </row>
    <row r="519" spans="2:75" ht="14.25" customHeight="1" x14ac:dyDescent="0.3">
      <c r="B519" s="823"/>
      <c r="D519" s="824"/>
      <c r="I519" s="825"/>
      <c r="AR519" s="826"/>
      <c r="AY519" s="827"/>
      <c r="BD519" s="577"/>
      <c r="BE519" s="578"/>
      <c r="BF519" s="578"/>
      <c r="BG519" s="578"/>
      <c r="BH519" s="578"/>
      <c r="BI519" s="578"/>
      <c r="BJ519" s="578"/>
      <c r="BK519" s="578"/>
      <c r="BL519" s="578"/>
      <c r="BM519" s="578"/>
      <c r="BN519" s="578"/>
      <c r="BO519" s="578"/>
      <c r="BP519" s="578"/>
      <c r="BQ519" s="578"/>
      <c r="BR519" s="578"/>
      <c r="BS519" s="578"/>
      <c r="BT519" s="578"/>
      <c r="BU519" s="578"/>
      <c r="BV519" s="578"/>
      <c r="BW519" s="578"/>
    </row>
    <row r="520" spans="2:75" ht="14.25" customHeight="1" x14ac:dyDescent="0.3">
      <c r="B520" s="823"/>
      <c r="D520" s="824"/>
      <c r="I520" s="825"/>
      <c r="AR520" s="826"/>
      <c r="AY520" s="827"/>
      <c r="BD520" s="577"/>
      <c r="BE520" s="578"/>
      <c r="BF520" s="578"/>
      <c r="BG520" s="578"/>
      <c r="BH520" s="578"/>
      <c r="BI520" s="578"/>
      <c r="BJ520" s="578"/>
      <c r="BK520" s="578"/>
      <c r="BL520" s="578"/>
      <c r="BM520" s="578"/>
      <c r="BN520" s="578"/>
      <c r="BO520" s="578"/>
      <c r="BP520" s="578"/>
      <c r="BQ520" s="578"/>
      <c r="BR520" s="578"/>
      <c r="BS520" s="578"/>
      <c r="BT520" s="578"/>
      <c r="BU520" s="578"/>
      <c r="BV520" s="578"/>
      <c r="BW520" s="578"/>
    </row>
    <row r="521" spans="2:75" ht="14.25" customHeight="1" x14ac:dyDescent="0.3">
      <c r="B521" s="823"/>
      <c r="D521" s="824"/>
      <c r="I521" s="825"/>
      <c r="AR521" s="826"/>
      <c r="AY521" s="827"/>
      <c r="BD521" s="577"/>
      <c r="BE521" s="578"/>
      <c r="BF521" s="578"/>
      <c r="BG521" s="578"/>
      <c r="BH521" s="578"/>
      <c r="BI521" s="578"/>
      <c r="BJ521" s="578"/>
      <c r="BK521" s="578"/>
      <c r="BL521" s="578"/>
      <c r="BM521" s="578"/>
      <c r="BN521" s="578"/>
      <c r="BO521" s="578"/>
      <c r="BP521" s="578"/>
      <c r="BQ521" s="578"/>
      <c r="BR521" s="578"/>
      <c r="BS521" s="578"/>
      <c r="BT521" s="578"/>
      <c r="BU521" s="578"/>
      <c r="BV521" s="578"/>
      <c r="BW521" s="578"/>
    </row>
    <row r="522" spans="2:75" ht="14.25" customHeight="1" x14ac:dyDescent="0.3">
      <c r="B522" s="823"/>
      <c r="D522" s="824"/>
      <c r="I522" s="825"/>
      <c r="AR522" s="826"/>
      <c r="AY522" s="827"/>
      <c r="BD522" s="577"/>
      <c r="BE522" s="578"/>
      <c r="BF522" s="578"/>
      <c r="BG522" s="578"/>
      <c r="BH522" s="578"/>
      <c r="BI522" s="578"/>
      <c r="BJ522" s="578"/>
      <c r="BK522" s="578"/>
      <c r="BL522" s="578"/>
      <c r="BM522" s="578"/>
      <c r="BN522" s="578"/>
      <c r="BO522" s="578"/>
      <c r="BP522" s="578"/>
      <c r="BQ522" s="578"/>
      <c r="BR522" s="578"/>
      <c r="BS522" s="578"/>
      <c r="BT522" s="578"/>
      <c r="BU522" s="578"/>
      <c r="BV522" s="578"/>
      <c r="BW522" s="578"/>
    </row>
    <row r="523" spans="2:75" ht="14.25" customHeight="1" x14ac:dyDescent="0.3">
      <c r="B523" s="823"/>
      <c r="D523" s="824"/>
      <c r="I523" s="825"/>
      <c r="AR523" s="826"/>
      <c r="AY523" s="827"/>
      <c r="BD523" s="577"/>
      <c r="BE523" s="578"/>
      <c r="BF523" s="578"/>
      <c r="BG523" s="578"/>
      <c r="BH523" s="578"/>
      <c r="BI523" s="578"/>
      <c r="BJ523" s="578"/>
      <c r="BK523" s="578"/>
      <c r="BL523" s="578"/>
      <c r="BM523" s="578"/>
      <c r="BN523" s="578"/>
      <c r="BO523" s="578"/>
      <c r="BP523" s="578"/>
      <c r="BQ523" s="578"/>
      <c r="BR523" s="578"/>
      <c r="BS523" s="578"/>
      <c r="BT523" s="578"/>
      <c r="BU523" s="578"/>
      <c r="BV523" s="578"/>
      <c r="BW523" s="578"/>
    </row>
    <row r="524" spans="2:75" ht="14.25" customHeight="1" x14ac:dyDescent="0.3">
      <c r="B524" s="823"/>
      <c r="D524" s="824"/>
      <c r="I524" s="825"/>
      <c r="AR524" s="826"/>
      <c r="AY524" s="827"/>
      <c r="BD524" s="577"/>
      <c r="BE524" s="578"/>
      <c r="BF524" s="578"/>
      <c r="BG524" s="578"/>
      <c r="BH524" s="578"/>
      <c r="BI524" s="578"/>
      <c r="BJ524" s="578"/>
      <c r="BK524" s="578"/>
      <c r="BL524" s="578"/>
      <c r="BM524" s="578"/>
      <c r="BN524" s="578"/>
      <c r="BO524" s="578"/>
      <c r="BP524" s="578"/>
      <c r="BQ524" s="578"/>
      <c r="BR524" s="578"/>
      <c r="BS524" s="578"/>
      <c r="BT524" s="578"/>
      <c r="BU524" s="578"/>
      <c r="BV524" s="578"/>
      <c r="BW524" s="578"/>
    </row>
    <row r="525" spans="2:75" ht="14.25" customHeight="1" x14ac:dyDescent="0.3">
      <c r="B525" s="823"/>
      <c r="D525" s="824"/>
      <c r="I525" s="825"/>
      <c r="AR525" s="826"/>
      <c r="AY525" s="827"/>
      <c r="BD525" s="577"/>
      <c r="BE525" s="578"/>
      <c r="BF525" s="578"/>
      <c r="BG525" s="578"/>
      <c r="BH525" s="578"/>
      <c r="BI525" s="578"/>
      <c r="BJ525" s="578"/>
      <c r="BK525" s="578"/>
      <c r="BL525" s="578"/>
      <c r="BM525" s="578"/>
      <c r="BN525" s="578"/>
      <c r="BO525" s="578"/>
      <c r="BP525" s="578"/>
      <c r="BQ525" s="578"/>
      <c r="BR525" s="578"/>
      <c r="BS525" s="578"/>
      <c r="BT525" s="578"/>
      <c r="BU525" s="578"/>
      <c r="BV525" s="578"/>
      <c r="BW525" s="578"/>
    </row>
    <row r="526" spans="2:75" ht="14.25" customHeight="1" x14ac:dyDescent="0.3">
      <c r="B526" s="823"/>
      <c r="D526" s="824"/>
      <c r="I526" s="825"/>
      <c r="AR526" s="826"/>
      <c r="AY526" s="827"/>
      <c r="BD526" s="577"/>
      <c r="BE526" s="578"/>
      <c r="BF526" s="578"/>
      <c r="BG526" s="578"/>
      <c r="BH526" s="578"/>
      <c r="BI526" s="578"/>
      <c r="BJ526" s="578"/>
      <c r="BK526" s="578"/>
      <c r="BL526" s="578"/>
      <c r="BM526" s="578"/>
      <c r="BN526" s="578"/>
      <c r="BO526" s="578"/>
      <c r="BP526" s="578"/>
      <c r="BQ526" s="578"/>
      <c r="BR526" s="578"/>
      <c r="BS526" s="578"/>
      <c r="BT526" s="578"/>
      <c r="BU526" s="578"/>
      <c r="BV526" s="578"/>
      <c r="BW526" s="578"/>
    </row>
    <row r="527" spans="2:75" ht="14.25" customHeight="1" x14ac:dyDescent="0.3">
      <c r="B527" s="823"/>
      <c r="D527" s="824"/>
      <c r="I527" s="825"/>
      <c r="AR527" s="826"/>
      <c r="AY527" s="827"/>
      <c r="BD527" s="577"/>
      <c r="BE527" s="578"/>
      <c r="BF527" s="578"/>
      <c r="BG527" s="578"/>
      <c r="BH527" s="578"/>
      <c r="BI527" s="578"/>
      <c r="BJ527" s="578"/>
      <c r="BK527" s="578"/>
      <c r="BL527" s="578"/>
      <c r="BM527" s="578"/>
      <c r="BN527" s="578"/>
      <c r="BO527" s="578"/>
      <c r="BP527" s="578"/>
      <c r="BQ527" s="578"/>
      <c r="BR527" s="578"/>
      <c r="BS527" s="578"/>
      <c r="BT527" s="578"/>
      <c r="BU527" s="578"/>
      <c r="BV527" s="578"/>
      <c r="BW527" s="578"/>
    </row>
    <row r="528" spans="2:75" ht="14.25" customHeight="1" x14ac:dyDescent="0.3">
      <c r="B528" s="823"/>
      <c r="D528" s="824"/>
      <c r="I528" s="825"/>
      <c r="AR528" s="826"/>
      <c r="AY528" s="827"/>
      <c r="BD528" s="577"/>
      <c r="BE528" s="578"/>
      <c r="BF528" s="578"/>
      <c r="BG528" s="578"/>
      <c r="BH528" s="578"/>
      <c r="BI528" s="578"/>
      <c r="BJ528" s="578"/>
      <c r="BK528" s="578"/>
      <c r="BL528" s="578"/>
      <c r="BM528" s="578"/>
      <c r="BN528" s="578"/>
      <c r="BO528" s="578"/>
      <c r="BP528" s="578"/>
      <c r="BQ528" s="578"/>
      <c r="BR528" s="578"/>
      <c r="BS528" s="578"/>
      <c r="BT528" s="578"/>
      <c r="BU528" s="578"/>
      <c r="BV528" s="578"/>
      <c r="BW528" s="578"/>
    </row>
    <row r="529" spans="2:75" ht="14.25" customHeight="1" x14ac:dyDescent="0.3">
      <c r="B529" s="823"/>
      <c r="D529" s="824"/>
      <c r="I529" s="825"/>
      <c r="AR529" s="826"/>
      <c r="AY529" s="827"/>
      <c r="BD529" s="577"/>
      <c r="BE529" s="578"/>
      <c r="BF529" s="578"/>
      <c r="BG529" s="578"/>
      <c r="BH529" s="578"/>
      <c r="BI529" s="578"/>
      <c r="BJ529" s="578"/>
      <c r="BK529" s="578"/>
      <c r="BL529" s="578"/>
      <c r="BM529" s="578"/>
      <c r="BN529" s="578"/>
      <c r="BO529" s="578"/>
      <c r="BP529" s="578"/>
      <c r="BQ529" s="578"/>
      <c r="BR529" s="578"/>
      <c r="BS529" s="578"/>
      <c r="BT529" s="578"/>
      <c r="BU529" s="578"/>
      <c r="BV529" s="578"/>
      <c r="BW529" s="578"/>
    </row>
    <row r="530" spans="2:75" ht="14.25" customHeight="1" x14ac:dyDescent="0.3">
      <c r="B530" s="823"/>
      <c r="D530" s="824"/>
      <c r="I530" s="825"/>
      <c r="AR530" s="826"/>
      <c r="AY530" s="827"/>
      <c r="BD530" s="577"/>
      <c r="BE530" s="578"/>
      <c r="BF530" s="578"/>
      <c r="BG530" s="578"/>
      <c r="BH530" s="578"/>
      <c r="BI530" s="578"/>
      <c r="BJ530" s="578"/>
      <c r="BK530" s="578"/>
      <c r="BL530" s="578"/>
      <c r="BM530" s="578"/>
      <c r="BN530" s="578"/>
      <c r="BO530" s="578"/>
      <c r="BP530" s="578"/>
      <c r="BQ530" s="578"/>
      <c r="BR530" s="578"/>
      <c r="BS530" s="578"/>
      <c r="BT530" s="578"/>
      <c r="BU530" s="578"/>
      <c r="BV530" s="578"/>
      <c r="BW530" s="578"/>
    </row>
    <row r="531" spans="2:75" ht="14.25" customHeight="1" x14ac:dyDescent="0.3">
      <c r="B531" s="823"/>
      <c r="D531" s="824"/>
      <c r="I531" s="825"/>
      <c r="AR531" s="826"/>
      <c r="AY531" s="827"/>
      <c r="BD531" s="577"/>
      <c r="BE531" s="578"/>
      <c r="BF531" s="578"/>
      <c r="BG531" s="578"/>
      <c r="BH531" s="578"/>
      <c r="BI531" s="578"/>
      <c r="BJ531" s="578"/>
      <c r="BK531" s="578"/>
      <c r="BL531" s="578"/>
      <c r="BM531" s="578"/>
      <c r="BN531" s="578"/>
      <c r="BO531" s="578"/>
      <c r="BP531" s="578"/>
      <c r="BQ531" s="578"/>
      <c r="BR531" s="578"/>
      <c r="BS531" s="578"/>
      <c r="BT531" s="578"/>
      <c r="BU531" s="578"/>
      <c r="BV531" s="578"/>
      <c r="BW531" s="578"/>
    </row>
    <row r="532" spans="2:75" ht="14.25" customHeight="1" x14ac:dyDescent="0.3">
      <c r="B532" s="823"/>
      <c r="D532" s="824"/>
      <c r="I532" s="825"/>
      <c r="AR532" s="826"/>
      <c r="AY532" s="827"/>
      <c r="BD532" s="577"/>
      <c r="BE532" s="578"/>
      <c r="BF532" s="578"/>
      <c r="BG532" s="578"/>
      <c r="BH532" s="578"/>
      <c r="BI532" s="578"/>
      <c r="BJ532" s="578"/>
      <c r="BK532" s="578"/>
      <c r="BL532" s="578"/>
      <c r="BM532" s="578"/>
      <c r="BN532" s="578"/>
      <c r="BO532" s="578"/>
      <c r="BP532" s="578"/>
      <c r="BQ532" s="578"/>
      <c r="BR532" s="578"/>
      <c r="BS532" s="578"/>
      <c r="BT532" s="578"/>
      <c r="BU532" s="578"/>
      <c r="BV532" s="578"/>
      <c r="BW532" s="578"/>
    </row>
    <row r="533" spans="2:75" ht="14.25" customHeight="1" x14ac:dyDescent="0.3">
      <c r="B533" s="823"/>
      <c r="D533" s="824"/>
      <c r="I533" s="825"/>
      <c r="AR533" s="826"/>
      <c r="AY533" s="827"/>
      <c r="BD533" s="577"/>
      <c r="BE533" s="578"/>
      <c r="BF533" s="578"/>
      <c r="BG533" s="578"/>
      <c r="BH533" s="578"/>
      <c r="BI533" s="578"/>
      <c r="BJ533" s="578"/>
      <c r="BK533" s="578"/>
      <c r="BL533" s="578"/>
      <c r="BM533" s="578"/>
      <c r="BN533" s="578"/>
      <c r="BO533" s="578"/>
      <c r="BP533" s="578"/>
      <c r="BQ533" s="578"/>
      <c r="BR533" s="578"/>
      <c r="BS533" s="578"/>
      <c r="BT533" s="578"/>
      <c r="BU533" s="578"/>
      <c r="BV533" s="578"/>
      <c r="BW533" s="578"/>
    </row>
    <row r="534" spans="2:75" ht="14.25" customHeight="1" x14ac:dyDescent="0.3">
      <c r="B534" s="823"/>
      <c r="D534" s="824"/>
      <c r="I534" s="825"/>
      <c r="AR534" s="826"/>
      <c r="AY534" s="827"/>
      <c r="BD534" s="577"/>
      <c r="BE534" s="578"/>
      <c r="BF534" s="578"/>
      <c r="BG534" s="578"/>
      <c r="BH534" s="578"/>
      <c r="BI534" s="578"/>
      <c r="BJ534" s="578"/>
      <c r="BK534" s="578"/>
      <c r="BL534" s="578"/>
      <c r="BM534" s="578"/>
      <c r="BN534" s="578"/>
      <c r="BO534" s="578"/>
      <c r="BP534" s="578"/>
      <c r="BQ534" s="578"/>
      <c r="BR534" s="578"/>
      <c r="BS534" s="578"/>
      <c r="BT534" s="578"/>
      <c r="BU534" s="578"/>
      <c r="BV534" s="578"/>
      <c r="BW534" s="578"/>
    </row>
    <row r="535" spans="2:75" ht="14.25" customHeight="1" x14ac:dyDescent="0.3">
      <c r="B535" s="823"/>
      <c r="D535" s="824"/>
      <c r="I535" s="825"/>
      <c r="AR535" s="826"/>
      <c r="AY535" s="827"/>
      <c r="BD535" s="577"/>
      <c r="BE535" s="578"/>
      <c r="BF535" s="578"/>
      <c r="BG535" s="578"/>
      <c r="BH535" s="578"/>
      <c r="BI535" s="578"/>
      <c r="BJ535" s="578"/>
      <c r="BK535" s="578"/>
      <c r="BL535" s="578"/>
      <c r="BM535" s="578"/>
      <c r="BN535" s="578"/>
      <c r="BO535" s="578"/>
      <c r="BP535" s="578"/>
      <c r="BQ535" s="578"/>
      <c r="BR535" s="578"/>
      <c r="BS535" s="578"/>
      <c r="BT535" s="578"/>
      <c r="BU535" s="578"/>
      <c r="BV535" s="578"/>
      <c r="BW535" s="578"/>
    </row>
    <row r="536" spans="2:75" ht="14.25" customHeight="1" x14ac:dyDescent="0.3">
      <c r="B536" s="823"/>
      <c r="D536" s="824"/>
      <c r="I536" s="825"/>
      <c r="AR536" s="826"/>
      <c r="AY536" s="827"/>
      <c r="BD536" s="577"/>
      <c r="BE536" s="578"/>
      <c r="BF536" s="578"/>
      <c r="BG536" s="578"/>
      <c r="BH536" s="578"/>
      <c r="BI536" s="578"/>
      <c r="BJ536" s="578"/>
      <c r="BK536" s="578"/>
      <c r="BL536" s="578"/>
      <c r="BM536" s="578"/>
      <c r="BN536" s="578"/>
      <c r="BO536" s="578"/>
      <c r="BP536" s="578"/>
      <c r="BQ536" s="578"/>
      <c r="BR536" s="578"/>
      <c r="BS536" s="578"/>
      <c r="BT536" s="578"/>
      <c r="BU536" s="578"/>
      <c r="BV536" s="578"/>
      <c r="BW536" s="578"/>
    </row>
    <row r="537" spans="2:75" ht="14.25" customHeight="1" x14ac:dyDescent="0.3">
      <c r="B537" s="823"/>
      <c r="D537" s="824"/>
      <c r="I537" s="825"/>
      <c r="AR537" s="826"/>
      <c r="AY537" s="827"/>
      <c r="BD537" s="577"/>
      <c r="BE537" s="578"/>
      <c r="BF537" s="578"/>
      <c r="BG537" s="578"/>
      <c r="BH537" s="578"/>
      <c r="BI537" s="578"/>
      <c r="BJ537" s="578"/>
      <c r="BK537" s="578"/>
      <c r="BL537" s="578"/>
      <c r="BM537" s="578"/>
      <c r="BN537" s="578"/>
      <c r="BO537" s="578"/>
      <c r="BP537" s="578"/>
      <c r="BQ537" s="578"/>
      <c r="BR537" s="578"/>
      <c r="BS537" s="578"/>
      <c r="BT537" s="578"/>
      <c r="BU537" s="578"/>
      <c r="BV537" s="578"/>
      <c r="BW537" s="578"/>
    </row>
    <row r="538" spans="2:75" ht="14.25" customHeight="1" x14ac:dyDescent="0.3">
      <c r="B538" s="823"/>
      <c r="D538" s="824"/>
      <c r="I538" s="825"/>
      <c r="AR538" s="826"/>
      <c r="AY538" s="827"/>
      <c r="BD538" s="577"/>
      <c r="BE538" s="578"/>
      <c r="BF538" s="578"/>
      <c r="BG538" s="578"/>
      <c r="BH538" s="578"/>
      <c r="BI538" s="578"/>
      <c r="BJ538" s="578"/>
      <c r="BK538" s="578"/>
      <c r="BL538" s="578"/>
      <c r="BM538" s="578"/>
      <c r="BN538" s="578"/>
      <c r="BO538" s="578"/>
      <c r="BP538" s="578"/>
      <c r="BQ538" s="578"/>
      <c r="BR538" s="578"/>
      <c r="BS538" s="578"/>
      <c r="BT538" s="578"/>
      <c r="BU538" s="578"/>
      <c r="BV538" s="578"/>
      <c r="BW538" s="578"/>
    </row>
    <row r="539" spans="2:75" ht="14.25" customHeight="1" x14ac:dyDescent="0.3">
      <c r="B539" s="823"/>
      <c r="D539" s="824"/>
      <c r="I539" s="825"/>
      <c r="AR539" s="826"/>
      <c r="AY539" s="827"/>
      <c r="BD539" s="577"/>
      <c r="BE539" s="578"/>
      <c r="BF539" s="578"/>
      <c r="BG539" s="578"/>
      <c r="BH539" s="578"/>
      <c r="BI539" s="578"/>
      <c r="BJ539" s="578"/>
      <c r="BK539" s="578"/>
      <c r="BL539" s="578"/>
      <c r="BM539" s="578"/>
      <c r="BN539" s="578"/>
      <c r="BO539" s="578"/>
      <c r="BP539" s="578"/>
      <c r="BQ539" s="578"/>
      <c r="BR539" s="578"/>
      <c r="BS539" s="578"/>
      <c r="BT539" s="578"/>
      <c r="BU539" s="578"/>
      <c r="BV539" s="578"/>
      <c r="BW539" s="578"/>
    </row>
    <row r="540" spans="2:75" ht="14.25" customHeight="1" x14ac:dyDescent="0.3">
      <c r="B540" s="823"/>
      <c r="D540" s="824"/>
      <c r="I540" s="825"/>
      <c r="AR540" s="826"/>
      <c r="AY540" s="827"/>
      <c r="BD540" s="577"/>
      <c r="BE540" s="578"/>
      <c r="BF540" s="578"/>
      <c r="BG540" s="578"/>
      <c r="BH540" s="578"/>
      <c r="BI540" s="578"/>
      <c r="BJ540" s="578"/>
      <c r="BK540" s="578"/>
      <c r="BL540" s="578"/>
      <c r="BM540" s="578"/>
      <c r="BN540" s="578"/>
      <c r="BO540" s="578"/>
      <c r="BP540" s="578"/>
      <c r="BQ540" s="578"/>
      <c r="BR540" s="578"/>
      <c r="BS540" s="578"/>
      <c r="BT540" s="578"/>
      <c r="BU540" s="578"/>
      <c r="BV540" s="578"/>
      <c r="BW540" s="578"/>
    </row>
    <row r="541" spans="2:75" ht="14.25" customHeight="1" x14ac:dyDescent="0.3">
      <c r="B541" s="823"/>
      <c r="D541" s="824"/>
      <c r="I541" s="825"/>
      <c r="AR541" s="826"/>
      <c r="AY541" s="827"/>
      <c r="BD541" s="577"/>
      <c r="BE541" s="578"/>
      <c r="BF541" s="578"/>
      <c r="BG541" s="578"/>
      <c r="BH541" s="578"/>
      <c r="BI541" s="578"/>
      <c r="BJ541" s="578"/>
      <c r="BK541" s="578"/>
      <c r="BL541" s="578"/>
      <c r="BM541" s="578"/>
      <c r="BN541" s="578"/>
      <c r="BO541" s="578"/>
      <c r="BP541" s="578"/>
      <c r="BQ541" s="578"/>
      <c r="BR541" s="578"/>
      <c r="BS541" s="578"/>
      <c r="BT541" s="578"/>
      <c r="BU541" s="578"/>
      <c r="BV541" s="578"/>
      <c r="BW541" s="578"/>
    </row>
    <row r="542" spans="2:75" ht="14.25" customHeight="1" x14ac:dyDescent="0.3">
      <c r="B542" s="823"/>
      <c r="D542" s="824"/>
      <c r="I542" s="825"/>
      <c r="AR542" s="826"/>
      <c r="AY542" s="827"/>
      <c r="BD542" s="577"/>
      <c r="BE542" s="578"/>
      <c r="BF542" s="578"/>
      <c r="BG542" s="578"/>
      <c r="BH542" s="578"/>
      <c r="BI542" s="578"/>
      <c r="BJ542" s="578"/>
      <c r="BK542" s="578"/>
      <c r="BL542" s="578"/>
      <c r="BM542" s="578"/>
      <c r="BN542" s="578"/>
      <c r="BO542" s="578"/>
      <c r="BP542" s="578"/>
      <c r="BQ542" s="578"/>
      <c r="BR542" s="578"/>
      <c r="BS542" s="578"/>
      <c r="BT542" s="578"/>
      <c r="BU542" s="578"/>
      <c r="BV542" s="578"/>
      <c r="BW542" s="578"/>
    </row>
    <row r="543" spans="2:75" ht="14.25" customHeight="1" x14ac:dyDescent="0.3">
      <c r="B543" s="823"/>
      <c r="D543" s="824"/>
      <c r="I543" s="825"/>
      <c r="AR543" s="826"/>
      <c r="AY543" s="827"/>
      <c r="BD543" s="577"/>
      <c r="BE543" s="578"/>
      <c r="BF543" s="578"/>
      <c r="BG543" s="578"/>
      <c r="BH543" s="578"/>
      <c r="BI543" s="578"/>
      <c r="BJ543" s="578"/>
      <c r="BK543" s="578"/>
      <c r="BL543" s="578"/>
      <c r="BM543" s="578"/>
      <c r="BN543" s="578"/>
      <c r="BO543" s="578"/>
      <c r="BP543" s="578"/>
      <c r="BQ543" s="578"/>
      <c r="BR543" s="578"/>
      <c r="BS543" s="578"/>
      <c r="BT543" s="578"/>
      <c r="BU543" s="578"/>
      <c r="BV543" s="578"/>
      <c r="BW543" s="578"/>
    </row>
    <row r="544" spans="2:75" ht="14.25" customHeight="1" x14ac:dyDescent="0.3">
      <c r="B544" s="823"/>
      <c r="D544" s="824"/>
      <c r="I544" s="825"/>
      <c r="AR544" s="826"/>
      <c r="AY544" s="827"/>
      <c r="BD544" s="577"/>
      <c r="BE544" s="578"/>
      <c r="BF544" s="578"/>
      <c r="BG544" s="578"/>
      <c r="BH544" s="578"/>
      <c r="BI544" s="578"/>
      <c r="BJ544" s="578"/>
      <c r="BK544" s="578"/>
      <c r="BL544" s="578"/>
      <c r="BM544" s="578"/>
      <c r="BN544" s="578"/>
      <c r="BO544" s="578"/>
      <c r="BP544" s="578"/>
      <c r="BQ544" s="578"/>
      <c r="BR544" s="578"/>
      <c r="BS544" s="578"/>
      <c r="BT544" s="578"/>
      <c r="BU544" s="578"/>
      <c r="BV544" s="578"/>
      <c r="BW544" s="578"/>
    </row>
    <row r="545" spans="2:75" ht="14.25" customHeight="1" x14ac:dyDescent="0.3">
      <c r="B545" s="823"/>
      <c r="D545" s="824"/>
      <c r="I545" s="825"/>
      <c r="AR545" s="826"/>
      <c r="AY545" s="827"/>
      <c r="BD545" s="577"/>
      <c r="BE545" s="578"/>
      <c r="BF545" s="578"/>
      <c r="BG545" s="578"/>
      <c r="BH545" s="578"/>
      <c r="BI545" s="578"/>
      <c r="BJ545" s="578"/>
      <c r="BK545" s="578"/>
      <c r="BL545" s="578"/>
      <c r="BM545" s="578"/>
      <c r="BN545" s="578"/>
      <c r="BO545" s="578"/>
      <c r="BP545" s="578"/>
      <c r="BQ545" s="578"/>
      <c r="BR545" s="578"/>
      <c r="BS545" s="578"/>
      <c r="BT545" s="578"/>
      <c r="BU545" s="578"/>
      <c r="BV545" s="578"/>
      <c r="BW545" s="578"/>
    </row>
    <row r="546" spans="2:75" ht="14.25" customHeight="1" x14ac:dyDescent="0.3">
      <c r="B546" s="823"/>
      <c r="D546" s="824"/>
      <c r="I546" s="825"/>
      <c r="AR546" s="826"/>
      <c r="AY546" s="827"/>
      <c r="BD546" s="577"/>
      <c r="BE546" s="578"/>
      <c r="BF546" s="578"/>
      <c r="BG546" s="578"/>
      <c r="BH546" s="578"/>
      <c r="BI546" s="578"/>
      <c r="BJ546" s="578"/>
      <c r="BK546" s="578"/>
      <c r="BL546" s="578"/>
      <c r="BM546" s="578"/>
      <c r="BN546" s="578"/>
      <c r="BO546" s="578"/>
      <c r="BP546" s="578"/>
      <c r="BQ546" s="578"/>
      <c r="BR546" s="578"/>
      <c r="BS546" s="578"/>
      <c r="BT546" s="578"/>
      <c r="BU546" s="578"/>
      <c r="BV546" s="578"/>
      <c r="BW546" s="578"/>
    </row>
    <row r="547" spans="2:75" ht="14.25" customHeight="1" x14ac:dyDescent="0.3">
      <c r="B547" s="823"/>
      <c r="D547" s="824"/>
      <c r="I547" s="825"/>
      <c r="AR547" s="826"/>
      <c r="AY547" s="827"/>
      <c r="BD547" s="577"/>
      <c r="BE547" s="578"/>
      <c r="BF547" s="578"/>
      <c r="BG547" s="578"/>
      <c r="BH547" s="578"/>
      <c r="BI547" s="578"/>
      <c r="BJ547" s="578"/>
      <c r="BK547" s="578"/>
      <c r="BL547" s="578"/>
      <c r="BM547" s="578"/>
      <c r="BN547" s="578"/>
      <c r="BO547" s="578"/>
      <c r="BP547" s="578"/>
      <c r="BQ547" s="578"/>
      <c r="BR547" s="578"/>
      <c r="BS547" s="578"/>
      <c r="BT547" s="578"/>
      <c r="BU547" s="578"/>
      <c r="BV547" s="578"/>
      <c r="BW547" s="578"/>
    </row>
    <row r="548" spans="2:75" ht="14.25" customHeight="1" x14ac:dyDescent="0.3">
      <c r="B548" s="823"/>
      <c r="D548" s="824"/>
      <c r="I548" s="825"/>
      <c r="AR548" s="826"/>
      <c r="AY548" s="827"/>
      <c r="BD548" s="577"/>
      <c r="BE548" s="578"/>
      <c r="BF548" s="578"/>
      <c r="BG548" s="578"/>
      <c r="BH548" s="578"/>
      <c r="BI548" s="578"/>
      <c r="BJ548" s="578"/>
      <c r="BK548" s="578"/>
      <c r="BL548" s="578"/>
      <c r="BM548" s="578"/>
      <c r="BN548" s="578"/>
      <c r="BO548" s="578"/>
      <c r="BP548" s="578"/>
      <c r="BQ548" s="578"/>
      <c r="BR548" s="578"/>
      <c r="BS548" s="578"/>
      <c r="BT548" s="578"/>
      <c r="BU548" s="578"/>
      <c r="BV548" s="578"/>
      <c r="BW548" s="578"/>
    </row>
    <row r="549" spans="2:75" ht="14.25" customHeight="1" x14ac:dyDescent="0.3">
      <c r="B549" s="823"/>
      <c r="D549" s="824"/>
      <c r="I549" s="825"/>
      <c r="AR549" s="826"/>
      <c r="AY549" s="827"/>
      <c r="BD549" s="577"/>
      <c r="BE549" s="578"/>
      <c r="BF549" s="578"/>
      <c r="BG549" s="578"/>
      <c r="BH549" s="578"/>
      <c r="BI549" s="578"/>
      <c r="BJ549" s="578"/>
      <c r="BK549" s="578"/>
      <c r="BL549" s="578"/>
      <c r="BM549" s="578"/>
      <c r="BN549" s="578"/>
      <c r="BO549" s="578"/>
      <c r="BP549" s="578"/>
      <c r="BQ549" s="578"/>
      <c r="BR549" s="578"/>
      <c r="BS549" s="578"/>
      <c r="BT549" s="578"/>
      <c r="BU549" s="578"/>
      <c r="BV549" s="578"/>
      <c r="BW549" s="578"/>
    </row>
    <row r="550" spans="2:75" ht="14.25" customHeight="1" x14ac:dyDescent="0.3">
      <c r="B550" s="823"/>
      <c r="D550" s="824"/>
      <c r="I550" s="825"/>
      <c r="AR550" s="826"/>
      <c r="AY550" s="827"/>
      <c r="BD550" s="577"/>
      <c r="BE550" s="578"/>
      <c r="BF550" s="578"/>
      <c r="BG550" s="578"/>
      <c r="BH550" s="578"/>
      <c r="BI550" s="578"/>
      <c r="BJ550" s="578"/>
      <c r="BK550" s="578"/>
      <c r="BL550" s="578"/>
      <c r="BM550" s="578"/>
      <c r="BN550" s="578"/>
      <c r="BO550" s="578"/>
      <c r="BP550" s="578"/>
      <c r="BQ550" s="578"/>
      <c r="BR550" s="578"/>
      <c r="BS550" s="578"/>
      <c r="BT550" s="578"/>
      <c r="BU550" s="578"/>
      <c r="BV550" s="578"/>
      <c r="BW550" s="578"/>
    </row>
    <row r="551" spans="2:75" ht="14.25" customHeight="1" x14ac:dyDescent="0.3">
      <c r="B551" s="823"/>
      <c r="D551" s="824"/>
      <c r="I551" s="825"/>
      <c r="AR551" s="826"/>
      <c r="AY551" s="827"/>
      <c r="BD551" s="577"/>
      <c r="BE551" s="578"/>
      <c r="BF551" s="578"/>
      <c r="BG551" s="578"/>
      <c r="BH551" s="578"/>
      <c r="BI551" s="578"/>
      <c r="BJ551" s="578"/>
      <c r="BK551" s="578"/>
      <c r="BL551" s="578"/>
      <c r="BM551" s="578"/>
      <c r="BN551" s="578"/>
      <c r="BO551" s="578"/>
      <c r="BP551" s="578"/>
      <c r="BQ551" s="578"/>
      <c r="BR551" s="578"/>
      <c r="BS551" s="578"/>
      <c r="BT551" s="578"/>
      <c r="BU551" s="578"/>
      <c r="BV551" s="578"/>
      <c r="BW551" s="578"/>
    </row>
    <row r="552" spans="2:75" ht="14.25" customHeight="1" x14ac:dyDescent="0.3">
      <c r="B552" s="823"/>
      <c r="D552" s="824"/>
      <c r="I552" s="825"/>
      <c r="AR552" s="826"/>
      <c r="AY552" s="827"/>
      <c r="BD552" s="577"/>
      <c r="BE552" s="578"/>
      <c r="BF552" s="578"/>
      <c r="BG552" s="578"/>
      <c r="BH552" s="578"/>
      <c r="BI552" s="578"/>
      <c r="BJ552" s="578"/>
      <c r="BK552" s="578"/>
      <c r="BL552" s="578"/>
      <c r="BM552" s="578"/>
      <c r="BN552" s="578"/>
      <c r="BO552" s="578"/>
      <c r="BP552" s="578"/>
      <c r="BQ552" s="578"/>
      <c r="BR552" s="578"/>
      <c r="BS552" s="578"/>
      <c r="BT552" s="578"/>
      <c r="BU552" s="578"/>
      <c r="BV552" s="578"/>
      <c r="BW552" s="578"/>
    </row>
    <row r="553" spans="2:75" ht="14.25" customHeight="1" x14ac:dyDescent="0.3">
      <c r="B553" s="823"/>
      <c r="D553" s="824"/>
      <c r="I553" s="825"/>
      <c r="AR553" s="826"/>
      <c r="AY553" s="827"/>
      <c r="BD553" s="577"/>
      <c r="BE553" s="578"/>
      <c r="BF553" s="578"/>
      <c r="BG553" s="578"/>
      <c r="BH553" s="578"/>
      <c r="BI553" s="578"/>
      <c r="BJ553" s="578"/>
      <c r="BK553" s="578"/>
      <c r="BL553" s="578"/>
      <c r="BM553" s="578"/>
      <c r="BN553" s="578"/>
      <c r="BO553" s="578"/>
      <c r="BP553" s="578"/>
      <c r="BQ553" s="578"/>
      <c r="BR553" s="578"/>
      <c r="BS553" s="578"/>
      <c r="BT553" s="578"/>
      <c r="BU553" s="578"/>
      <c r="BV553" s="578"/>
      <c r="BW553" s="578"/>
    </row>
    <row r="554" spans="2:75" ht="14.25" customHeight="1" x14ac:dyDescent="0.3">
      <c r="B554" s="823"/>
      <c r="D554" s="824"/>
      <c r="I554" s="825"/>
      <c r="AR554" s="826"/>
      <c r="AY554" s="827"/>
      <c r="BD554" s="577"/>
      <c r="BE554" s="578"/>
      <c r="BF554" s="578"/>
      <c r="BG554" s="578"/>
      <c r="BH554" s="578"/>
      <c r="BI554" s="578"/>
      <c r="BJ554" s="578"/>
      <c r="BK554" s="578"/>
      <c r="BL554" s="578"/>
      <c r="BM554" s="578"/>
      <c r="BN554" s="578"/>
      <c r="BO554" s="578"/>
      <c r="BP554" s="578"/>
      <c r="BQ554" s="578"/>
      <c r="BR554" s="578"/>
      <c r="BS554" s="578"/>
      <c r="BT554" s="578"/>
      <c r="BU554" s="578"/>
      <c r="BV554" s="578"/>
      <c r="BW554" s="578"/>
    </row>
    <row r="555" spans="2:75" ht="14.25" customHeight="1" x14ac:dyDescent="0.3">
      <c r="B555" s="823"/>
      <c r="D555" s="824"/>
      <c r="I555" s="825"/>
      <c r="AR555" s="826"/>
      <c r="AY555" s="827"/>
      <c r="BD555" s="577"/>
      <c r="BE555" s="578"/>
      <c r="BF555" s="578"/>
      <c r="BG555" s="578"/>
      <c r="BH555" s="578"/>
      <c r="BI555" s="578"/>
      <c r="BJ555" s="578"/>
      <c r="BK555" s="578"/>
      <c r="BL555" s="578"/>
      <c r="BM555" s="578"/>
      <c r="BN555" s="578"/>
      <c r="BO555" s="578"/>
      <c r="BP555" s="578"/>
      <c r="BQ555" s="578"/>
      <c r="BR555" s="578"/>
      <c r="BS555" s="578"/>
      <c r="BT555" s="578"/>
      <c r="BU555" s="578"/>
      <c r="BV555" s="578"/>
      <c r="BW555" s="578"/>
    </row>
    <row r="556" spans="2:75" ht="14.25" customHeight="1" x14ac:dyDescent="0.3">
      <c r="B556" s="823"/>
      <c r="D556" s="824"/>
      <c r="I556" s="825"/>
      <c r="AR556" s="826"/>
      <c r="AY556" s="827"/>
      <c r="BD556" s="577"/>
      <c r="BE556" s="578"/>
      <c r="BF556" s="578"/>
      <c r="BG556" s="578"/>
      <c r="BH556" s="578"/>
      <c r="BI556" s="578"/>
      <c r="BJ556" s="578"/>
      <c r="BK556" s="578"/>
      <c r="BL556" s="578"/>
      <c r="BM556" s="578"/>
      <c r="BN556" s="578"/>
      <c r="BO556" s="578"/>
      <c r="BP556" s="578"/>
      <c r="BQ556" s="578"/>
      <c r="BR556" s="578"/>
      <c r="BS556" s="578"/>
      <c r="BT556" s="578"/>
      <c r="BU556" s="578"/>
      <c r="BV556" s="578"/>
      <c r="BW556" s="578"/>
    </row>
    <row r="557" spans="2:75" ht="14.25" customHeight="1" x14ac:dyDescent="0.3">
      <c r="B557" s="823"/>
      <c r="D557" s="824"/>
      <c r="I557" s="825"/>
      <c r="AR557" s="826"/>
      <c r="AY557" s="827"/>
      <c r="BD557" s="577"/>
      <c r="BE557" s="578"/>
      <c r="BF557" s="578"/>
      <c r="BG557" s="578"/>
      <c r="BH557" s="578"/>
      <c r="BI557" s="578"/>
      <c r="BJ557" s="578"/>
      <c r="BK557" s="578"/>
      <c r="BL557" s="578"/>
      <c r="BM557" s="578"/>
      <c r="BN557" s="578"/>
      <c r="BO557" s="578"/>
      <c r="BP557" s="578"/>
      <c r="BQ557" s="578"/>
      <c r="BR557" s="578"/>
      <c r="BS557" s="578"/>
      <c r="BT557" s="578"/>
      <c r="BU557" s="578"/>
      <c r="BV557" s="578"/>
      <c r="BW557" s="578"/>
    </row>
    <row r="558" spans="2:75" ht="14.25" customHeight="1" x14ac:dyDescent="0.3">
      <c r="B558" s="823"/>
      <c r="D558" s="824"/>
      <c r="I558" s="825"/>
      <c r="AR558" s="826"/>
      <c r="AY558" s="827"/>
      <c r="BD558" s="577"/>
      <c r="BE558" s="578"/>
      <c r="BF558" s="578"/>
      <c r="BG558" s="578"/>
      <c r="BH558" s="578"/>
      <c r="BI558" s="578"/>
      <c r="BJ558" s="578"/>
      <c r="BK558" s="578"/>
      <c r="BL558" s="578"/>
      <c r="BM558" s="578"/>
      <c r="BN558" s="578"/>
      <c r="BO558" s="578"/>
      <c r="BP558" s="578"/>
      <c r="BQ558" s="578"/>
      <c r="BR558" s="578"/>
      <c r="BS558" s="578"/>
      <c r="BT558" s="578"/>
      <c r="BU558" s="578"/>
      <c r="BV558" s="578"/>
      <c r="BW558" s="578"/>
    </row>
    <row r="559" spans="2:75" ht="14.25" customHeight="1" x14ac:dyDescent="0.3">
      <c r="B559" s="823"/>
      <c r="D559" s="824"/>
      <c r="I559" s="825"/>
      <c r="AR559" s="826"/>
      <c r="AY559" s="827"/>
      <c r="BD559" s="577"/>
      <c r="BE559" s="578"/>
      <c r="BF559" s="578"/>
      <c r="BG559" s="578"/>
      <c r="BH559" s="578"/>
      <c r="BI559" s="578"/>
      <c r="BJ559" s="578"/>
      <c r="BK559" s="578"/>
      <c r="BL559" s="578"/>
      <c r="BM559" s="578"/>
      <c r="BN559" s="578"/>
      <c r="BO559" s="578"/>
      <c r="BP559" s="578"/>
      <c r="BQ559" s="578"/>
      <c r="BR559" s="578"/>
      <c r="BS559" s="578"/>
      <c r="BT559" s="578"/>
      <c r="BU559" s="578"/>
      <c r="BV559" s="578"/>
      <c r="BW559" s="578"/>
    </row>
    <row r="560" spans="2:75" ht="14.25" customHeight="1" x14ac:dyDescent="0.3">
      <c r="B560" s="823"/>
      <c r="D560" s="824"/>
      <c r="I560" s="825"/>
      <c r="AR560" s="826"/>
      <c r="AY560" s="827"/>
      <c r="BD560" s="577"/>
      <c r="BE560" s="578"/>
      <c r="BF560" s="578"/>
      <c r="BG560" s="578"/>
      <c r="BH560" s="578"/>
      <c r="BI560" s="578"/>
      <c r="BJ560" s="578"/>
      <c r="BK560" s="578"/>
      <c r="BL560" s="578"/>
      <c r="BM560" s="578"/>
      <c r="BN560" s="578"/>
      <c r="BO560" s="578"/>
      <c r="BP560" s="578"/>
      <c r="BQ560" s="578"/>
      <c r="BR560" s="578"/>
      <c r="BS560" s="578"/>
      <c r="BT560" s="578"/>
      <c r="BU560" s="578"/>
      <c r="BV560" s="578"/>
      <c r="BW560" s="578"/>
    </row>
    <row r="561" spans="2:75" ht="14.25" customHeight="1" x14ac:dyDescent="0.3">
      <c r="B561" s="823"/>
      <c r="D561" s="824"/>
      <c r="I561" s="825"/>
      <c r="AR561" s="826"/>
      <c r="AY561" s="827"/>
      <c r="BD561" s="577"/>
      <c r="BE561" s="578"/>
      <c r="BF561" s="578"/>
      <c r="BG561" s="578"/>
      <c r="BH561" s="578"/>
      <c r="BI561" s="578"/>
      <c r="BJ561" s="578"/>
      <c r="BK561" s="578"/>
      <c r="BL561" s="578"/>
      <c r="BM561" s="578"/>
      <c r="BN561" s="578"/>
      <c r="BO561" s="578"/>
      <c r="BP561" s="578"/>
      <c r="BQ561" s="578"/>
      <c r="BR561" s="578"/>
      <c r="BS561" s="578"/>
      <c r="BT561" s="578"/>
      <c r="BU561" s="578"/>
      <c r="BV561" s="578"/>
      <c r="BW561" s="578"/>
    </row>
    <row r="562" spans="2:75" ht="14.25" customHeight="1" x14ac:dyDescent="0.3">
      <c r="B562" s="823"/>
      <c r="D562" s="824"/>
      <c r="I562" s="825"/>
      <c r="AR562" s="826"/>
      <c r="AY562" s="827"/>
      <c r="BD562" s="577"/>
      <c r="BE562" s="578"/>
      <c r="BF562" s="578"/>
      <c r="BG562" s="578"/>
      <c r="BH562" s="578"/>
      <c r="BI562" s="578"/>
      <c r="BJ562" s="578"/>
      <c r="BK562" s="578"/>
      <c r="BL562" s="578"/>
      <c r="BM562" s="578"/>
      <c r="BN562" s="578"/>
      <c r="BO562" s="578"/>
      <c r="BP562" s="578"/>
      <c r="BQ562" s="578"/>
      <c r="BR562" s="578"/>
      <c r="BS562" s="578"/>
      <c r="BT562" s="578"/>
      <c r="BU562" s="578"/>
      <c r="BV562" s="578"/>
      <c r="BW562" s="578"/>
    </row>
    <row r="563" spans="2:75" ht="14.25" customHeight="1" x14ac:dyDescent="0.3">
      <c r="B563" s="823"/>
      <c r="D563" s="824"/>
      <c r="I563" s="825"/>
      <c r="AR563" s="826"/>
      <c r="AY563" s="827"/>
      <c r="BD563" s="577"/>
      <c r="BE563" s="578"/>
      <c r="BF563" s="578"/>
      <c r="BG563" s="578"/>
      <c r="BH563" s="578"/>
      <c r="BI563" s="578"/>
      <c r="BJ563" s="578"/>
      <c r="BK563" s="578"/>
      <c r="BL563" s="578"/>
      <c r="BM563" s="578"/>
      <c r="BN563" s="578"/>
      <c r="BO563" s="578"/>
      <c r="BP563" s="578"/>
      <c r="BQ563" s="578"/>
      <c r="BR563" s="578"/>
      <c r="BS563" s="578"/>
      <c r="BT563" s="578"/>
      <c r="BU563" s="578"/>
      <c r="BV563" s="578"/>
      <c r="BW563" s="578"/>
    </row>
    <row r="564" spans="2:75" ht="14.25" customHeight="1" x14ac:dyDescent="0.3">
      <c r="B564" s="823"/>
      <c r="D564" s="824"/>
      <c r="I564" s="825"/>
      <c r="AR564" s="826"/>
      <c r="AY564" s="827"/>
      <c r="BD564" s="577"/>
      <c r="BE564" s="578"/>
      <c r="BF564" s="578"/>
      <c r="BG564" s="578"/>
      <c r="BH564" s="578"/>
      <c r="BI564" s="578"/>
      <c r="BJ564" s="578"/>
      <c r="BK564" s="578"/>
      <c r="BL564" s="578"/>
      <c r="BM564" s="578"/>
      <c r="BN564" s="578"/>
      <c r="BO564" s="578"/>
      <c r="BP564" s="578"/>
      <c r="BQ564" s="578"/>
      <c r="BR564" s="578"/>
      <c r="BS564" s="578"/>
      <c r="BT564" s="578"/>
      <c r="BU564" s="578"/>
      <c r="BV564" s="578"/>
      <c r="BW564" s="578"/>
    </row>
    <row r="565" spans="2:75" ht="14.25" customHeight="1" x14ac:dyDescent="0.3">
      <c r="B565" s="823"/>
      <c r="D565" s="824"/>
      <c r="I565" s="825"/>
      <c r="AR565" s="826"/>
      <c r="AY565" s="827"/>
      <c r="BD565" s="577"/>
      <c r="BE565" s="578"/>
      <c r="BF565" s="578"/>
      <c r="BG565" s="578"/>
      <c r="BH565" s="578"/>
      <c r="BI565" s="578"/>
      <c r="BJ565" s="578"/>
      <c r="BK565" s="578"/>
      <c r="BL565" s="578"/>
      <c r="BM565" s="578"/>
      <c r="BN565" s="578"/>
      <c r="BO565" s="578"/>
      <c r="BP565" s="578"/>
      <c r="BQ565" s="578"/>
      <c r="BR565" s="578"/>
      <c r="BS565" s="578"/>
      <c r="BT565" s="578"/>
      <c r="BU565" s="578"/>
      <c r="BV565" s="578"/>
      <c r="BW565" s="578"/>
    </row>
    <row r="566" spans="2:75" ht="14.25" customHeight="1" x14ac:dyDescent="0.3">
      <c r="B566" s="823"/>
      <c r="D566" s="824"/>
      <c r="I566" s="825"/>
      <c r="AR566" s="826"/>
      <c r="AY566" s="827"/>
      <c r="BD566" s="577"/>
      <c r="BE566" s="578"/>
      <c r="BF566" s="578"/>
      <c r="BG566" s="578"/>
      <c r="BH566" s="578"/>
      <c r="BI566" s="578"/>
      <c r="BJ566" s="578"/>
      <c r="BK566" s="578"/>
      <c r="BL566" s="578"/>
      <c r="BM566" s="578"/>
      <c r="BN566" s="578"/>
      <c r="BO566" s="578"/>
      <c r="BP566" s="578"/>
      <c r="BQ566" s="578"/>
      <c r="BR566" s="578"/>
      <c r="BS566" s="578"/>
      <c r="BT566" s="578"/>
      <c r="BU566" s="578"/>
      <c r="BV566" s="578"/>
      <c r="BW566" s="578"/>
    </row>
    <row r="567" spans="2:75" ht="14.25" customHeight="1" x14ac:dyDescent="0.3">
      <c r="B567" s="823"/>
      <c r="D567" s="824"/>
      <c r="I567" s="825"/>
      <c r="AR567" s="826"/>
      <c r="AY567" s="827"/>
      <c r="BD567" s="577"/>
      <c r="BE567" s="578"/>
      <c r="BF567" s="578"/>
      <c r="BG567" s="578"/>
      <c r="BH567" s="578"/>
      <c r="BI567" s="578"/>
      <c r="BJ567" s="578"/>
      <c r="BK567" s="578"/>
      <c r="BL567" s="578"/>
      <c r="BM567" s="578"/>
      <c r="BN567" s="578"/>
      <c r="BO567" s="578"/>
      <c r="BP567" s="578"/>
      <c r="BQ567" s="578"/>
      <c r="BR567" s="578"/>
      <c r="BS567" s="578"/>
      <c r="BT567" s="578"/>
      <c r="BU567" s="578"/>
      <c r="BV567" s="578"/>
      <c r="BW567" s="578"/>
    </row>
    <row r="568" spans="2:75" ht="14.25" customHeight="1" x14ac:dyDescent="0.3">
      <c r="B568" s="823"/>
      <c r="D568" s="824"/>
      <c r="I568" s="825"/>
      <c r="AR568" s="826"/>
      <c r="AY568" s="827"/>
      <c r="BD568" s="577"/>
      <c r="BE568" s="578"/>
      <c r="BF568" s="578"/>
      <c r="BG568" s="578"/>
      <c r="BH568" s="578"/>
      <c r="BI568" s="578"/>
      <c r="BJ568" s="578"/>
      <c r="BK568" s="578"/>
      <c r="BL568" s="578"/>
      <c r="BM568" s="578"/>
      <c r="BN568" s="578"/>
      <c r="BO568" s="578"/>
      <c r="BP568" s="578"/>
      <c r="BQ568" s="578"/>
      <c r="BR568" s="578"/>
      <c r="BS568" s="578"/>
      <c r="BT568" s="578"/>
      <c r="BU568" s="578"/>
      <c r="BV568" s="578"/>
      <c r="BW568" s="578"/>
    </row>
    <row r="569" spans="2:75" ht="14.25" customHeight="1" x14ac:dyDescent="0.3">
      <c r="B569" s="823"/>
      <c r="D569" s="824"/>
      <c r="I569" s="825"/>
      <c r="AR569" s="826"/>
      <c r="AY569" s="827"/>
      <c r="BD569" s="577"/>
      <c r="BE569" s="578"/>
      <c r="BF569" s="578"/>
      <c r="BG569" s="578"/>
      <c r="BH569" s="578"/>
      <c r="BI569" s="578"/>
      <c r="BJ569" s="578"/>
      <c r="BK569" s="578"/>
      <c r="BL569" s="578"/>
      <c r="BM569" s="578"/>
      <c r="BN569" s="578"/>
      <c r="BO569" s="578"/>
      <c r="BP569" s="578"/>
      <c r="BQ569" s="578"/>
      <c r="BR569" s="578"/>
      <c r="BS569" s="578"/>
      <c r="BT569" s="578"/>
      <c r="BU569" s="578"/>
      <c r="BV569" s="578"/>
      <c r="BW569" s="578"/>
    </row>
    <row r="570" spans="2:75" ht="14.25" customHeight="1" x14ac:dyDescent="0.3">
      <c r="B570" s="823"/>
      <c r="D570" s="824"/>
      <c r="I570" s="825"/>
      <c r="AR570" s="826"/>
      <c r="AY570" s="827"/>
      <c r="BD570" s="577"/>
      <c r="BE570" s="578"/>
      <c r="BF570" s="578"/>
      <c r="BG570" s="578"/>
      <c r="BH570" s="578"/>
      <c r="BI570" s="578"/>
      <c r="BJ570" s="578"/>
      <c r="BK570" s="578"/>
      <c r="BL570" s="578"/>
      <c r="BM570" s="578"/>
      <c r="BN570" s="578"/>
      <c r="BO570" s="578"/>
      <c r="BP570" s="578"/>
      <c r="BQ570" s="578"/>
      <c r="BR570" s="578"/>
      <c r="BS570" s="578"/>
      <c r="BT570" s="578"/>
      <c r="BU570" s="578"/>
      <c r="BV570" s="578"/>
      <c r="BW570" s="578"/>
    </row>
    <row r="571" spans="2:75" ht="14.25" customHeight="1" x14ac:dyDescent="0.3">
      <c r="B571" s="823"/>
      <c r="D571" s="824"/>
      <c r="I571" s="825"/>
      <c r="AR571" s="826"/>
      <c r="AY571" s="827"/>
      <c r="BD571" s="577"/>
      <c r="BE571" s="578"/>
      <c r="BF571" s="578"/>
      <c r="BG571" s="578"/>
      <c r="BH571" s="578"/>
      <c r="BI571" s="578"/>
      <c r="BJ571" s="578"/>
      <c r="BK571" s="578"/>
      <c r="BL571" s="578"/>
      <c r="BM571" s="578"/>
      <c r="BN571" s="578"/>
      <c r="BO571" s="578"/>
      <c r="BP571" s="578"/>
      <c r="BQ571" s="578"/>
      <c r="BR571" s="578"/>
      <c r="BS571" s="578"/>
      <c r="BT571" s="578"/>
      <c r="BU571" s="578"/>
      <c r="BV571" s="578"/>
      <c r="BW571" s="578"/>
    </row>
    <row r="572" spans="2:75" ht="14.25" customHeight="1" x14ac:dyDescent="0.3">
      <c r="B572" s="823"/>
      <c r="D572" s="824"/>
      <c r="I572" s="825"/>
      <c r="AR572" s="826"/>
      <c r="AY572" s="827"/>
      <c r="BD572" s="577"/>
      <c r="BE572" s="578"/>
      <c r="BF572" s="578"/>
      <c r="BG572" s="578"/>
      <c r="BH572" s="578"/>
      <c r="BI572" s="578"/>
      <c r="BJ572" s="578"/>
      <c r="BK572" s="578"/>
      <c r="BL572" s="578"/>
      <c r="BM572" s="578"/>
      <c r="BN572" s="578"/>
      <c r="BO572" s="578"/>
      <c r="BP572" s="578"/>
      <c r="BQ572" s="578"/>
      <c r="BR572" s="578"/>
      <c r="BS572" s="578"/>
      <c r="BT572" s="578"/>
      <c r="BU572" s="578"/>
      <c r="BV572" s="578"/>
      <c r="BW572" s="578"/>
    </row>
    <row r="573" spans="2:75" ht="14.25" customHeight="1" x14ac:dyDescent="0.3">
      <c r="B573" s="823"/>
      <c r="D573" s="824"/>
      <c r="I573" s="825"/>
      <c r="AR573" s="826"/>
      <c r="AY573" s="827"/>
      <c r="BD573" s="577"/>
      <c r="BE573" s="578"/>
      <c r="BF573" s="578"/>
      <c r="BG573" s="578"/>
      <c r="BH573" s="578"/>
      <c r="BI573" s="578"/>
      <c r="BJ573" s="578"/>
      <c r="BK573" s="578"/>
      <c r="BL573" s="578"/>
      <c r="BM573" s="578"/>
      <c r="BN573" s="578"/>
      <c r="BO573" s="578"/>
      <c r="BP573" s="578"/>
      <c r="BQ573" s="578"/>
      <c r="BR573" s="578"/>
      <c r="BS573" s="578"/>
      <c r="BT573" s="578"/>
      <c r="BU573" s="578"/>
      <c r="BV573" s="578"/>
      <c r="BW573" s="578"/>
    </row>
    <row r="574" spans="2:75" ht="14.25" customHeight="1" x14ac:dyDescent="0.3">
      <c r="B574" s="823"/>
      <c r="D574" s="824"/>
      <c r="I574" s="825"/>
      <c r="AR574" s="826"/>
      <c r="AY574" s="827"/>
      <c r="BD574" s="577"/>
      <c r="BE574" s="578"/>
      <c r="BF574" s="578"/>
      <c r="BG574" s="578"/>
      <c r="BH574" s="578"/>
      <c r="BI574" s="578"/>
      <c r="BJ574" s="578"/>
      <c r="BK574" s="578"/>
      <c r="BL574" s="578"/>
      <c r="BM574" s="578"/>
      <c r="BN574" s="578"/>
      <c r="BO574" s="578"/>
      <c r="BP574" s="578"/>
      <c r="BQ574" s="578"/>
      <c r="BR574" s="578"/>
      <c r="BS574" s="578"/>
      <c r="BT574" s="578"/>
      <c r="BU574" s="578"/>
      <c r="BV574" s="578"/>
      <c r="BW574" s="578"/>
    </row>
    <row r="575" spans="2:75" ht="14.25" customHeight="1" x14ac:dyDescent="0.3">
      <c r="B575" s="823"/>
      <c r="D575" s="824"/>
      <c r="I575" s="825"/>
      <c r="AR575" s="826"/>
      <c r="AY575" s="827"/>
      <c r="BD575" s="577"/>
      <c r="BE575" s="578"/>
      <c r="BF575" s="578"/>
      <c r="BG575" s="578"/>
      <c r="BH575" s="578"/>
      <c r="BI575" s="578"/>
      <c r="BJ575" s="578"/>
      <c r="BK575" s="578"/>
      <c r="BL575" s="578"/>
      <c r="BM575" s="578"/>
      <c r="BN575" s="578"/>
      <c r="BO575" s="578"/>
      <c r="BP575" s="578"/>
      <c r="BQ575" s="578"/>
      <c r="BR575" s="578"/>
      <c r="BS575" s="578"/>
      <c r="BT575" s="578"/>
      <c r="BU575" s="578"/>
      <c r="BV575" s="578"/>
      <c r="BW575" s="578"/>
    </row>
    <row r="576" spans="2:75" ht="14.25" customHeight="1" x14ac:dyDescent="0.3">
      <c r="B576" s="823"/>
      <c r="D576" s="824"/>
      <c r="I576" s="825"/>
      <c r="AR576" s="826"/>
      <c r="AY576" s="827"/>
      <c r="BD576" s="577"/>
      <c r="BE576" s="578"/>
      <c r="BF576" s="578"/>
      <c r="BG576" s="578"/>
      <c r="BH576" s="578"/>
      <c r="BI576" s="578"/>
      <c r="BJ576" s="578"/>
      <c r="BK576" s="578"/>
      <c r="BL576" s="578"/>
      <c r="BM576" s="578"/>
      <c r="BN576" s="578"/>
      <c r="BO576" s="578"/>
      <c r="BP576" s="578"/>
      <c r="BQ576" s="578"/>
      <c r="BR576" s="578"/>
      <c r="BS576" s="578"/>
      <c r="BT576" s="578"/>
      <c r="BU576" s="578"/>
      <c r="BV576" s="578"/>
      <c r="BW576" s="578"/>
    </row>
    <row r="577" spans="2:75" ht="14.25" customHeight="1" x14ac:dyDescent="0.3">
      <c r="B577" s="823"/>
      <c r="D577" s="824"/>
      <c r="I577" s="825"/>
      <c r="AR577" s="826"/>
      <c r="AY577" s="827"/>
      <c r="BD577" s="577"/>
      <c r="BE577" s="578"/>
      <c r="BF577" s="578"/>
      <c r="BG577" s="578"/>
      <c r="BH577" s="578"/>
      <c r="BI577" s="578"/>
      <c r="BJ577" s="578"/>
      <c r="BK577" s="578"/>
      <c r="BL577" s="578"/>
      <c r="BM577" s="578"/>
      <c r="BN577" s="578"/>
      <c r="BO577" s="578"/>
      <c r="BP577" s="578"/>
      <c r="BQ577" s="578"/>
      <c r="BR577" s="578"/>
      <c r="BS577" s="578"/>
      <c r="BT577" s="578"/>
      <c r="BU577" s="578"/>
      <c r="BV577" s="578"/>
      <c r="BW577" s="578"/>
    </row>
    <row r="578" spans="2:75" ht="14.25" customHeight="1" x14ac:dyDescent="0.3">
      <c r="B578" s="823"/>
      <c r="D578" s="824"/>
      <c r="I578" s="825"/>
      <c r="AR578" s="826"/>
      <c r="AY578" s="827"/>
      <c r="BD578" s="577"/>
      <c r="BE578" s="578"/>
      <c r="BF578" s="578"/>
      <c r="BG578" s="578"/>
      <c r="BH578" s="578"/>
      <c r="BI578" s="578"/>
      <c r="BJ578" s="578"/>
      <c r="BK578" s="578"/>
      <c r="BL578" s="578"/>
      <c r="BM578" s="578"/>
      <c r="BN578" s="578"/>
      <c r="BO578" s="578"/>
      <c r="BP578" s="578"/>
      <c r="BQ578" s="578"/>
      <c r="BR578" s="578"/>
      <c r="BS578" s="578"/>
      <c r="BT578" s="578"/>
      <c r="BU578" s="578"/>
      <c r="BV578" s="578"/>
      <c r="BW578" s="578"/>
    </row>
    <row r="579" spans="2:75" ht="14.25" customHeight="1" x14ac:dyDescent="0.3">
      <c r="B579" s="823"/>
      <c r="D579" s="824"/>
      <c r="I579" s="825"/>
      <c r="AR579" s="826"/>
      <c r="AY579" s="827"/>
      <c r="BD579" s="577"/>
      <c r="BE579" s="578"/>
      <c r="BF579" s="578"/>
      <c r="BG579" s="578"/>
      <c r="BH579" s="578"/>
      <c r="BI579" s="578"/>
      <c r="BJ579" s="578"/>
      <c r="BK579" s="578"/>
      <c r="BL579" s="578"/>
      <c r="BM579" s="578"/>
      <c r="BN579" s="578"/>
      <c r="BO579" s="578"/>
      <c r="BP579" s="578"/>
      <c r="BQ579" s="578"/>
      <c r="BR579" s="578"/>
      <c r="BS579" s="578"/>
      <c r="BT579" s="578"/>
      <c r="BU579" s="578"/>
      <c r="BV579" s="578"/>
      <c r="BW579" s="578"/>
    </row>
    <row r="580" spans="2:75" ht="14.25" customHeight="1" x14ac:dyDescent="0.3">
      <c r="B580" s="823"/>
      <c r="D580" s="824"/>
      <c r="I580" s="825"/>
      <c r="AR580" s="826"/>
      <c r="AY580" s="827"/>
      <c r="BD580" s="577"/>
      <c r="BE580" s="578"/>
      <c r="BF580" s="578"/>
      <c r="BG580" s="578"/>
      <c r="BH580" s="578"/>
      <c r="BI580" s="578"/>
      <c r="BJ580" s="578"/>
      <c r="BK580" s="578"/>
      <c r="BL580" s="578"/>
      <c r="BM580" s="578"/>
      <c r="BN580" s="578"/>
      <c r="BO580" s="578"/>
      <c r="BP580" s="578"/>
      <c r="BQ580" s="578"/>
      <c r="BR580" s="578"/>
      <c r="BS580" s="578"/>
      <c r="BT580" s="578"/>
      <c r="BU580" s="578"/>
      <c r="BV580" s="578"/>
      <c r="BW580" s="578"/>
    </row>
    <row r="581" spans="2:75" ht="14.25" customHeight="1" x14ac:dyDescent="0.3">
      <c r="B581" s="823"/>
      <c r="D581" s="824"/>
      <c r="I581" s="825"/>
      <c r="AR581" s="826"/>
      <c r="AY581" s="827"/>
      <c r="BD581" s="577"/>
      <c r="BE581" s="578"/>
      <c r="BF581" s="578"/>
      <c r="BG581" s="578"/>
      <c r="BH581" s="578"/>
      <c r="BI581" s="578"/>
      <c r="BJ581" s="578"/>
      <c r="BK581" s="578"/>
      <c r="BL581" s="578"/>
      <c r="BM581" s="578"/>
      <c r="BN581" s="578"/>
      <c r="BO581" s="578"/>
      <c r="BP581" s="578"/>
      <c r="BQ581" s="578"/>
      <c r="BR581" s="578"/>
      <c r="BS581" s="578"/>
      <c r="BT581" s="578"/>
      <c r="BU581" s="578"/>
      <c r="BV581" s="578"/>
      <c r="BW581" s="578"/>
    </row>
    <row r="582" spans="2:75" ht="14.25" customHeight="1" x14ac:dyDescent="0.3">
      <c r="B582" s="823"/>
      <c r="D582" s="824"/>
      <c r="I582" s="825"/>
      <c r="AR582" s="826"/>
      <c r="AY582" s="827"/>
      <c r="BD582" s="577"/>
      <c r="BE582" s="578"/>
      <c r="BF582" s="578"/>
      <c r="BG582" s="578"/>
      <c r="BH582" s="578"/>
      <c r="BI582" s="578"/>
      <c r="BJ582" s="578"/>
      <c r="BK582" s="578"/>
      <c r="BL582" s="578"/>
      <c r="BM582" s="578"/>
      <c r="BN582" s="578"/>
      <c r="BO582" s="578"/>
      <c r="BP582" s="578"/>
      <c r="BQ582" s="578"/>
      <c r="BR582" s="578"/>
      <c r="BS582" s="578"/>
      <c r="BT582" s="578"/>
      <c r="BU582" s="578"/>
      <c r="BV582" s="578"/>
      <c r="BW582" s="578"/>
    </row>
    <row r="583" spans="2:75" ht="14.25" customHeight="1" x14ac:dyDescent="0.3">
      <c r="B583" s="823"/>
      <c r="D583" s="824"/>
      <c r="I583" s="825"/>
      <c r="AR583" s="826"/>
      <c r="AY583" s="827"/>
      <c r="BD583" s="577"/>
      <c r="BE583" s="578"/>
      <c r="BF583" s="578"/>
      <c r="BG583" s="578"/>
      <c r="BH583" s="578"/>
      <c r="BI583" s="578"/>
      <c r="BJ583" s="578"/>
      <c r="BK583" s="578"/>
      <c r="BL583" s="578"/>
      <c r="BM583" s="578"/>
      <c r="BN583" s="578"/>
      <c r="BO583" s="578"/>
      <c r="BP583" s="578"/>
      <c r="BQ583" s="578"/>
      <c r="BR583" s="578"/>
      <c r="BS583" s="578"/>
      <c r="BT583" s="578"/>
      <c r="BU583" s="578"/>
      <c r="BV583" s="578"/>
      <c r="BW583" s="578"/>
    </row>
    <row r="584" spans="2:75" ht="14.25" customHeight="1" x14ac:dyDescent="0.3">
      <c r="B584" s="823"/>
      <c r="D584" s="824"/>
      <c r="I584" s="825"/>
      <c r="AR584" s="826"/>
      <c r="AY584" s="827"/>
      <c r="BD584" s="577"/>
      <c r="BE584" s="578"/>
      <c r="BF584" s="578"/>
      <c r="BG584" s="578"/>
      <c r="BH584" s="578"/>
      <c r="BI584" s="578"/>
      <c r="BJ584" s="578"/>
      <c r="BK584" s="578"/>
      <c r="BL584" s="578"/>
      <c r="BM584" s="578"/>
      <c r="BN584" s="578"/>
      <c r="BO584" s="578"/>
      <c r="BP584" s="578"/>
      <c r="BQ584" s="578"/>
      <c r="BR584" s="578"/>
      <c r="BS584" s="578"/>
      <c r="BT584" s="578"/>
      <c r="BU584" s="578"/>
      <c r="BV584" s="578"/>
      <c r="BW584" s="578"/>
    </row>
    <row r="585" spans="2:75" ht="14.25" customHeight="1" x14ac:dyDescent="0.3">
      <c r="B585" s="823"/>
      <c r="D585" s="824"/>
      <c r="I585" s="825"/>
      <c r="AR585" s="826"/>
      <c r="AY585" s="827"/>
      <c r="BD585" s="577"/>
      <c r="BE585" s="578"/>
      <c r="BF585" s="578"/>
      <c r="BG585" s="578"/>
      <c r="BH585" s="578"/>
      <c r="BI585" s="578"/>
      <c r="BJ585" s="578"/>
      <c r="BK585" s="578"/>
      <c r="BL585" s="578"/>
      <c r="BM585" s="578"/>
      <c r="BN585" s="578"/>
      <c r="BO585" s="578"/>
      <c r="BP585" s="578"/>
      <c r="BQ585" s="578"/>
      <c r="BR585" s="578"/>
      <c r="BS585" s="578"/>
      <c r="BT585" s="578"/>
      <c r="BU585" s="578"/>
      <c r="BV585" s="578"/>
      <c r="BW585" s="578"/>
    </row>
    <row r="586" spans="2:75" ht="14.25" customHeight="1" x14ac:dyDescent="0.3">
      <c r="B586" s="823"/>
      <c r="D586" s="824"/>
      <c r="I586" s="825"/>
      <c r="AR586" s="826"/>
      <c r="AY586" s="827"/>
      <c r="BD586" s="577"/>
      <c r="BE586" s="578"/>
      <c r="BF586" s="578"/>
      <c r="BG586" s="578"/>
      <c r="BH586" s="578"/>
      <c r="BI586" s="578"/>
      <c r="BJ586" s="578"/>
      <c r="BK586" s="578"/>
      <c r="BL586" s="578"/>
      <c r="BM586" s="578"/>
      <c r="BN586" s="578"/>
      <c r="BO586" s="578"/>
      <c r="BP586" s="578"/>
      <c r="BQ586" s="578"/>
      <c r="BR586" s="578"/>
      <c r="BS586" s="578"/>
      <c r="BT586" s="578"/>
      <c r="BU586" s="578"/>
      <c r="BV586" s="578"/>
      <c r="BW586" s="578"/>
    </row>
    <row r="587" spans="2:75" ht="14.25" customHeight="1" x14ac:dyDescent="0.3">
      <c r="B587" s="823"/>
      <c r="D587" s="824"/>
      <c r="I587" s="825"/>
      <c r="AR587" s="826"/>
      <c r="AY587" s="827"/>
      <c r="BD587" s="577"/>
      <c r="BE587" s="578"/>
      <c r="BF587" s="578"/>
      <c r="BG587" s="578"/>
      <c r="BH587" s="578"/>
      <c r="BI587" s="578"/>
      <c r="BJ587" s="578"/>
      <c r="BK587" s="578"/>
      <c r="BL587" s="578"/>
      <c r="BM587" s="578"/>
      <c r="BN587" s="578"/>
      <c r="BO587" s="578"/>
      <c r="BP587" s="578"/>
      <c r="BQ587" s="578"/>
      <c r="BR587" s="578"/>
      <c r="BS587" s="578"/>
      <c r="BT587" s="578"/>
      <c r="BU587" s="578"/>
      <c r="BV587" s="578"/>
      <c r="BW587" s="578"/>
    </row>
    <row r="588" spans="2:75" ht="14.25" customHeight="1" x14ac:dyDescent="0.3">
      <c r="B588" s="823"/>
      <c r="D588" s="824"/>
      <c r="I588" s="825"/>
      <c r="AR588" s="826"/>
      <c r="AY588" s="827"/>
      <c r="BD588" s="577"/>
      <c r="BE588" s="578"/>
      <c r="BF588" s="578"/>
      <c r="BG588" s="578"/>
      <c r="BH588" s="578"/>
      <c r="BI588" s="578"/>
      <c r="BJ588" s="578"/>
      <c r="BK588" s="578"/>
      <c r="BL588" s="578"/>
      <c r="BM588" s="578"/>
      <c r="BN588" s="578"/>
      <c r="BO588" s="578"/>
      <c r="BP588" s="578"/>
      <c r="BQ588" s="578"/>
      <c r="BR588" s="578"/>
      <c r="BS588" s="578"/>
      <c r="BT588" s="578"/>
      <c r="BU588" s="578"/>
      <c r="BV588" s="578"/>
      <c r="BW588" s="578"/>
    </row>
    <row r="589" spans="2:75" ht="14.25" customHeight="1" x14ac:dyDescent="0.3">
      <c r="B589" s="823"/>
      <c r="D589" s="824"/>
      <c r="I589" s="825"/>
      <c r="AR589" s="826"/>
      <c r="AY589" s="827"/>
      <c r="BD589" s="577"/>
      <c r="BE589" s="578"/>
      <c r="BF589" s="578"/>
      <c r="BG589" s="578"/>
      <c r="BH589" s="578"/>
      <c r="BI589" s="578"/>
      <c r="BJ589" s="578"/>
      <c r="BK589" s="578"/>
      <c r="BL589" s="578"/>
      <c r="BM589" s="578"/>
      <c r="BN589" s="578"/>
      <c r="BO589" s="578"/>
      <c r="BP589" s="578"/>
      <c r="BQ589" s="578"/>
      <c r="BR589" s="578"/>
      <c r="BS589" s="578"/>
      <c r="BT589" s="578"/>
      <c r="BU589" s="578"/>
      <c r="BV589" s="578"/>
      <c r="BW589" s="578"/>
    </row>
    <row r="590" spans="2:75" ht="14.25" customHeight="1" x14ac:dyDescent="0.3">
      <c r="B590" s="823"/>
      <c r="D590" s="824"/>
      <c r="I590" s="825"/>
      <c r="AR590" s="826"/>
      <c r="AY590" s="827"/>
      <c r="BD590" s="577"/>
      <c r="BE590" s="578"/>
      <c r="BF590" s="578"/>
      <c r="BG590" s="578"/>
      <c r="BH590" s="578"/>
      <c r="BI590" s="578"/>
      <c r="BJ590" s="578"/>
      <c r="BK590" s="578"/>
      <c r="BL590" s="578"/>
      <c r="BM590" s="578"/>
      <c r="BN590" s="578"/>
      <c r="BO590" s="578"/>
      <c r="BP590" s="578"/>
      <c r="BQ590" s="578"/>
      <c r="BR590" s="578"/>
      <c r="BS590" s="578"/>
      <c r="BT590" s="578"/>
      <c r="BU590" s="578"/>
      <c r="BV590" s="578"/>
      <c r="BW590" s="578"/>
    </row>
    <row r="591" spans="2:75" ht="14.25" customHeight="1" x14ac:dyDescent="0.3">
      <c r="B591" s="823"/>
      <c r="D591" s="824"/>
      <c r="I591" s="825"/>
      <c r="AR591" s="826"/>
      <c r="AY591" s="827"/>
      <c r="BD591" s="577"/>
      <c r="BE591" s="578"/>
      <c r="BF591" s="578"/>
      <c r="BG591" s="578"/>
      <c r="BH591" s="578"/>
      <c r="BI591" s="578"/>
      <c r="BJ591" s="578"/>
      <c r="BK591" s="578"/>
      <c r="BL591" s="578"/>
      <c r="BM591" s="578"/>
      <c r="BN591" s="578"/>
      <c r="BO591" s="578"/>
      <c r="BP591" s="578"/>
      <c r="BQ591" s="578"/>
      <c r="BR591" s="578"/>
      <c r="BS591" s="578"/>
      <c r="BT591" s="578"/>
      <c r="BU591" s="578"/>
      <c r="BV591" s="578"/>
      <c r="BW591" s="578"/>
    </row>
    <row r="592" spans="2:75" ht="14.25" customHeight="1" x14ac:dyDescent="0.3">
      <c r="B592" s="823"/>
      <c r="D592" s="824"/>
      <c r="I592" s="825"/>
      <c r="AR592" s="826"/>
      <c r="AY592" s="827"/>
      <c r="BD592" s="577"/>
      <c r="BE592" s="578"/>
      <c r="BF592" s="578"/>
      <c r="BG592" s="578"/>
      <c r="BH592" s="578"/>
      <c r="BI592" s="578"/>
      <c r="BJ592" s="578"/>
      <c r="BK592" s="578"/>
      <c r="BL592" s="578"/>
      <c r="BM592" s="578"/>
      <c r="BN592" s="578"/>
      <c r="BO592" s="578"/>
      <c r="BP592" s="578"/>
      <c r="BQ592" s="578"/>
      <c r="BR592" s="578"/>
      <c r="BS592" s="578"/>
      <c r="BT592" s="578"/>
      <c r="BU592" s="578"/>
      <c r="BV592" s="578"/>
      <c r="BW592" s="578"/>
    </row>
    <row r="593" spans="2:75" ht="14.25" customHeight="1" x14ac:dyDescent="0.3">
      <c r="B593" s="823"/>
      <c r="D593" s="824"/>
      <c r="I593" s="825"/>
      <c r="AR593" s="826"/>
      <c r="AY593" s="827"/>
      <c r="BD593" s="577"/>
      <c r="BE593" s="578"/>
      <c r="BF593" s="578"/>
      <c r="BG593" s="578"/>
      <c r="BH593" s="578"/>
      <c r="BI593" s="578"/>
      <c r="BJ593" s="578"/>
      <c r="BK593" s="578"/>
      <c r="BL593" s="578"/>
      <c r="BM593" s="578"/>
      <c r="BN593" s="578"/>
      <c r="BO593" s="578"/>
      <c r="BP593" s="578"/>
      <c r="BQ593" s="578"/>
      <c r="BR593" s="578"/>
      <c r="BS593" s="578"/>
      <c r="BT593" s="578"/>
      <c r="BU593" s="578"/>
      <c r="BV593" s="578"/>
      <c r="BW593" s="578"/>
    </row>
    <row r="594" spans="2:75" ht="14.25" customHeight="1" x14ac:dyDescent="0.3">
      <c r="B594" s="823"/>
      <c r="D594" s="824"/>
      <c r="I594" s="825"/>
      <c r="AR594" s="826"/>
      <c r="AY594" s="827"/>
      <c r="BD594" s="577"/>
      <c r="BE594" s="578"/>
      <c r="BF594" s="578"/>
      <c r="BG594" s="578"/>
      <c r="BH594" s="578"/>
      <c r="BI594" s="578"/>
      <c r="BJ594" s="578"/>
      <c r="BK594" s="578"/>
      <c r="BL594" s="578"/>
      <c r="BM594" s="578"/>
      <c r="BN594" s="578"/>
      <c r="BO594" s="578"/>
      <c r="BP594" s="578"/>
      <c r="BQ594" s="578"/>
      <c r="BR594" s="578"/>
      <c r="BS594" s="578"/>
      <c r="BT594" s="578"/>
      <c r="BU594" s="578"/>
      <c r="BV594" s="578"/>
      <c r="BW594" s="578"/>
    </row>
    <row r="595" spans="2:75" ht="14.25" customHeight="1" x14ac:dyDescent="0.3">
      <c r="B595" s="823"/>
      <c r="D595" s="824"/>
      <c r="I595" s="825"/>
      <c r="AR595" s="826"/>
      <c r="AY595" s="827"/>
      <c r="BD595" s="577"/>
      <c r="BE595" s="578"/>
      <c r="BF595" s="578"/>
      <c r="BG595" s="578"/>
      <c r="BH595" s="578"/>
      <c r="BI595" s="578"/>
      <c r="BJ595" s="578"/>
      <c r="BK595" s="578"/>
      <c r="BL595" s="578"/>
      <c r="BM595" s="578"/>
      <c r="BN595" s="578"/>
      <c r="BO595" s="578"/>
      <c r="BP595" s="578"/>
      <c r="BQ595" s="578"/>
      <c r="BR595" s="578"/>
      <c r="BS595" s="578"/>
      <c r="BT595" s="578"/>
      <c r="BU595" s="578"/>
      <c r="BV595" s="578"/>
      <c r="BW595" s="578"/>
    </row>
    <row r="596" spans="2:75" ht="14.25" customHeight="1" x14ac:dyDescent="0.3">
      <c r="B596" s="823"/>
      <c r="D596" s="824"/>
      <c r="I596" s="825"/>
      <c r="AR596" s="826"/>
      <c r="AY596" s="827"/>
      <c r="BD596" s="577"/>
      <c r="BE596" s="578"/>
      <c r="BF596" s="578"/>
      <c r="BG596" s="578"/>
      <c r="BH596" s="578"/>
      <c r="BI596" s="578"/>
      <c r="BJ596" s="578"/>
      <c r="BK596" s="578"/>
      <c r="BL596" s="578"/>
      <c r="BM596" s="578"/>
      <c r="BN596" s="578"/>
      <c r="BO596" s="578"/>
      <c r="BP596" s="578"/>
      <c r="BQ596" s="578"/>
      <c r="BR596" s="578"/>
      <c r="BS596" s="578"/>
      <c r="BT596" s="578"/>
      <c r="BU596" s="578"/>
      <c r="BV596" s="578"/>
      <c r="BW596" s="578"/>
    </row>
    <row r="597" spans="2:75" ht="14.25" customHeight="1" x14ac:dyDescent="0.3">
      <c r="B597" s="823"/>
      <c r="D597" s="824"/>
      <c r="I597" s="825"/>
      <c r="AR597" s="826"/>
      <c r="AY597" s="827"/>
      <c r="BD597" s="577"/>
      <c r="BE597" s="578"/>
      <c r="BF597" s="578"/>
      <c r="BG597" s="578"/>
      <c r="BH597" s="578"/>
      <c r="BI597" s="578"/>
      <c r="BJ597" s="578"/>
      <c r="BK597" s="578"/>
      <c r="BL597" s="578"/>
      <c r="BM597" s="578"/>
      <c r="BN597" s="578"/>
      <c r="BO597" s="578"/>
      <c r="BP597" s="578"/>
      <c r="BQ597" s="578"/>
      <c r="BR597" s="578"/>
      <c r="BS597" s="578"/>
      <c r="BT597" s="578"/>
      <c r="BU597" s="578"/>
      <c r="BV597" s="578"/>
      <c r="BW597" s="578"/>
    </row>
    <row r="598" spans="2:75" ht="14.25" customHeight="1" x14ac:dyDescent="0.3">
      <c r="B598" s="823"/>
      <c r="D598" s="824"/>
      <c r="I598" s="825"/>
      <c r="AR598" s="826"/>
      <c r="AY598" s="827"/>
      <c r="BD598" s="577"/>
      <c r="BE598" s="578"/>
      <c r="BF598" s="578"/>
      <c r="BG598" s="578"/>
      <c r="BH598" s="578"/>
      <c r="BI598" s="578"/>
      <c r="BJ598" s="578"/>
      <c r="BK598" s="578"/>
      <c r="BL598" s="578"/>
      <c r="BM598" s="578"/>
      <c r="BN598" s="578"/>
      <c r="BO598" s="578"/>
      <c r="BP598" s="578"/>
      <c r="BQ598" s="578"/>
      <c r="BR598" s="578"/>
      <c r="BS598" s="578"/>
      <c r="BT598" s="578"/>
      <c r="BU598" s="578"/>
      <c r="BV598" s="578"/>
      <c r="BW598" s="578"/>
    </row>
    <row r="599" spans="2:75" ht="14.25" customHeight="1" x14ac:dyDescent="0.3">
      <c r="B599" s="823"/>
      <c r="D599" s="824"/>
      <c r="I599" s="825"/>
      <c r="AR599" s="826"/>
      <c r="AY599" s="827"/>
      <c r="BD599" s="577"/>
      <c r="BE599" s="578"/>
      <c r="BF599" s="578"/>
      <c r="BG599" s="578"/>
      <c r="BH599" s="578"/>
      <c r="BI599" s="578"/>
      <c r="BJ599" s="578"/>
      <c r="BK599" s="578"/>
      <c r="BL599" s="578"/>
      <c r="BM599" s="578"/>
      <c r="BN599" s="578"/>
      <c r="BO599" s="578"/>
      <c r="BP599" s="578"/>
      <c r="BQ599" s="578"/>
      <c r="BR599" s="578"/>
      <c r="BS599" s="578"/>
      <c r="BT599" s="578"/>
      <c r="BU599" s="578"/>
      <c r="BV599" s="578"/>
      <c r="BW599" s="578"/>
    </row>
    <row r="600" spans="2:75" ht="14.25" customHeight="1" x14ac:dyDescent="0.3">
      <c r="B600" s="823"/>
      <c r="D600" s="824"/>
      <c r="I600" s="825"/>
      <c r="AR600" s="826"/>
      <c r="AY600" s="827"/>
      <c r="BD600" s="577"/>
      <c r="BE600" s="578"/>
      <c r="BF600" s="578"/>
      <c r="BG600" s="578"/>
      <c r="BH600" s="578"/>
      <c r="BI600" s="578"/>
      <c r="BJ600" s="578"/>
      <c r="BK600" s="578"/>
      <c r="BL600" s="578"/>
      <c r="BM600" s="578"/>
      <c r="BN600" s="578"/>
      <c r="BO600" s="578"/>
      <c r="BP600" s="578"/>
      <c r="BQ600" s="578"/>
      <c r="BR600" s="578"/>
      <c r="BS600" s="578"/>
      <c r="BT600" s="578"/>
      <c r="BU600" s="578"/>
      <c r="BV600" s="578"/>
      <c r="BW600" s="578"/>
    </row>
    <row r="601" spans="2:75" ht="14.25" customHeight="1" x14ac:dyDescent="0.3">
      <c r="B601" s="823"/>
      <c r="D601" s="824"/>
      <c r="I601" s="825"/>
      <c r="AR601" s="826"/>
      <c r="AY601" s="827"/>
      <c r="BD601" s="577"/>
      <c r="BE601" s="578"/>
      <c r="BF601" s="578"/>
      <c r="BG601" s="578"/>
      <c r="BH601" s="578"/>
      <c r="BI601" s="578"/>
      <c r="BJ601" s="578"/>
      <c r="BK601" s="578"/>
      <c r="BL601" s="578"/>
      <c r="BM601" s="578"/>
      <c r="BN601" s="578"/>
      <c r="BO601" s="578"/>
      <c r="BP601" s="578"/>
      <c r="BQ601" s="578"/>
      <c r="BR601" s="578"/>
      <c r="BS601" s="578"/>
      <c r="BT601" s="578"/>
      <c r="BU601" s="578"/>
      <c r="BV601" s="578"/>
      <c r="BW601" s="578"/>
    </row>
    <row r="602" spans="2:75" ht="14.25" customHeight="1" x14ac:dyDescent="0.3">
      <c r="B602" s="823"/>
      <c r="D602" s="824"/>
      <c r="I602" s="825"/>
      <c r="AR602" s="826"/>
      <c r="AY602" s="827"/>
      <c r="BD602" s="577"/>
      <c r="BE602" s="578"/>
      <c r="BF602" s="578"/>
      <c r="BG602" s="578"/>
      <c r="BH602" s="578"/>
      <c r="BI602" s="578"/>
      <c r="BJ602" s="578"/>
      <c r="BK602" s="578"/>
      <c r="BL602" s="578"/>
      <c r="BM602" s="578"/>
      <c r="BN602" s="578"/>
      <c r="BO602" s="578"/>
      <c r="BP602" s="578"/>
      <c r="BQ602" s="578"/>
      <c r="BR602" s="578"/>
      <c r="BS602" s="578"/>
      <c r="BT602" s="578"/>
      <c r="BU602" s="578"/>
      <c r="BV602" s="578"/>
      <c r="BW602" s="578"/>
    </row>
    <row r="603" spans="2:75" ht="14.25" customHeight="1" x14ac:dyDescent="0.3">
      <c r="B603" s="823"/>
      <c r="D603" s="824"/>
      <c r="I603" s="825"/>
      <c r="AR603" s="826"/>
      <c r="AY603" s="827"/>
      <c r="BD603" s="577"/>
      <c r="BE603" s="578"/>
      <c r="BF603" s="578"/>
      <c r="BG603" s="578"/>
      <c r="BH603" s="578"/>
      <c r="BI603" s="578"/>
      <c r="BJ603" s="578"/>
      <c r="BK603" s="578"/>
      <c r="BL603" s="578"/>
      <c r="BM603" s="578"/>
      <c r="BN603" s="578"/>
      <c r="BO603" s="578"/>
      <c r="BP603" s="578"/>
      <c r="BQ603" s="578"/>
      <c r="BR603" s="578"/>
      <c r="BS603" s="578"/>
      <c r="BT603" s="578"/>
      <c r="BU603" s="578"/>
      <c r="BV603" s="578"/>
      <c r="BW603" s="578"/>
    </row>
    <row r="604" spans="2:75" ht="14.25" customHeight="1" x14ac:dyDescent="0.3">
      <c r="B604" s="823"/>
      <c r="D604" s="824"/>
      <c r="I604" s="825"/>
      <c r="AR604" s="826"/>
      <c r="AY604" s="827"/>
      <c r="BD604" s="577"/>
      <c r="BE604" s="578"/>
      <c r="BF604" s="578"/>
      <c r="BG604" s="578"/>
      <c r="BH604" s="578"/>
      <c r="BI604" s="578"/>
      <c r="BJ604" s="578"/>
      <c r="BK604" s="578"/>
      <c r="BL604" s="578"/>
      <c r="BM604" s="578"/>
      <c r="BN604" s="578"/>
      <c r="BO604" s="578"/>
      <c r="BP604" s="578"/>
      <c r="BQ604" s="578"/>
      <c r="BR604" s="578"/>
      <c r="BS604" s="578"/>
      <c r="BT604" s="578"/>
      <c r="BU604" s="578"/>
      <c r="BV604" s="578"/>
      <c r="BW604" s="578"/>
    </row>
    <row r="605" spans="2:75" ht="14.25" customHeight="1" x14ac:dyDescent="0.3">
      <c r="B605" s="823"/>
      <c r="D605" s="824"/>
      <c r="I605" s="825"/>
      <c r="AR605" s="826"/>
      <c r="AY605" s="827"/>
      <c r="BD605" s="577"/>
      <c r="BE605" s="578"/>
      <c r="BF605" s="578"/>
      <c r="BG605" s="578"/>
      <c r="BH605" s="578"/>
      <c r="BI605" s="578"/>
      <c r="BJ605" s="578"/>
      <c r="BK605" s="578"/>
      <c r="BL605" s="578"/>
      <c r="BM605" s="578"/>
      <c r="BN605" s="578"/>
      <c r="BO605" s="578"/>
      <c r="BP605" s="578"/>
      <c r="BQ605" s="578"/>
      <c r="BR605" s="578"/>
      <c r="BS605" s="578"/>
      <c r="BT605" s="578"/>
      <c r="BU605" s="578"/>
      <c r="BV605" s="578"/>
      <c r="BW605" s="578"/>
    </row>
    <row r="606" spans="2:75" ht="14.25" customHeight="1" x14ac:dyDescent="0.3">
      <c r="B606" s="823"/>
      <c r="D606" s="824"/>
      <c r="I606" s="825"/>
      <c r="AR606" s="826"/>
      <c r="AY606" s="827"/>
      <c r="BD606" s="577"/>
      <c r="BE606" s="578"/>
      <c r="BF606" s="578"/>
      <c r="BG606" s="578"/>
      <c r="BH606" s="578"/>
      <c r="BI606" s="578"/>
      <c r="BJ606" s="578"/>
      <c r="BK606" s="578"/>
      <c r="BL606" s="578"/>
      <c r="BM606" s="578"/>
      <c r="BN606" s="578"/>
      <c r="BO606" s="578"/>
      <c r="BP606" s="578"/>
      <c r="BQ606" s="578"/>
      <c r="BR606" s="578"/>
      <c r="BS606" s="578"/>
      <c r="BT606" s="578"/>
      <c r="BU606" s="578"/>
      <c r="BV606" s="578"/>
      <c r="BW606" s="578"/>
    </row>
    <row r="607" spans="2:75" ht="14.25" customHeight="1" x14ac:dyDescent="0.3">
      <c r="B607" s="823"/>
      <c r="D607" s="824"/>
      <c r="I607" s="825"/>
      <c r="AR607" s="826"/>
      <c r="AY607" s="827"/>
      <c r="BD607" s="577"/>
      <c r="BE607" s="578"/>
      <c r="BF607" s="578"/>
      <c r="BG607" s="578"/>
      <c r="BH607" s="578"/>
      <c r="BI607" s="578"/>
      <c r="BJ607" s="578"/>
      <c r="BK607" s="578"/>
      <c r="BL607" s="578"/>
      <c r="BM607" s="578"/>
      <c r="BN607" s="578"/>
      <c r="BO607" s="578"/>
      <c r="BP607" s="578"/>
      <c r="BQ607" s="578"/>
      <c r="BR607" s="578"/>
      <c r="BS607" s="578"/>
      <c r="BT607" s="578"/>
      <c r="BU607" s="578"/>
      <c r="BV607" s="578"/>
      <c r="BW607" s="578"/>
    </row>
    <row r="608" spans="2:75" ht="14.25" customHeight="1" x14ac:dyDescent="0.3">
      <c r="B608" s="823"/>
      <c r="D608" s="824"/>
      <c r="I608" s="825"/>
      <c r="AR608" s="826"/>
      <c r="AY608" s="827"/>
      <c r="BD608" s="577"/>
      <c r="BE608" s="578"/>
      <c r="BF608" s="578"/>
      <c r="BG608" s="578"/>
      <c r="BH608" s="578"/>
      <c r="BI608" s="578"/>
      <c r="BJ608" s="578"/>
      <c r="BK608" s="578"/>
      <c r="BL608" s="578"/>
      <c r="BM608" s="578"/>
      <c r="BN608" s="578"/>
      <c r="BO608" s="578"/>
      <c r="BP608" s="578"/>
      <c r="BQ608" s="578"/>
      <c r="BR608" s="578"/>
      <c r="BS608" s="578"/>
      <c r="BT608" s="578"/>
      <c r="BU608" s="578"/>
      <c r="BV608" s="578"/>
      <c r="BW608" s="578"/>
    </row>
    <row r="609" spans="2:75" ht="14.25" customHeight="1" x14ac:dyDescent="0.3">
      <c r="B609" s="823"/>
      <c r="D609" s="824"/>
      <c r="I609" s="825"/>
      <c r="AR609" s="826"/>
      <c r="AY609" s="827"/>
      <c r="BD609" s="577"/>
      <c r="BE609" s="578"/>
      <c r="BF609" s="578"/>
      <c r="BG609" s="578"/>
      <c r="BH609" s="578"/>
      <c r="BI609" s="578"/>
      <c r="BJ609" s="578"/>
      <c r="BK609" s="578"/>
      <c r="BL609" s="578"/>
      <c r="BM609" s="578"/>
      <c r="BN609" s="578"/>
      <c r="BO609" s="578"/>
      <c r="BP609" s="578"/>
      <c r="BQ609" s="578"/>
      <c r="BR609" s="578"/>
      <c r="BS609" s="578"/>
      <c r="BT609" s="578"/>
      <c r="BU609" s="578"/>
      <c r="BV609" s="578"/>
      <c r="BW609" s="578"/>
    </row>
    <row r="610" spans="2:75" ht="14.25" customHeight="1" x14ac:dyDescent="0.3">
      <c r="B610" s="823"/>
      <c r="D610" s="824"/>
      <c r="I610" s="825"/>
      <c r="AR610" s="826"/>
      <c r="AY610" s="827"/>
      <c r="BD610" s="577"/>
      <c r="BE610" s="578"/>
      <c r="BF610" s="578"/>
      <c r="BG610" s="578"/>
      <c r="BH610" s="578"/>
      <c r="BI610" s="578"/>
      <c r="BJ610" s="578"/>
      <c r="BK610" s="578"/>
      <c r="BL610" s="578"/>
      <c r="BM610" s="578"/>
      <c r="BN610" s="578"/>
      <c r="BO610" s="578"/>
      <c r="BP610" s="578"/>
      <c r="BQ610" s="578"/>
      <c r="BR610" s="578"/>
      <c r="BS610" s="578"/>
      <c r="BT610" s="578"/>
      <c r="BU610" s="578"/>
      <c r="BV610" s="578"/>
      <c r="BW610" s="578"/>
    </row>
    <row r="611" spans="2:75" ht="14.25" customHeight="1" x14ac:dyDescent="0.3">
      <c r="B611" s="823"/>
      <c r="D611" s="824"/>
      <c r="I611" s="825"/>
      <c r="AR611" s="826"/>
      <c r="AY611" s="827"/>
      <c r="BD611" s="577"/>
      <c r="BE611" s="578"/>
      <c r="BF611" s="578"/>
      <c r="BG611" s="578"/>
      <c r="BH611" s="578"/>
      <c r="BI611" s="578"/>
      <c r="BJ611" s="578"/>
      <c r="BK611" s="578"/>
      <c r="BL611" s="578"/>
      <c r="BM611" s="578"/>
      <c r="BN611" s="578"/>
      <c r="BO611" s="578"/>
      <c r="BP611" s="578"/>
      <c r="BQ611" s="578"/>
      <c r="BR611" s="578"/>
      <c r="BS611" s="578"/>
      <c r="BT611" s="578"/>
      <c r="BU611" s="578"/>
      <c r="BV611" s="578"/>
      <c r="BW611" s="578"/>
    </row>
    <row r="612" spans="2:75" ht="14.25" customHeight="1" x14ac:dyDescent="0.3">
      <c r="B612" s="823"/>
      <c r="D612" s="824"/>
      <c r="I612" s="825"/>
      <c r="AR612" s="826"/>
      <c r="AY612" s="827"/>
      <c r="BD612" s="577"/>
      <c r="BE612" s="578"/>
      <c r="BF612" s="578"/>
      <c r="BG612" s="578"/>
      <c r="BH612" s="578"/>
      <c r="BI612" s="578"/>
      <c r="BJ612" s="578"/>
      <c r="BK612" s="578"/>
      <c r="BL612" s="578"/>
      <c r="BM612" s="578"/>
      <c r="BN612" s="578"/>
      <c r="BO612" s="578"/>
      <c r="BP612" s="578"/>
      <c r="BQ612" s="578"/>
      <c r="BR612" s="578"/>
      <c r="BS612" s="578"/>
      <c r="BT612" s="578"/>
      <c r="BU612" s="578"/>
      <c r="BV612" s="578"/>
      <c r="BW612" s="578"/>
    </row>
    <row r="613" spans="2:75" ht="14.25" customHeight="1" x14ac:dyDescent="0.3">
      <c r="B613" s="823"/>
      <c r="D613" s="824"/>
      <c r="I613" s="825"/>
      <c r="AR613" s="826"/>
      <c r="AY613" s="827"/>
      <c r="BD613" s="577"/>
      <c r="BE613" s="578"/>
      <c r="BF613" s="578"/>
      <c r="BG613" s="578"/>
      <c r="BH613" s="578"/>
      <c r="BI613" s="578"/>
      <c r="BJ613" s="578"/>
      <c r="BK613" s="578"/>
      <c r="BL613" s="578"/>
      <c r="BM613" s="578"/>
      <c r="BN613" s="578"/>
      <c r="BO613" s="578"/>
      <c r="BP613" s="578"/>
      <c r="BQ613" s="578"/>
      <c r="BR613" s="578"/>
      <c r="BS613" s="578"/>
      <c r="BT613" s="578"/>
      <c r="BU613" s="578"/>
      <c r="BV613" s="578"/>
      <c r="BW613" s="578"/>
    </row>
    <row r="614" spans="2:75" ht="14.25" customHeight="1" x14ac:dyDescent="0.3">
      <c r="B614" s="823"/>
      <c r="D614" s="824"/>
      <c r="I614" s="825"/>
      <c r="AR614" s="826"/>
      <c r="AY614" s="827"/>
      <c r="BD614" s="577"/>
      <c r="BE614" s="578"/>
      <c r="BF614" s="578"/>
      <c r="BG614" s="578"/>
      <c r="BH614" s="578"/>
      <c r="BI614" s="578"/>
      <c r="BJ614" s="578"/>
      <c r="BK614" s="578"/>
      <c r="BL614" s="578"/>
      <c r="BM614" s="578"/>
      <c r="BN614" s="578"/>
      <c r="BO614" s="578"/>
      <c r="BP614" s="578"/>
      <c r="BQ614" s="578"/>
      <c r="BR614" s="578"/>
      <c r="BS614" s="578"/>
      <c r="BT614" s="578"/>
      <c r="BU614" s="578"/>
      <c r="BV614" s="578"/>
      <c r="BW614" s="578"/>
    </row>
    <row r="615" spans="2:75" ht="14.25" customHeight="1" x14ac:dyDescent="0.3">
      <c r="B615" s="823"/>
      <c r="D615" s="824"/>
      <c r="I615" s="825"/>
      <c r="AR615" s="826"/>
      <c r="AY615" s="827"/>
      <c r="BD615" s="577"/>
      <c r="BE615" s="578"/>
      <c r="BF615" s="578"/>
      <c r="BG615" s="578"/>
      <c r="BH615" s="578"/>
      <c r="BI615" s="578"/>
      <c r="BJ615" s="578"/>
      <c r="BK615" s="578"/>
      <c r="BL615" s="578"/>
      <c r="BM615" s="578"/>
      <c r="BN615" s="578"/>
      <c r="BO615" s="578"/>
      <c r="BP615" s="578"/>
      <c r="BQ615" s="578"/>
      <c r="BR615" s="578"/>
      <c r="BS615" s="578"/>
      <c r="BT615" s="578"/>
      <c r="BU615" s="578"/>
      <c r="BV615" s="578"/>
      <c r="BW615" s="578"/>
    </row>
    <row r="616" spans="2:75" ht="14.25" customHeight="1" x14ac:dyDescent="0.3">
      <c r="B616" s="823"/>
      <c r="D616" s="824"/>
      <c r="I616" s="825"/>
      <c r="AR616" s="826"/>
      <c r="AY616" s="827"/>
      <c r="BD616" s="577"/>
      <c r="BE616" s="578"/>
      <c r="BF616" s="578"/>
      <c r="BG616" s="578"/>
      <c r="BH616" s="578"/>
      <c r="BI616" s="578"/>
      <c r="BJ616" s="578"/>
      <c r="BK616" s="578"/>
      <c r="BL616" s="578"/>
      <c r="BM616" s="578"/>
      <c r="BN616" s="578"/>
      <c r="BO616" s="578"/>
      <c r="BP616" s="578"/>
      <c r="BQ616" s="578"/>
      <c r="BR616" s="578"/>
      <c r="BS616" s="578"/>
      <c r="BT616" s="578"/>
      <c r="BU616" s="578"/>
      <c r="BV616" s="578"/>
      <c r="BW616" s="578"/>
    </row>
    <row r="617" spans="2:75" ht="14.25" customHeight="1" x14ac:dyDescent="0.3">
      <c r="B617" s="823"/>
      <c r="D617" s="824"/>
      <c r="I617" s="825"/>
      <c r="AR617" s="826"/>
      <c r="AY617" s="827"/>
      <c r="BD617" s="577"/>
      <c r="BE617" s="578"/>
      <c r="BF617" s="578"/>
      <c r="BG617" s="578"/>
      <c r="BH617" s="578"/>
      <c r="BI617" s="578"/>
      <c r="BJ617" s="578"/>
      <c r="BK617" s="578"/>
      <c r="BL617" s="578"/>
      <c r="BM617" s="578"/>
      <c r="BN617" s="578"/>
      <c r="BO617" s="578"/>
      <c r="BP617" s="578"/>
      <c r="BQ617" s="578"/>
      <c r="BR617" s="578"/>
      <c r="BS617" s="578"/>
      <c r="BT617" s="578"/>
      <c r="BU617" s="578"/>
      <c r="BV617" s="578"/>
      <c r="BW617" s="578"/>
    </row>
    <row r="618" spans="2:75" ht="14.25" customHeight="1" x14ac:dyDescent="0.3">
      <c r="B618" s="823"/>
      <c r="D618" s="824"/>
      <c r="I618" s="825"/>
      <c r="AR618" s="826"/>
      <c r="AY618" s="827"/>
      <c r="BD618" s="577"/>
      <c r="BE618" s="578"/>
      <c r="BF618" s="578"/>
      <c r="BG618" s="578"/>
      <c r="BH618" s="578"/>
      <c r="BI618" s="578"/>
      <c r="BJ618" s="578"/>
      <c r="BK618" s="578"/>
      <c r="BL618" s="578"/>
      <c r="BM618" s="578"/>
      <c r="BN618" s="578"/>
      <c r="BO618" s="578"/>
      <c r="BP618" s="578"/>
      <c r="BQ618" s="578"/>
      <c r="BR618" s="578"/>
      <c r="BS618" s="578"/>
      <c r="BT618" s="578"/>
      <c r="BU618" s="578"/>
      <c r="BV618" s="578"/>
      <c r="BW618" s="578"/>
    </row>
    <row r="619" spans="2:75" ht="14.25" customHeight="1" x14ac:dyDescent="0.3">
      <c r="B619" s="823"/>
      <c r="D619" s="824"/>
      <c r="I619" s="825"/>
      <c r="AR619" s="826"/>
      <c r="AY619" s="827"/>
      <c r="BD619" s="577"/>
      <c r="BE619" s="578"/>
      <c r="BF619" s="578"/>
      <c r="BG619" s="578"/>
      <c r="BH619" s="578"/>
      <c r="BI619" s="578"/>
      <c r="BJ619" s="578"/>
      <c r="BK619" s="578"/>
      <c r="BL619" s="578"/>
      <c r="BM619" s="578"/>
      <c r="BN619" s="578"/>
      <c r="BO619" s="578"/>
      <c r="BP619" s="578"/>
      <c r="BQ619" s="578"/>
      <c r="BR619" s="578"/>
      <c r="BS619" s="578"/>
      <c r="BT619" s="578"/>
      <c r="BU619" s="578"/>
      <c r="BV619" s="578"/>
      <c r="BW619" s="578"/>
    </row>
    <row r="620" spans="2:75" ht="14.25" customHeight="1" x14ac:dyDescent="0.3">
      <c r="B620" s="823"/>
      <c r="D620" s="824"/>
      <c r="I620" s="825"/>
      <c r="AR620" s="826"/>
      <c r="AY620" s="827"/>
      <c r="BD620" s="577"/>
      <c r="BE620" s="578"/>
      <c r="BF620" s="578"/>
      <c r="BG620" s="578"/>
      <c r="BH620" s="578"/>
      <c r="BI620" s="578"/>
      <c r="BJ620" s="578"/>
      <c r="BK620" s="578"/>
      <c r="BL620" s="578"/>
      <c r="BM620" s="578"/>
      <c r="BN620" s="578"/>
      <c r="BO620" s="578"/>
      <c r="BP620" s="578"/>
      <c r="BQ620" s="578"/>
      <c r="BR620" s="578"/>
      <c r="BS620" s="578"/>
      <c r="BT620" s="578"/>
      <c r="BU620" s="578"/>
      <c r="BV620" s="578"/>
      <c r="BW620" s="578"/>
    </row>
    <row r="621" spans="2:75" ht="14.25" customHeight="1" x14ac:dyDescent="0.3">
      <c r="B621" s="823"/>
      <c r="D621" s="824"/>
      <c r="I621" s="825"/>
      <c r="AR621" s="826"/>
      <c r="AY621" s="827"/>
      <c r="BD621" s="577"/>
      <c r="BE621" s="578"/>
      <c r="BF621" s="578"/>
      <c r="BG621" s="578"/>
      <c r="BH621" s="578"/>
      <c r="BI621" s="578"/>
      <c r="BJ621" s="578"/>
      <c r="BK621" s="578"/>
      <c r="BL621" s="578"/>
      <c r="BM621" s="578"/>
      <c r="BN621" s="578"/>
      <c r="BO621" s="578"/>
      <c r="BP621" s="578"/>
      <c r="BQ621" s="578"/>
      <c r="BR621" s="578"/>
      <c r="BS621" s="578"/>
      <c r="BT621" s="578"/>
      <c r="BU621" s="578"/>
      <c r="BV621" s="578"/>
      <c r="BW621" s="578"/>
    </row>
    <row r="622" spans="2:75" ht="14.25" customHeight="1" x14ac:dyDescent="0.3">
      <c r="B622" s="823"/>
      <c r="D622" s="824"/>
      <c r="I622" s="825"/>
      <c r="AR622" s="826"/>
      <c r="AY622" s="827"/>
      <c r="BD622" s="577"/>
      <c r="BE622" s="578"/>
      <c r="BF622" s="578"/>
      <c r="BG622" s="578"/>
      <c r="BH622" s="578"/>
      <c r="BI622" s="578"/>
      <c r="BJ622" s="578"/>
      <c r="BK622" s="578"/>
      <c r="BL622" s="578"/>
      <c r="BM622" s="578"/>
      <c r="BN622" s="578"/>
      <c r="BO622" s="578"/>
      <c r="BP622" s="578"/>
      <c r="BQ622" s="578"/>
      <c r="BR622" s="578"/>
      <c r="BS622" s="578"/>
      <c r="BT622" s="578"/>
      <c r="BU622" s="578"/>
      <c r="BV622" s="578"/>
      <c r="BW622" s="578"/>
    </row>
    <row r="623" spans="2:75" ht="14.25" customHeight="1" x14ac:dyDescent="0.3">
      <c r="B623" s="823"/>
      <c r="D623" s="824"/>
      <c r="I623" s="825"/>
      <c r="AR623" s="826"/>
      <c r="AY623" s="827"/>
      <c r="BD623" s="577"/>
      <c r="BE623" s="578"/>
      <c r="BF623" s="578"/>
      <c r="BG623" s="578"/>
      <c r="BH623" s="578"/>
      <c r="BI623" s="578"/>
      <c r="BJ623" s="578"/>
      <c r="BK623" s="578"/>
      <c r="BL623" s="578"/>
      <c r="BM623" s="578"/>
      <c r="BN623" s="578"/>
      <c r="BO623" s="578"/>
      <c r="BP623" s="578"/>
      <c r="BQ623" s="578"/>
      <c r="BR623" s="578"/>
      <c r="BS623" s="578"/>
      <c r="BT623" s="578"/>
      <c r="BU623" s="578"/>
      <c r="BV623" s="578"/>
      <c r="BW623" s="578"/>
    </row>
    <row r="624" spans="2:75" ht="14.25" customHeight="1" x14ac:dyDescent="0.3">
      <c r="B624" s="823"/>
      <c r="D624" s="824"/>
      <c r="I624" s="825"/>
      <c r="AR624" s="826"/>
      <c r="AY624" s="827"/>
      <c r="BD624" s="577"/>
      <c r="BE624" s="578"/>
      <c r="BF624" s="578"/>
      <c r="BG624" s="578"/>
      <c r="BH624" s="578"/>
      <c r="BI624" s="578"/>
      <c r="BJ624" s="578"/>
      <c r="BK624" s="578"/>
      <c r="BL624" s="578"/>
      <c r="BM624" s="578"/>
      <c r="BN624" s="578"/>
      <c r="BO624" s="578"/>
      <c r="BP624" s="578"/>
      <c r="BQ624" s="578"/>
      <c r="BR624" s="578"/>
      <c r="BS624" s="578"/>
      <c r="BT624" s="578"/>
      <c r="BU624" s="578"/>
      <c r="BV624" s="578"/>
      <c r="BW624" s="578"/>
    </row>
    <row r="625" spans="2:75" ht="14.25" customHeight="1" x14ac:dyDescent="0.3">
      <c r="B625" s="823"/>
      <c r="D625" s="824"/>
      <c r="I625" s="825"/>
      <c r="AR625" s="826"/>
      <c r="AY625" s="827"/>
      <c r="BD625" s="577"/>
      <c r="BE625" s="578"/>
      <c r="BF625" s="578"/>
      <c r="BG625" s="578"/>
      <c r="BH625" s="578"/>
      <c r="BI625" s="578"/>
      <c r="BJ625" s="578"/>
      <c r="BK625" s="578"/>
      <c r="BL625" s="578"/>
      <c r="BM625" s="578"/>
      <c r="BN625" s="578"/>
      <c r="BO625" s="578"/>
      <c r="BP625" s="578"/>
      <c r="BQ625" s="578"/>
      <c r="BR625" s="578"/>
      <c r="BS625" s="578"/>
      <c r="BT625" s="578"/>
      <c r="BU625" s="578"/>
      <c r="BV625" s="578"/>
      <c r="BW625" s="578"/>
    </row>
    <row r="626" spans="2:75" ht="14.25" customHeight="1" x14ac:dyDescent="0.3">
      <c r="B626" s="823"/>
      <c r="D626" s="824"/>
      <c r="I626" s="825"/>
      <c r="AR626" s="826"/>
      <c r="AY626" s="827"/>
      <c r="BD626" s="577"/>
      <c r="BE626" s="578"/>
      <c r="BF626" s="578"/>
      <c r="BG626" s="578"/>
      <c r="BH626" s="578"/>
      <c r="BI626" s="578"/>
      <c r="BJ626" s="578"/>
      <c r="BK626" s="578"/>
      <c r="BL626" s="578"/>
      <c r="BM626" s="578"/>
      <c r="BN626" s="578"/>
      <c r="BO626" s="578"/>
      <c r="BP626" s="578"/>
      <c r="BQ626" s="578"/>
      <c r="BR626" s="578"/>
      <c r="BS626" s="578"/>
      <c r="BT626" s="578"/>
      <c r="BU626" s="578"/>
      <c r="BV626" s="578"/>
      <c r="BW626" s="578"/>
    </row>
    <row r="627" spans="2:75" ht="14.25" customHeight="1" x14ac:dyDescent="0.3">
      <c r="B627" s="823"/>
      <c r="D627" s="824"/>
      <c r="I627" s="825"/>
      <c r="AR627" s="826"/>
      <c r="AY627" s="827"/>
      <c r="BD627" s="577"/>
      <c r="BE627" s="578"/>
      <c r="BF627" s="578"/>
      <c r="BG627" s="578"/>
      <c r="BH627" s="578"/>
      <c r="BI627" s="578"/>
      <c r="BJ627" s="578"/>
      <c r="BK627" s="578"/>
      <c r="BL627" s="578"/>
      <c r="BM627" s="578"/>
      <c r="BN627" s="578"/>
      <c r="BO627" s="578"/>
      <c r="BP627" s="578"/>
      <c r="BQ627" s="578"/>
      <c r="BR627" s="578"/>
      <c r="BS627" s="578"/>
      <c r="BT627" s="578"/>
      <c r="BU627" s="578"/>
      <c r="BV627" s="578"/>
      <c r="BW627" s="578"/>
    </row>
    <row r="628" spans="2:75" ht="14.25" customHeight="1" x14ac:dyDescent="0.3">
      <c r="B628" s="823"/>
      <c r="D628" s="824"/>
      <c r="I628" s="825"/>
      <c r="AR628" s="826"/>
      <c r="AY628" s="827"/>
      <c r="BD628" s="577"/>
      <c r="BE628" s="578"/>
      <c r="BF628" s="578"/>
      <c r="BG628" s="578"/>
      <c r="BH628" s="578"/>
      <c r="BI628" s="578"/>
      <c r="BJ628" s="578"/>
      <c r="BK628" s="578"/>
      <c r="BL628" s="578"/>
      <c r="BM628" s="578"/>
      <c r="BN628" s="578"/>
      <c r="BO628" s="578"/>
      <c r="BP628" s="578"/>
      <c r="BQ628" s="578"/>
      <c r="BR628" s="578"/>
      <c r="BS628" s="578"/>
      <c r="BT628" s="578"/>
      <c r="BU628" s="578"/>
      <c r="BV628" s="578"/>
      <c r="BW628" s="578"/>
    </row>
    <row r="629" spans="2:75" ht="14.25" customHeight="1" x14ac:dyDescent="0.3">
      <c r="B629" s="823"/>
      <c r="D629" s="824"/>
      <c r="I629" s="825"/>
      <c r="AR629" s="826"/>
      <c r="AY629" s="827"/>
      <c r="BD629" s="577"/>
      <c r="BE629" s="578"/>
      <c r="BF629" s="578"/>
      <c r="BG629" s="578"/>
      <c r="BH629" s="578"/>
      <c r="BI629" s="578"/>
      <c r="BJ629" s="578"/>
      <c r="BK629" s="578"/>
      <c r="BL629" s="578"/>
      <c r="BM629" s="578"/>
      <c r="BN629" s="578"/>
      <c r="BO629" s="578"/>
      <c r="BP629" s="578"/>
      <c r="BQ629" s="578"/>
      <c r="BR629" s="578"/>
      <c r="BS629" s="578"/>
      <c r="BT629" s="578"/>
      <c r="BU629" s="578"/>
      <c r="BV629" s="578"/>
      <c r="BW629" s="578"/>
    </row>
    <row r="630" spans="2:75" ht="14.25" customHeight="1" x14ac:dyDescent="0.3">
      <c r="B630" s="823"/>
      <c r="D630" s="824"/>
      <c r="I630" s="825"/>
      <c r="AR630" s="826"/>
      <c r="AY630" s="827"/>
      <c r="BD630" s="577"/>
      <c r="BE630" s="578"/>
      <c r="BF630" s="578"/>
      <c r="BG630" s="578"/>
      <c r="BH630" s="578"/>
      <c r="BI630" s="578"/>
      <c r="BJ630" s="578"/>
      <c r="BK630" s="578"/>
      <c r="BL630" s="578"/>
      <c r="BM630" s="578"/>
      <c r="BN630" s="578"/>
      <c r="BO630" s="578"/>
      <c r="BP630" s="578"/>
      <c r="BQ630" s="578"/>
      <c r="BR630" s="578"/>
      <c r="BS630" s="578"/>
      <c r="BT630" s="578"/>
      <c r="BU630" s="578"/>
      <c r="BV630" s="578"/>
      <c r="BW630" s="578"/>
    </row>
    <row r="631" spans="2:75" ht="14.25" customHeight="1" x14ac:dyDescent="0.3">
      <c r="B631" s="823"/>
      <c r="D631" s="824"/>
      <c r="I631" s="825"/>
      <c r="AR631" s="826"/>
      <c r="AY631" s="827"/>
      <c r="BD631" s="577"/>
      <c r="BE631" s="578"/>
      <c r="BF631" s="578"/>
      <c r="BG631" s="578"/>
      <c r="BH631" s="578"/>
      <c r="BI631" s="578"/>
      <c r="BJ631" s="578"/>
      <c r="BK631" s="578"/>
      <c r="BL631" s="578"/>
      <c r="BM631" s="578"/>
      <c r="BN631" s="578"/>
      <c r="BO631" s="578"/>
      <c r="BP631" s="578"/>
      <c r="BQ631" s="578"/>
      <c r="BR631" s="578"/>
      <c r="BS631" s="578"/>
      <c r="BT631" s="578"/>
      <c r="BU631" s="578"/>
      <c r="BV631" s="578"/>
      <c r="BW631" s="578"/>
    </row>
    <row r="632" spans="2:75" ht="14.25" customHeight="1" x14ac:dyDescent="0.3">
      <c r="B632" s="823"/>
      <c r="D632" s="824"/>
      <c r="I632" s="825"/>
      <c r="AR632" s="826"/>
      <c r="AY632" s="827"/>
      <c r="BD632" s="577"/>
      <c r="BE632" s="578"/>
      <c r="BF632" s="578"/>
      <c r="BG632" s="578"/>
      <c r="BH632" s="578"/>
      <c r="BI632" s="578"/>
      <c r="BJ632" s="578"/>
      <c r="BK632" s="578"/>
      <c r="BL632" s="578"/>
      <c r="BM632" s="578"/>
      <c r="BN632" s="578"/>
      <c r="BO632" s="578"/>
      <c r="BP632" s="578"/>
      <c r="BQ632" s="578"/>
      <c r="BR632" s="578"/>
      <c r="BS632" s="578"/>
      <c r="BT632" s="578"/>
      <c r="BU632" s="578"/>
      <c r="BV632" s="578"/>
      <c r="BW632" s="578"/>
    </row>
    <row r="633" spans="2:75" ht="14.25" customHeight="1" x14ac:dyDescent="0.3">
      <c r="B633" s="823"/>
      <c r="D633" s="824"/>
      <c r="I633" s="825"/>
      <c r="AR633" s="826"/>
      <c r="AY633" s="827"/>
      <c r="BD633" s="577"/>
      <c r="BE633" s="578"/>
      <c r="BF633" s="578"/>
      <c r="BG633" s="578"/>
      <c r="BH633" s="578"/>
      <c r="BI633" s="578"/>
      <c r="BJ633" s="578"/>
      <c r="BK633" s="578"/>
      <c r="BL633" s="578"/>
      <c r="BM633" s="578"/>
      <c r="BN633" s="578"/>
      <c r="BO633" s="578"/>
      <c r="BP633" s="578"/>
      <c r="BQ633" s="578"/>
      <c r="BR633" s="578"/>
      <c r="BS633" s="578"/>
      <c r="BT633" s="578"/>
      <c r="BU633" s="578"/>
      <c r="BV633" s="578"/>
      <c r="BW633" s="578"/>
    </row>
    <row r="634" spans="2:75" ht="14.25" customHeight="1" x14ac:dyDescent="0.3">
      <c r="B634" s="823"/>
      <c r="D634" s="824"/>
      <c r="I634" s="825"/>
      <c r="AR634" s="826"/>
      <c r="AY634" s="827"/>
      <c r="BD634" s="577"/>
      <c r="BE634" s="578"/>
      <c r="BF634" s="578"/>
      <c r="BG634" s="578"/>
      <c r="BH634" s="578"/>
      <c r="BI634" s="578"/>
      <c r="BJ634" s="578"/>
      <c r="BK634" s="578"/>
      <c r="BL634" s="578"/>
      <c r="BM634" s="578"/>
      <c r="BN634" s="578"/>
      <c r="BO634" s="578"/>
      <c r="BP634" s="578"/>
      <c r="BQ634" s="578"/>
      <c r="BR634" s="578"/>
      <c r="BS634" s="578"/>
      <c r="BT634" s="578"/>
      <c r="BU634" s="578"/>
      <c r="BV634" s="578"/>
      <c r="BW634" s="578"/>
    </row>
    <row r="635" spans="2:75" ht="14.25" customHeight="1" x14ac:dyDescent="0.3">
      <c r="B635" s="823"/>
      <c r="D635" s="824"/>
      <c r="I635" s="825"/>
      <c r="AR635" s="826"/>
      <c r="AY635" s="827"/>
      <c r="BD635" s="577"/>
      <c r="BE635" s="578"/>
      <c r="BF635" s="578"/>
      <c r="BG635" s="578"/>
      <c r="BH635" s="578"/>
      <c r="BI635" s="578"/>
      <c r="BJ635" s="578"/>
      <c r="BK635" s="578"/>
      <c r="BL635" s="578"/>
      <c r="BM635" s="578"/>
      <c r="BN635" s="578"/>
      <c r="BO635" s="578"/>
      <c r="BP635" s="578"/>
      <c r="BQ635" s="578"/>
      <c r="BR635" s="578"/>
      <c r="BS635" s="578"/>
      <c r="BT635" s="578"/>
      <c r="BU635" s="578"/>
      <c r="BV635" s="578"/>
      <c r="BW635" s="578"/>
    </row>
    <row r="636" spans="2:75" ht="14.25" customHeight="1" x14ac:dyDescent="0.3">
      <c r="B636" s="823"/>
      <c r="D636" s="824"/>
      <c r="I636" s="825"/>
      <c r="AR636" s="826"/>
      <c r="AY636" s="827"/>
      <c r="BD636" s="577"/>
      <c r="BE636" s="578"/>
      <c r="BF636" s="578"/>
      <c r="BG636" s="578"/>
      <c r="BH636" s="578"/>
      <c r="BI636" s="578"/>
      <c r="BJ636" s="578"/>
      <c r="BK636" s="578"/>
      <c r="BL636" s="578"/>
      <c r="BM636" s="578"/>
      <c r="BN636" s="578"/>
      <c r="BO636" s="578"/>
      <c r="BP636" s="578"/>
      <c r="BQ636" s="578"/>
      <c r="BR636" s="578"/>
      <c r="BS636" s="578"/>
      <c r="BT636" s="578"/>
      <c r="BU636" s="578"/>
      <c r="BV636" s="578"/>
      <c r="BW636" s="578"/>
    </row>
    <row r="637" spans="2:75" ht="14.25" customHeight="1" x14ac:dyDescent="0.3">
      <c r="B637" s="823"/>
      <c r="D637" s="824"/>
      <c r="I637" s="825"/>
      <c r="AR637" s="826"/>
      <c r="AY637" s="827"/>
      <c r="BD637" s="577"/>
      <c r="BE637" s="578"/>
      <c r="BF637" s="578"/>
      <c r="BG637" s="578"/>
      <c r="BH637" s="578"/>
      <c r="BI637" s="578"/>
      <c r="BJ637" s="578"/>
      <c r="BK637" s="578"/>
      <c r="BL637" s="578"/>
      <c r="BM637" s="578"/>
      <c r="BN637" s="578"/>
      <c r="BO637" s="578"/>
      <c r="BP637" s="578"/>
      <c r="BQ637" s="578"/>
      <c r="BR637" s="578"/>
      <c r="BS637" s="578"/>
      <c r="BT637" s="578"/>
      <c r="BU637" s="578"/>
      <c r="BV637" s="578"/>
      <c r="BW637" s="578"/>
    </row>
    <row r="638" spans="2:75" ht="14.25" customHeight="1" x14ac:dyDescent="0.3">
      <c r="B638" s="823"/>
      <c r="D638" s="824"/>
      <c r="I638" s="825"/>
      <c r="AR638" s="826"/>
      <c r="AY638" s="827"/>
      <c r="BD638" s="577"/>
      <c r="BE638" s="578"/>
      <c r="BF638" s="578"/>
      <c r="BG638" s="578"/>
      <c r="BH638" s="578"/>
      <c r="BI638" s="578"/>
      <c r="BJ638" s="578"/>
      <c r="BK638" s="578"/>
      <c r="BL638" s="578"/>
      <c r="BM638" s="578"/>
      <c r="BN638" s="578"/>
      <c r="BO638" s="578"/>
      <c r="BP638" s="578"/>
      <c r="BQ638" s="578"/>
      <c r="BR638" s="578"/>
      <c r="BS638" s="578"/>
      <c r="BT638" s="578"/>
      <c r="BU638" s="578"/>
      <c r="BV638" s="578"/>
      <c r="BW638" s="578"/>
    </row>
    <row r="639" spans="2:75" ht="14.25" customHeight="1" x14ac:dyDescent="0.3">
      <c r="B639" s="823"/>
      <c r="D639" s="824"/>
      <c r="I639" s="825"/>
      <c r="AR639" s="826"/>
      <c r="AY639" s="827"/>
      <c r="BD639" s="577"/>
      <c r="BE639" s="578"/>
      <c r="BF639" s="578"/>
      <c r="BG639" s="578"/>
      <c r="BH639" s="578"/>
      <c r="BI639" s="578"/>
      <c r="BJ639" s="578"/>
      <c r="BK639" s="578"/>
      <c r="BL639" s="578"/>
      <c r="BM639" s="578"/>
      <c r="BN639" s="578"/>
      <c r="BO639" s="578"/>
      <c r="BP639" s="578"/>
      <c r="BQ639" s="578"/>
      <c r="BR639" s="578"/>
      <c r="BS639" s="578"/>
      <c r="BT639" s="578"/>
      <c r="BU639" s="578"/>
      <c r="BV639" s="578"/>
      <c r="BW639" s="578"/>
    </row>
    <row r="640" spans="2:75" ht="14.25" customHeight="1" x14ac:dyDescent="0.3">
      <c r="B640" s="823"/>
      <c r="D640" s="824"/>
      <c r="I640" s="825"/>
      <c r="AR640" s="826"/>
      <c r="AY640" s="827"/>
      <c r="BD640" s="577"/>
      <c r="BE640" s="578"/>
      <c r="BF640" s="578"/>
      <c r="BG640" s="578"/>
      <c r="BH640" s="578"/>
      <c r="BI640" s="578"/>
      <c r="BJ640" s="578"/>
      <c r="BK640" s="578"/>
      <c r="BL640" s="578"/>
      <c r="BM640" s="578"/>
      <c r="BN640" s="578"/>
      <c r="BO640" s="578"/>
      <c r="BP640" s="578"/>
      <c r="BQ640" s="578"/>
      <c r="BR640" s="578"/>
      <c r="BS640" s="578"/>
      <c r="BT640" s="578"/>
      <c r="BU640" s="578"/>
      <c r="BV640" s="578"/>
      <c r="BW640" s="578"/>
    </row>
    <row r="641" spans="2:75" ht="14.25" customHeight="1" x14ac:dyDescent="0.3">
      <c r="B641" s="823"/>
      <c r="D641" s="824"/>
      <c r="I641" s="825"/>
      <c r="AR641" s="826"/>
      <c r="AY641" s="827"/>
      <c r="BD641" s="577"/>
      <c r="BE641" s="578"/>
      <c r="BF641" s="578"/>
      <c r="BG641" s="578"/>
      <c r="BH641" s="578"/>
      <c r="BI641" s="578"/>
      <c r="BJ641" s="578"/>
      <c r="BK641" s="578"/>
      <c r="BL641" s="578"/>
      <c r="BM641" s="578"/>
      <c r="BN641" s="578"/>
      <c r="BO641" s="578"/>
      <c r="BP641" s="578"/>
      <c r="BQ641" s="578"/>
      <c r="BR641" s="578"/>
      <c r="BS641" s="578"/>
      <c r="BT641" s="578"/>
      <c r="BU641" s="578"/>
      <c r="BV641" s="578"/>
      <c r="BW641" s="578"/>
    </row>
    <row r="642" spans="2:75" ht="14.25" customHeight="1" x14ac:dyDescent="0.3">
      <c r="B642" s="823"/>
      <c r="D642" s="824"/>
      <c r="I642" s="825"/>
      <c r="AR642" s="826"/>
      <c r="AY642" s="827"/>
      <c r="BD642" s="577"/>
      <c r="BE642" s="578"/>
      <c r="BF642" s="578"/>
      <c r="BG642" s="578"/>
      <c r="BH642" s="578"/>
      <c r="BI642" s="578"/>
      <c r="BJ642" s="578"/>
      <c r="BK642" s="578"/>
      <c r="BL642" s="578"/>
      <c r="BM642" s="578"/>
      <c r="BN642" s="578"/>
      <c r="BO642" s="578"/>
      <c r="BP642" s="578"/>
      <c r="BQ642" s="578"/>
      <c r="BR642" s="578"/>
      <c r="BS642" s="578"/>
      <c r="BT642" s="578"/>
      <c r="BU642" s="578"/>
      <c r="BV642" s="578"/>
      <c r="BW642" s="578"/>
    </row>
    <row r="643" spans="2:75" ht="14.25" customHeight="1" x14ac:dyDescent="0.3">
      <c r="B643" s="823"/>
      <c r="D643" s="824"/>
      <c r="I643" s="825"/>
      <c r="AR643" s="826"/>
      <c r="AY643" s="827"/>
      <c r="BD643" s="577"/>
      <c r="BE643" s="578"/>
      <c r="BF643" s="578"/>
      <c r="BG643" s="578"/>
      <c r="BH643" s="578"/>
      <c r="BI643" s="578"/>
      <c r="BJ643" s="578"/>
      <c r="BK643" s="578"/>
      <c r="BL643" s="578"/>
      <c r="BM643" s="578"/>
      <c r="BN643" s="578"/>
      <c r="BO643" s="578"/>
      <c r="BP643" s="578"/>
      <c r="BQ643" s="578"/>
      <c r="BR643" s="578"/>
      <c r="BS643" s="578"/>
      <c r="BT643" s="578"/>
      <c r="BU643" s="578"/>
      <c r="BV643" s="578"/>
      <c r="BW643" s="578"/>
    </row>
    <row r="644" spans="2:75" ht="14.25" customHeight="1" x14ac:dyDescent="0.3">
      <c r="B644" s="823"/>
      <c r="D644" s="824"/>
      <c r="I644" s="825"/>
      <c r="AR644" s="826"/>
      <c r="AY644" s="827"/>
      <c r="BD644" s="577"/>
      <c r="BE644" s="578"/>
      <c r="BF644" s="578"/>
      <c r="BG644" s="578"/>
      <c r="BH644" s="578"/>
      <c r="BI644" s="578"/>
      <c r="BJ644" s="578"/>
      <c r="BK644" s="578"/>
      <c r="BL644" s="578"/>
      <c r="BM644" s="578"/>
      <c r="BN644" s="578"/>
      <c r="BO644" s="578"/>
      <c r="BP644" s="578"/>
      <c r="BQ644" s="578"/>
      <c r="BR644" s="578"/>
      <c r="BS644" s="578"/>
      <c r="BT644" s="578"/>
      <c r="BU644" s="578"/>
      <c r="BV644" s="578"/>
      <c r="BW644" s="578"/>
    </row>
    <row r="645" spans="2:75" ht="14.25" customHeight="1" x14ac:dyDescent="0.3">
      <c r="B645" s="823"/>
      <c r="D645" s="824"/>
      <c r="I645" s="825"/>
      <c r="AR645" s="826"/>
      <c r="AY645" s="827"/>
      <c r="BD645" s="577"/>
      <c r="BE645" s="578"/>
      <c r="BF645" s="578"/>
      <c r="BG645" s="578"/>
      <c r="BH645" s="578"/>
      <c r="BI645" s="578"/>
      <c r="BJ645" s="578"/>
      <c r="BK645" s="578"/>
      <c r="BL645" s="578"/>
      <c r="BM645" s="578"/>
      <c r="BN645" s="578"/>
      <c r="BO645" s="578"/>
      <c r="BP645" s="578"/>
      <c r="BQ645" s="578"/>
      <c r="BR645" s="578"/>
      <c r="BS645" s="578"/>
      <c r="BT645" s="578"/>
      <c r="BU645" s="578"/>
      <c r="BV645" s="578"/>
      <c r="BW645" s="578"/>
    </row>
    <row r="646" spans="2:75" ht="14.25" customHeight="1" x14ac:dyDescent="0.3">
      <c r="B646" s="823"/>
      <c r="D646" s="824"/>
      <c r="I646" s="825"/>
      <c r="AR646" s="826"/>
      <c r="AY646" s="827"/>
      <c r="BD646" s="577"/>
      <c r="BE646" s="578"/>
      <c r="BF646" s="578"/>
      <c r="BG646" s="578"/>
      <c r="BH646" s="578"/>
      <c r="BI646" s="578"/>
      <c r="BJ646" s="578"/>
      <c r="BK646" s="578"/>
      <c r="BL646" s="578"/>
      <c r="BM646" s="578"/>
      <c r="BN646" s="578"/>
      <c r="BO646" s="578"/>
      <c r="BP646" s="578"/>
      <c r="BQ646" s="578"/>
      <c r="BR646" s="578"/>
      <c r="BS646" s="578"/>
      <c r="BT646" s="578"/>
      <c r="BU646" s="578"/>
      <c r="BV646" s="578"/>
      <c r="BW646" s="578"/>
    </row>
    <row r="647" spans="2:75" ht="14.25" customHeight="1" x14ac:dyDescent="0.3">
      <c r="B647" s="823"/>
      <c r="D647" s="824"/>
      <c r="I647" s="825"/>
      <c r="AR647" s="826"/>
      <c r="AY647" s="827"/>
      <c r="BD647" s="577"/>
      <c r="BE647" s="578"/>
      <c r="BF647" s="578"/>
      <c r="BG647" s="578"/>
      <c r="BH647" s="578"/>
      <c r="BI647" s="578"/>
      <c r="BJ647" s="578"/>
      <c r="BK647" s="578"/>
      <c r="BL647" s="578"/>
      <c r="BM647" s="578"/>
      <c r="BN647" s="578"/>
      <c r="BO647" s="578"/>
      <c r="BP647" s="578"/>
      <c r="BQ647" s="578"/>
      <c r="BR647" s="578"/>
      <c r="BS647" s="578"/>
      <c r="BT647" s="578"/>
      <c r="BU647" s="578"/>
      <c r="BV647" s="578"/>
      <c r="BW647" s="578"/>
    </row>
    <row r="648" spans="2:75" ht="14.25" customHeight="1" x14ac:dyDescent="0.3">
      <c r="B648" s="823"/>
      <c r="D648" s="824"/>
      <c r="I648" s="825"/>
      <c r="AR648" s="826"/>
      <c r="AY648" s="827"/>
      <c r="BD648" s="577"/>
      <c r="BE648" s="578"/>
      <c r="BF648" s="578"/>
      <c r="BG648" s="578"/>
      <c r="BH648" s="578"/>
      <c r="BI648" s="578"/>
      <c r="BJ648" s="578"/>
      <c r="BK648" s="578"/>
      <c r="BL648" s="578"/>
      <c r="BM648" s="578"/>
      <c r="BN648" s="578"/>
      <c r="BO648" s="578"/>
      <c r="BP648" s="578"/>
      <c r="BQ648" s="578"/>
      <c r="BR648" s="578"/>
      <c r="BS648" s="578"/>
      <c r="BT648" s="578"/>
      <c r="BU648" s="578"/>
      <c r="BV648" s="578"/>
      <c r="BW648" s="578"/>
    </row>
    <row r="649" spans="2:75" ht="14.25" customHeight="1" x14ac:dyDescent="0.3">
      <c r="B649" s="823"/>
      <c r="D649" s="824"/>
      <c r="I649" s="825"/>
      <c r="AR649" s="826"/>
      <c r="AY649" s="827"/>
      <c r="BD649" s="577"/>
      <c r="BE649" s="578"/>
      <c r="BF649" s="578"/>
      <c r="BG649" s="578"/>
      <c r="BH649" s="578"/>
      <c r="BI649" s="578"/>
      <c r="BJ649" s="578"/>
      <c r="BK649" s="578"/>
      <c r="BL649" s="578"/>
      <c r="BM649" s="578"/>
      <c r="BN649" s="578"/>
      <c r="BO649" s="578"/>
      <c r="BP649" s="578"/>
      <c r="BQ649" s="578"/>
      <c r="BR649" s="578"/>
      <c r="BS649" s="578"/>
      <c r="BT649" s="578"/>
      <c r="BU649" s="578"/>
      <c r="BV649" s="578"/>
      <c r="BW649" s="578"/>
    </row>
    <row r="650" spans="2:75" ht="14.25" customHeight="1" x14ac:dyDescent="0.3">
      <c r="B650" s="823"/>
      <c r="D650" s="824"/>
      <c r="I650" s="825"/>
      <c r="AR650" s="826"/>
      <c r="AY650" s="827"/>
      <c r="BD650" s="577"/>
      <c r="BE650" s="578"/>
      <c r="BF650" s="578"/>
      <c r="BG650" s="578"/>
      <c r="BH650" s="578"/>
      <c r="BI650" s="578"/>
      <c r="BJ650" s="578"/>
      <c r="BK650" s="578"/>
      <c r="BL650" s="578"/>
      <c r="BM650" s="578"/>
      <c r="BN650" s="578"/>
      <c r="BO650" s="578"/>
      <c r="BP650" s="578"/>
      <c r="BQ650" s="578"/>
      <c r="BR650" s="578"/>
      <c r="BS650" s="578"/>
      <c r="BT650" s="578"/>
      <c r="BU650" s="578"/>
      <c r="BV650" s="578"/>
      <c r="BW650" s="578"/>
    </row>
    <row r="651" spans="2:75" ht="14.25" customHeight="1" x14ac:dyDescent="0.3">
      <c r="B651" s="823"/>
      <c r="D651" s="824"/>
      <c r="I651" s="825"/>
      <c r="AR651" s="826"/>
      <c r="AY651" s="827"/>
      <c r="BD651" s="577"/>
      <c r="BE651" s="578"/>
      <c r="BF651" s="578"/>
      <c r="BG651" s="578"/>
      <c r="BH651" s="578"/>
      <c r="BI651" s="578"/>
      <c r="BJ651" s="578"/>
      <c r="BK651" s="578"/>
      <c r="BL651" s="578"/>
      <c r="BM651" s="578"/>
      <c r="BN651" s="578"/>
      <c r="BO651" s="578"/>
      <c r="BP651" s="578"/>
      <c r="BQ651" s="578"/>
      <c r="BR651" s="578"/>
      <c r="BS651" s="578"/>
      <c r="BT651" s="578"/>
      <c r="BU651" s="578"/>
      <c r="BV651" s="578"/>
      <c r="BW651" s="578"/>
    </row>
    <row r="652" spans="2:75" ht="14.25" customHeight="1" x14ac:dyDescent="0.3">
      <c r="B652" s="823"/>
      <c r="D652" s="824"/>
      <c r="I652" s="825"/>
      <c r="AR652" s="826"/>
      <c r="AY652" s="827"/>
      <c r="BD652" s="577"/>
      <c r="BE652" s="578"/>
      <c r="BF652" s="578"/>
      <c r="BG652" s="578"/>
      <c r="BH652" s="578"/>
      <c r="BI652" s="578"/>
      <c r="BJ652" s="578"/>
      <c r="BK652" s="578"/>
      <c r="BL652" s="578"/>
      <c r="BM652" s="578"/>
      <c r="BN652" s="578"/>
      <c r="BO652" s="578"/>
      <c r="BP652" s="578"/>
      <c r="BQ652" s="578"/>
      <c r="BR652" s="578"/>
      <c r="BS652" s="578"/>
      <c r="BT652" s="578"/>
      <c r="BU652" s="578"/>
      <c r="BV652" s="578"/>
      <c r="BW652" s="578"/>
    </row>
    <row r="653" spans="2:75" ht="14.25" customHeight="1" x14ac:dyDescent="0.3">
      <c r="B653" s="823"/>
      <c r="D653" s="824"/>
      <c r="I653" s="825"/>
      <c r="AR653" s="826"/>
      <c r="AY653" s="827"/>
      <c r="BD653" s="577"/>
      <c r="BE653" s="578"/>
      <c r="BF653" s="578"/>
      <c r="BG653" s="578"/>
      <c r="BH653" s="578"/>
      <c r="BI653" s="578"/>
      <c r="BJ653" s="578"/>
      <c r="BK653" s="578"/>
      <c r="BL653" s="578"/>
      <c r="BM653" s="578"/>
      <c r="BN653" s="578"/>
      <c r="BO653" s="578"/>
      <c r="BP653" s="578"/>
      <c r="BQ653" s="578"/>
      <c r="BR653" s="578"/>
      <c r="BS653" s="578"/>
      <c r="BT653" s="578"/>
      <c r="BU653" s="578"/>
      <c r="BV653" s="578"/>
      <c r="BW653" s="578"/>
    </row>
    <row r="654" spans="2:75" ht="14.25" customHeight="1" x14ac:dyDescent="0.3">
      <c r="B654" s="823"/>
      <c r="D654" s="824"/>
      <c r="I654" s="825"/>
      <c r="AR654" s="826"/>
      <c r="AY654" s="827"/>
      <c r="BD654" s="577"/>
      <c r="BE654" s="578"/>
      <c r="BF654" s="578"/>
      <c r="BG654" s="578"/>
      <c r="BH654" s="578"/>
      <c r="BI654" s="578"/>
      <c r="BJ654" s="578"/>
      <c r="BK654" s="578"/>
      <c r="BL654" s="578"/>
      <c r="BM654" s="578"/>
      <c r="BN654" s="578"/>
      <c r="BO654" s="578"/>
      <c r="BP654" s="578"/>
      <c r="BQ654" s="578"/>
      <c r="BR654" s="578"/>
      <c r="BS654" s="578"/>
      <c r="BT654" s="578"/>
      <c r="BU654" s="578"/>
      <c r="BV654" s="578"/>
      <c r="BW654" s="578"/>
    </row>
    <row r="655" spans="2:75" ht="14.25" customHeight="1" x14ac:dyDescent="0.3">
      <c r="B655" s="823"/>
      <c r="D655" s="824"/>
      <c r="I655" s="825"/>
      <c r="AR655" s="826"/>
      <c r="AY655" s="827"/>
      <c r="BD655" s="577"/>
      <c r="BE655" s="578"/>
      <c r="BF655" s="578"/>
      <c r="BG655" s="578"/>
      <c r="BH655" s="578"/>
      <c r="BI655" s="578"/>
      <c r="BJ655" s="578"/>
      <c r="BK655" s="578"/>
      <c r="BL655" s="578"/>
      <c r="BM655" s="578"/>
      <c r="BN655" s="578"/>
      <c r="BO655" s="578"/>
      <c r="BP655" s="578"/>
      <c r="BQ655" s="578"/>
      <c r="BR655" s="578"/>
      <c r="BS655" s="578"/>
      <c r="BT655" s="578"/>
      <c r="BU655" s="578"/>
      <c r="BV655" s="578"/>
      <c r="BW655" s="578"/>
    </row>
    <row r="656" spans="2:75" ht="14.25" customHeight="1" x14ac:dyDescent="0.3">
      <c r="B656" s="823"/>
      <c r="D656" s="824"/>
      <c r="I656" s="825"/>
      <c r="AR656" s="826"/>
      <c r="AY656" s="827"/>
      <c r="BD656" s="577"/>
      <c r="BE656" s="578"/>
      <c r="BF656" s="578"/>
      <c r="BG656" s="578"/>
      <c r="BH656" s="578"/>
      <c r="BI656" s="578"/>
      <c r="BJ656" s="578"/>
      <c r="BK656" s="578"/>
      <c r="BL656" s="578"/>
      <c r="BM656" s="578"/>
      <c r="BN656" s="578"/>
      <c r="BO656" s="578"/>
      <c r="BP656" s="578"/>
      <c r="BQ656" s="578"/>
      <c r="BR656" s="578"/>
      <c r="BS656" s="578"/>
      <c r="BT656" s="578"/>
      <c r="BU656" s="578"/>
      <c r="BV656" s="578"/>
      <c r="BW656" s="578"/>
    </row>
    <row r="657" spans="2:75" ht="14.25" customHeight="1" x14ac:dyDescent="0.3">
      <c r="B657" s="823"/>
      <c r="D657" s="824"/>
      <c r="I657" s="825"/>
      <c r="AR657" s="826"/>
      <c r="AY657" s="827"/>
      <c r="BD657" s="577"/>
      <c r="BE657" s="578"/>
      <c r="BF657" s="578"/>
      <c r="BG657" s="578"/>
      <c r="BH657" s="578"/>
      <c r="BI657" s="578"/>
      <c r="BJ657" s="578"/>
      <c r="BK657" s="578"/>
      <c r="BL657" s="578"/>
      <c r="BM657" s="578"/>
      <c r="BN657" s="578"/>
      <c r="BO657" s="578"/>
      <c r="BP657" s="578"/>
      <c r="BQ657" s="578"/>
      <c r="BR657" s="578"/>
      <c r="BS657" s="578"/>
      <c r="BT657" s="578"/>
      <c r="BU657" s="578"/>
      <c r="BV657" s="578"/>
      <c r="BW657" s="578"/>
    </row>
    <row r="658" spans="2:75" ht="14.25" customHeight="1" x14ac:dyDescent="0.3">
      <c r="B658" s="823"/>
      <c r="D658" s="824"/>
      <c r="I658" s="825"/>
      <c r="AR658" s="826"/>
      <c r="AY658" s="827"/>
      <c r="BD658" s="577"/>
      <c r="BE658" s="578"/>
      <c r="BF658" s="578"/>
      <c r="BG658" s="578"/>
      <c r="BH658" s="578"/>
      <c r="BI658" s="578"/>
      <c r="BJ658" s="578"/>
      <c r="BK658" s="578"/>
      <c r="BL658" s="578"/>
      <c r="BM658" s="578"/>
      <c r="BN658" s="578"/>
      <c r="BO658" s="578"/>
      <c r="BP658" s="578"/>
      <c r="BQ658" s="578"/>
      <c r="BR658" s="578"/>
      <c r="BS658" s="578"/>
      <c r="BT658" s="578"/>
      <c r="BU658" s="578"/>
      <c r="BV658" s="578"/>
      <c r="BW658" s="578"/>
    </row>
    <row r="659" spans="2:75" ht="14.25" customHeight="1" x14ac:dyDescent="0.3">
      <c r="B659" s="823"/>
      <c r="D659" s="824"/>
      <c r="I659" s="825"/>
      <c r="AR659" s="826"/>
      <c r="AY659" s="827"/>
      <c r="BD659" s="577"/>
      <c r="BE659" s="578"/>
      <c r="BF659" s="578"/>
      <c r="BG659" s="578"/>
      <c r="BH659" s="578"/>
      <c r="BI659" s="578"/>
      <c r="BJ659" s="578"/>
      <c r="BK659" s="578"/>
      <c r="BL659" s="578"/>
      <c r="BM659" s="578"/>
      <c r="BN659" s="578"/>
      <c r="BO659" s="578"/>
      <c r="BP659" s="578"/>
      <c r="BQ659" s="578"/>
      <c r="BR659" s="578"/>
      <c r="BS659" s="578"/>
      <c r="BT659" s="578"/>
      <c r="BU659" s="578"/>
      <c r="BV659" s="578"/>
      <c r="BW659" s="578"/>
    </row>
    <row r="660" spans="2:75" ht="14.25" customHeight="1" x14ac:dyDescent="0.3">
      <c r="B660" s="823"/>
      <c r="D660" s="824"/>
      <c r="I660" s="825"/>
      <c r="AR660" s="826"/>
      <c r="AY660" s="827"/>
      <c r="BD660" s="577"/>
      <c r="BE660" s="578"/>
      <c r="BF660" s="578"/>
      <c r="BG660" s="578"/>
      <c r="BH660" s="578"/>
      <c r="BI660" s="578"/>
      <c r="BJ660" s="578"/>
      <c r="BK660" s="578"/>
      <c r="BL660" s="578"/>
      <c r="BM660" s="578"/>
      <c r="BN660" s="578"/>
      <c r="BO660" s="578"/>
      <c r="BP660" s="578"/>
      <c r="BQ660" s="578"/>
      <c r="BR660" s="578"/>
      <c r="BS660" s="578"/>
      <c r="BT660" s="578"/>
      <c r="BU660" s="578"/>
      <c r="BV660" s="578"/>
      <c r="BW660" s="578"/>
    </row>
    <row r="661" spans="2:75" ht="14.25" customHeight="1" x14ac:dyDescent="0.3">
      <c r="B661" s="823"/>
      <c r="D661" s="824"/>
      <c r="I661" s="825"/>
      <c r="AR661" s="826"/>
      <c r="AY661" s="827"/>
      <c r="BD661" s="577"/>
      <c r="BE661" s="578"/>
      <c r="BF661" s="578"/>
      <c r="BG661" s="578"/>
      <c r="BH661" s="578"/>
      <c r="BI661" s="578"/>
      <c r="BJ661" s="578"/>
      <c r="BK661" s="578"/>
      <c r="BL661" s="578"/>
      <c r="BM661" s="578"/>
      <c r="BN661" s="578"/>
      <c r="BO661" s="578"/>
      <c r="BP661" s="578"/>
      <c r="BQ661" s="578"/>
      <c r="BR661" s="578"/>
      <c r="BS661" s="578"/>
      <c r="BT661" s="578"/>
      <c r="BU661" s="578"/>
      <c r="BV661" s="578"/>
      <c r="BW661" s="578"/>
    </row>
    <row r="662" spans="2:75" ht="14.25" customHeight="1" x14ac:dyDescent="0.3">
      <c r="B662" s="823"/>
      <c r="D662" s="824"/>
      <c r="I662" s="825"/>
      <c r="AR662" s="826"/>
      <c r="AY662" s="827"/>
      <c r="BD662" s="577"/>
      <c r="BE662" s="578"/>
      <c r="BF662" s="578"/>
      <c r="BG662" s="578"/>
      <c r="BH662" s="578"/>
      <c r="BI662" s="578"/>
      <c r="BJ662" s="578"/>
      <c r="BK662" s="578"/>
      <c r="BL662" s="578"/>
      <c r="BM662" s="578"/>
      <c r="BN662" s="578"/>
      <c r="BO662" s="578"/>
      <c r="BP662" s="578"/>
      <c r="BQ662" s="578"/>
      <c r="BR662" s="578"/>
      <c r="BS662" s="578"/>
      <c r="BT662" s="578"/>
      <c r="BU662" s="578"/>
      <c r="BV662" s="578"/>
      <c r="BW662" s="578"/>
    </row>
    <row r="663" spans="2:75" ht="14.25" customHeight="1" x14ac:dyDescent="0.3">
      <c r="B663" s="823"/>
      <c r="D663" s="824"/>
      <c r="I663" s="825"/>
      <c r="AR663" s="826"/>
      <c r="AY663" s="827"/>
      <c r="BD663" s="577"/>
      <c r="BE663" s="578"/>
      <c r="BF663" s="578"/>
      <c r="BG663" s="578"/>
      <c r="BH663" s="578"/>
      <c r="BI663" s="578"/>
      <c r="BJ663" s="578"/>
      <c r="BK663" s="578"/>
      <c r="BL663" s="578"/>
      <c r="BM663" s="578"/>
      <c r="BN663" s="578"/>
      <c r="BO663" s="578"/>
      <c r="BP663" s="578"/>
      <c r="BQ663" s="578"/>
      <c r="BR663" s="578"/>
      <c r="BS663" s="578"/>
      <c r="BT663" s="578"/>
      <c r="BU663" s="578"/>
      <c r="BV663" s="578"/>
      <c r="BW663" s="578"/>
    </row>
    <row r="664" spans="2:75" ht="14.25" customHeight="1" x14ac:dyDescent="0.3">
      <c r="B664" s="823"/>
      <c r="D664" s="824"/>
      <c r="I664" s="825"/>
      <c r="AR664" s="826"/>
      <c r="AY664" s="827"/>
      <c r="BD664" s="577"/>
      <c r="BE664" s="578"/>
      <c r="BF664" s="578"/>
      <c r="BG664" s="578"/>
      <c r="BH664" s="578"/>
      <c r="BI664" s="578"/>
      <c r="BJ664" s="578"/>
      <c r="BK664" s="578"/>
      <c r="BL664" s="578"/>
      <c r="BM664" s="578"/>
      <c r="BN664" s="578"/>
      <c r="BO664" s="578"/>
      <c r="BP664" s="578"/>
      <c r="BQ664" s="578"/>
      <c r="BR664" s="578"/>
      <c r="BS664" s="578"/>
      <c r="BT664" s="578"/>
      <c r="BU664" s="578"/>
      <c r="BV664" s="578"/>
      <c r="BW664" s="578"/>
    </row>
    <row r="665" spans="2:75" ht="14.25" customHeight="1" x14ac:dyDescent="0.3">
      <c r="B665" s="823"/>
      <c r="D665" s="824"/>
      <c r="I665" s="825"/>
      <c r="AR665" s="826"/>
      <c r="AY665" s="827"/>
      <c r="BD665" s="577"/>
      <c r="BE665" s="578"/>
      <c r="BF665" s="578"/>
      <c r="BG665" s="578"/>
      <c r="BH665" s="578"/>
      <c r="BI665" s="578"/>
      <c r="BJ665" s="578"/>
      <c r="BK665" s="578"/>
      <c r="BL665" s="578"/>
      <c r="BM665" s="578"/>
      <c r="BN665" s="578"/>
      <c r="BO665" s="578"/>
      <c r="BP665" s="578"/>
      <c r="BQ665" s="578"/>
      <c r="BR665" s="578"/>
      <c r="BS665" s="578"/>
      <c r="BT665" s="578"/>
      <c r="BU665" s="578"/>
      <c r="BV665" s="578"/>
      <c r="BW665" s="578"/>
    </row>
    <row r="666" spans="2:75" ht="14.25" customHeight="1" x14ac:dyDescent="0.3">
      <c r="B666" s="823"/>
      <c r="D666" s="824"/>
      <c r="I666" s="825"/>
      <c r="AR666" s="826"/>
      <c r="AY666" s="827"/>
      <c r="BD666" s="577"/>
      <c r="BE666" s="578"/>
      <c r="BF666" s="578"/>
      <c r="BG666" s="578"/>
      <c r="BH666" s="578"/>
      <c r="BI666" s="578"/>
      <c r="BJ666" s="578"/>
      <c r="BK666" s="578"/>
      <c r="BL666" s="578"/>
      <c r="BM666" s="578"/>
      <c r="BN666" s="578"/>
      <c r="BO666" s="578"/>
      <c r="BP666" s="578"/>
      <c r="BQ666" s="578"/>
      <c r="BR666" s="578"/>
      <c r="BS666" s="578"/>
      <c r="BT666" s="578"/>
      <c r="BU666" s="578"/>
      <c r="BV666" s="578"/>
      <c r="BW666" s="578"/>
    </row>
    <row r="667" spans="2:75" ht="14.25" customHeight="1" x14ac:dyDescent="0.3">
      <c r="B667" s="823"/>
      <c r="D667" s="824"/>
      <c r="I667" s="825"/>
      <c r="AR667" s="826"/>
      <c r="AY667" s="827"/>
      <c r="BD667" s="577"/>
      <c r="BE667" s="578"/>
      <c r="BF667" s="578"/>
      <c r="BG667" s="578"/>
      <c r="BH667" s="578"/>
      <c r="BI667" s="578"/>
      <c r="BJ667" s="578"/>
      <c r="BK667" s="578"/>
      <c r="BL667" s="578"/>
      <c r="BM667" s="578"/>
      <c r="BN667" s="578"/>
      <c r="BO667" s="578"/>
      <c r="BP667" s="578"/>
      <c r="BQ667" s="578"/>
      <c r="BR667" s="578"/>
      <c r="BS667" s="578"/>
      <c r="BT667" s="578"/>
      <c r="BU667" s="578"/>
      <c r="BV667" s="578"/>
      <c r="BW667" s="578"/>
    </row>
    <row r="668" spans="2:75" ht="14.25" customHeight="1" x14ac:dyDescent="0.3">
      <c r="B668" s="823"/>
      <c r="D668" s="824"/>
      <c r="I668" s="825"/>
      <c r="AR668" s="826"/>
      <c r="AY668" s="827"/>
      <c r="BD668" s="577"/>
      <c r="BE668" s="578"/>
      <c r="BF668" s="578"/>
      <c r="BG668" s="578"/>
      <c r="BH668" s="578"/>
      <c r="BI668" s="578"/>
      <c r="BJ668" s="578"/>
      <c r="BK668" s="578"/>
      <c r="BL668" s="578"/>
      <c r="BM668" s="578"/>
      <c r="BN668" s="578"/>
      <c r="BO668" s="578"/>
      <c r="BP668" s="578"/>
      <c r="BQ668" s="578"/>
      <c r="BR668" s="578"/>
      <c r="BS668" s="578"/>
      <c r="BT668" s="578"/>
      <c r="BU668" s="578"/>
      <c r="BV668" s="578"/>
      <c r="BW668" s="578"/>
    </row>
    <row r="669" spans="2:75" ht="14.25" customHeight="1" x14ac:dyDescent="0.3">
      <c r="B669" s="823"/>
      <c r="D669" s="824"/>
      <c r="I669" s="825"/>
      <c r="AR669" s="826"/>
      <c r="AY669" s="827"/>
      <c r="BD669" s="577"/>
      <c r="BE669" s="578"/>
      <c r="BF669" s="578"/>
      <c r="BG669" s="578"/>
      <c r="BH669" s="578"/>
      <c r="BI669" s="578"/>
      <c r="BJ669" s="578"/>
      <c r="BK669" s="578"/>
      <c r="BL669" s="578"/>
      <c r="BM669" s="578"/>
      <c r="BN669" s="578"/>
      <c r="BO669" s="578"/>
      <c r="BP669" s="578"/>
      <c r="BQ669" s="578"/>
      <c r="BR669" s="578"/>
      <c r="BS669" s="578"/>
      <c r="BT669" s="578"/>
      <c r="BU669" s="578"/>
      <c r="BV669" s="578"/>
      <c r="BW669" s="578"/>
    </row>
    <row r="670" spans="2:75" ht="14.25" customHeight="1" x14ac:dyDescent="0.3">
      <c r="B670" s="823"/>
      <c r="D670" s="824"/>
      <c r="I670" s="825"/>
      <c r="AR670" s="826"/>
      <c r="AY670" s="827"/>
      <c r="BD670" s="577"/>
      <c r="BE670" s="578"/>
      <c r="BF670" s="578"/>
      <c r="BG670" s="578"/>
      <c r="BH670" s="578"/>
      <c r="BI670" s="578"/>
      <c r="BJ670" s="578"/>
      <c r="BK670" s="578"/>
      <c r="BL670" s="578"/>
      <c r="BM670" s="578"/>
      <c r="BN670" s="578"/>
      <c r="BO670" s="578"/>
      <c r="BP670" s="578"/>
      <c r="BQ670" s="578"/>
      <c r="BR670" s="578"/>
      <c r="BS670" s="578"/>
      <c r="BT670" s="578"/>
      <c r="BU670" s="578"/>
      <c r="BV670" s="578"/>
      <c r="BW670" s="578"/>
    </row>
    <row r="671" spans="2:75" ht="14.25" customHeight="1" x14ac:dyDescent="0.3">
      <c r="B671" s="823"/>
      <c r="D671" s="824"/>
      <c r="I671" s="825"/>
      <c r="AR671" s="826"/>
      <c r="AY671" s="827"/>
      <c r="BD671" s="577"/>
      <c r="BE671" s="578"/>
      <c r="BF671" s="578"/>
      <c r="BG671" s="578"/>
      <c r="BH671" s="578"/>
      <c r="BI671" s="578"/>
      <c r="BJ671" s="578"/>
      <c r="BK671" s="578"/>
      <c r="BL671" s="578"/>
      <c r="BM671" s="578"/>
      <c r="BN671" s="578"/>
      <c r="BO671" s="578"/>
      <c r="BP671" s="578"/>
      <c r="BQ671" s="578"/>
      <c r="BR671" s="578"/>
      <c r="BS671" s="578"/>
      <c r="BT671" s="578"/>
      <c r="BU671" s="578"/>
      <c r="BV671" s="578"/>
      <c r="BW671" s="578"/>
    </row>
    <row r="672" spans="2:75" ht="14.25" customHeight="1" x14ac:dyDescent="0.3">
      <c r="B672" s="823"/>
      <c r="D672" s="824"/>
      <c r="I672" s="825"/>
      <c r="AR672" s="826"/>
      <c r="AY672" s="827"/>
      <c r="BD672" s="577"/>
      <c r="BE672" s="578"/>
      <c r="BF672" s="578"/>
      <c r="BG672" s="578"/>
      <c r="BH672" s="578"/>
      <c r="BI672" s="578"/>
      <c r="BJ672" s="578"/>
      <c r="BK672" s="578"/>
      <c r="BL672" s="578"/>
      <c r="BM672" s="578"/>
      <c r="BN672" s="578"/>
      <c r="BO672" s="578"/>
      <c r="BP672" s="578"/>
      <c r="BQ672" s="578"/>
      <c r="BR672" s="578"/>
      <c r="BS672" s="578"/>
      <c r="BT672" s="578"/>
      <c r="BU672" s="578"/>
      <c r="BV672" s="578"/>
      <c r="BW672" s="578"/>
    </row>
    <row r="673" spans="2:75" ht="14.25" customHeight="1" x14ac:dyDescent="0.3">
      <c r="B673" s="823"/>
      <c r="D673" s="824"/>
      <c r="I673" s="825"/>
      <c r="AR673" s="826"/>
      <c r="AY673" s="827"/>
      <c r="BD673" s="577"/>
      <c r="BE673" s="578"/>
      <c r="BF673" s="578"/>
      <c r="BG673" s="578"/>
      <c r="BH673" s="578"/>
      <c r="BI673" s="578"/>
      <c r="BJ673" s="578"/>
      <c r="BK673" s="578"/>
      <c r="BL673" s="578"/>
      <c r="BM673" s="578"/>
      <c r="BN673" s="578"/>
      <c r="BO673" s="578"/>
      <c r="BP673" s="578"/>
      <c r="BQ673" s="578"/>
      <c r="BR673" s="578"/>
      <c r="BS673" s="578"/>
      <c r="BT673" s="578"/>
      <c r="BU673" s="578"/>
      <c r="BV673" s="578"/>
      <c r="BW673" s="578"/>
    </row>
    <row r="674" spans="2:75" ht="14.25" customHeight="1" x14ac:dyDescent="0.3">
      <c r="B674" s="823"/>
      <c r="D674" s="824"/>
      <c r="I674" s="825"/>
      <c r="AR674" s="826"/>
      <c r="AY674" s="827"/>
      <c r="BD674" s="577"/>
      <c r="BE674" s="578"/>
      <c r="BF674" s="578"/>
      <c r="BG674" s="578"/>
      <c r="BH674" s="578"/>
      <c r="BI674" s="578"/>
      <c r="BJ674" s="578"/>
      <c r="BK674" s="578"/>
      <c r="BL674" s="578"/>
      <c r="BM674" s="578"/>
      <c r="BN674" s="578"/>
      <c r="BO674" s="578"/>
      <c r="BP674" s="578"/>
      <c r="BQ674" s="578"/>
      <c r="BR674" s="578"/>
      <c r="BS674" s="578"/>
      <c r="BT674" s="578"/>
      <c r="BU674" s="578"/>
      <c r="BV674" s="578"/>
      <c r="BW674" s="578"/>
    </row>
    <row r="675" spans="2:75" ht="14.25" customHeight="1" x14ac:dyDescent="0.3">
      <c r="B675" s="823"/>
      <c r="D675" s="824"/>
      <c r="I675" s="825"/>
      <c r="AR675" s="826"/>
      <c r="AY675" s="827"/>
      <c r="BD675" s="577"/>
      <c r="BE675" s="578"/>
      <c r="BF675" s="578"/>
      <c r="BG675" s="578"/>
      <c r="BH675" s="578"/>
      <c r="BI675" s="578"/>
      <c r="BJ675" s="578"/>
      <c r="BK675" s="578"/>
      <c r="BL675" s="578"/>
      <c r="BM675" s="578"/>
      <c r="BN675" s="578"/>
      <c r="BO675" s="578"/>
      <c r="BP675" s="578"/>
      <c r="BQ675" s="578"/>
      <c r="BR675" s="578"/>
      <c r="BS675" s="578"/>
      <c r="BT675" s="578"/>
      <c r="BU675" s="578"/>
      <c r="BV675" s="578"/>
      <c r="BW675" s="578"/>
    </row>
    <row r="676" spans="2:75" ht="14.25" customHeight="1" x14ac:dyDescent="0.3">
      <c r="B676" s="823"/>
      <c r="D676" s="824"/>
      <c r="I676" s="825"/>
      <c r="AR676" s="826"/>
      <c r="AY676" s="827"/>
      <c r="BD676" s="577"/>
      <c r="BE676" s="578"/>
      <c r="BF676" s="578"/>
      <c r="BG676" s="578"/>
      <c r="BH676" s="578"/>
      <c r="BI676" s="578"/>
      <c r="BJ676" s="578"/>
      <c r="BK676" s="578"/>
      <c r="BL676" s="578"/>
      <c r="BM676" s="578"/>
      <c r="BN676" s="578"/>
      <c r="BO676" s="578"/>
      <c r="BP676" s="578"/>
      <c r="BQ676" s="578"/>
      <c r="BR676" s="578"/>
      <c r="BS676" s="578"/>
      <c r="BT676" s="578"/>
      <c r="BU676" s="578"/>
      <c r="BV676" s="578"/>
      <c r="BW676" s="578"/>
    </row>
    <row r="677" spans="2:75" ht="14.25" customHeight="1" x14ac:dyDescent="0.3">
      <c r="B677" s="823"/>
      <c r="D677" s="824"/>
      <c r="I677" s="825"/>
      <c r="AR677" s="826"/>
      <c r="AY677" s="827"/>
      <c r="BD677" s="577"/>
      <c r="BE677" s="578"/>
      <c r="BF677" s="578"/>
      <c r="BG677" s="578"/>
      <c r="BH677" s="578"/>
      <c r="BI677" s="578"/>
      <c r="BJ677" s="578"/>
      <c r="BK677" s="578"/>
      <c r="BL677" s="578"/>
      <c r="BM677" s="578"/>
      <c r="BN677" s="578"/>
      <c r="BO677" s="578"/>
      <c r="BP677" s="578"/>
      <c r="BQ677" s="578"/>
      <c r="BR677" s="578"/>
      <c r="BS677" s="578"/>
      <c r="BT677" s="578"/>
      <c r="BU677" s="578"/>
      <c r="BV677" s="578"/>
      <c r="BW677" s="578"/>
    </row>
    <row r="678" spans="2:75" ht="14.25" customHeight="1" x14ac:dyDescent="0.3">
      <c r="B678" s="823"/>
      <c r="D678" s="824"/>
      <c r="I678" s="825"/>
      <c r="AR678" s="826"/>
      <c r="AY678" s="827"/>
      <c r="BD678" s="577"/>
      <c r="BE678" s="578"/>
      <c r="BF678" s="578"/>
      <c r="BG678" s="578"/>
      <c r="BH678" s="578"/>
      <c r="BI678" s="578"/>
      <c r="BJ678" s="578"/>
      <c r="BK678" s="578"/>
      <c r="BL678" s="578"/>
      <c r="BM678" s="578"/>
      <c r="BN678" s="578"/>
      <c r="BO678" s="578"/>
      <c r="BP678" s="578"/>
      <c r="BQ678" s="578"/>
      <c r="BR678" s="578"/>
      <c r="BS678" s="578"/>
      <c r="BT678" s="578"/>
      <c r="BU678" s="578"/>
      <c r="BV678" s="578"/>
      <c r="BW678" s="578"/>
    </row>
    <row r="679" spans="2:75" ht="14.25" customHeight="1" x14ac:dyDescent="0.3">
      <c r="B679" s="823"/>
      <c r="D679" s="824"/>
      <c r="I679" s="825"/>
      <c r="AR679" s="826"/>
      <c r="AY679" s="827"/>
      <c r="BD679" s="577"/>
      <c r="BE679" s="578"/>
      <c r="BF679" s="578"/>
      <c r="BG679" s="578"/>
      <c r="BH679" s="578"/>
      <c r="BI679" s="578"/>
      <c r="BJ679" s="578"/>
      <c r="BK679" s="578"/>
      <c r="BL679" s="578"/>
      <c r="BM679" s="578"/>
      <c r="BN679" s="578"/>
      <c r="BO679" s="578"/>
      <c r="BP679" s="578"/>
      <c r="BQ679" s="578"/>
      <c r="BR679" s="578"/>
      <c r="BS679" s="578"/>
      <c r="BT679" s="578"/>
      <c r="BU679" s="578"/>
      <c r="BV679" s="578"/>
      <c r="BW679" s="578"/>
    </row>
    <row r="680" spans="2:75" ht="14.25" customHeight="1" x14ac:dyDescent="0.3">
      <c r="B680" s="823"/>
      <c r="D680" s="824"/>
      <c r="I680" s="825"/>
      <c r="AR680" s="826"/>
      <c r="AY680" s="827"/>
      <c r="BD680" s="577"/>
      <c r="BE680" s="578"/>
      <c r="BF680" s="578"/>
      <c r="BG680" s="578"/>
      <c r="BH680" s="578"/>
      <c r="BI680" s="578"/>
      <c r="BJ680" s="578"/>
      <c r="BK680" s="578"/>
      <c r="BL680" s="578"/>
      <c r="BM680" s="578"/>
      <c r="BN680" s="578"/>
      <c r="BO680" s="578"/>
      <c r="BP680" s="578"/>
      <c r="BQ680" s="578"/>
      <c r="BR680" s="578"/>
      <c r="BS680" s="578"/>
      <c r="BT680" s="578"/>
      <c r="BU680" s="578"/>
      <c r="BV680" s="578"/>
      <c r="BW680" s="578"/>
    </row>
    <row r="681" spans="2:75" ht="14.25" customHeight="1" x14ac:dyDescent="0.3">
      <c r="B681" s="823"/>
      <c r="D681" s="824"/>
      <c r="I681" s="825"/>
      <c r="AR681" s="826"/>
      <c r="AY681" s="827"/>
      <c r="BD681" s="577"/>
      <c r="BE681" s="578"/>
      <c r="BF681" s="578"/>
      <c r="BG681" s="578"/>
      <c r="BH681" s="578"/>
      <c r="BI681" s="578"/>
      <c r="BJ681" s="578"/>
      <c r="BK681" s="578"/>
      <c r="BL681" s="578"/>
      <c r="BM681" s="578"/>
      <c r="BN681" s="578"/>
      <c r="BO681" s="578"/>
      <c r="BP681" s="578"/>
      <c r="BQ681" s="578"/>
      <c r="BR681" s="578"/>
      <c r="BS681" s="578"/>
      <c r="BT681" s="578"/>
      <c r="BU681" s="578"/>
      <c r="BV681" s="578"/>
      <c r="BW681" s="578"/>
    </row>
    <row r="682" spans="2:75" ht="14.25" customHeight="1" x14ac:dyDescent="0.3">
      <c r="B682" s="823"/>
      <c r="D682" s="824"/>
      <c r="I682" s="825"/>
      <c r="AR682" s="826"/>
      <c r="AY682" s="827"/>
      <c r="BD682" s="577"/>
      <c r="BE682" s="578"/>
      <c r="BF682" s="578"/>
      <c r="BG682" s="578"/>
      <c r="BH682" s="578"/>
      <c r="BI682" s="578"/>
      <c r="BJ682" s="578"/>
      <c r="BK682" s="578"/>
      <c r="BL682" s="578"/>
      <c r="BM682" s="578"/>
      <c r="BN682" s="578"/>
      <c r="BO682" s="578"/>
      <c r="BP682" s="578"/>
      <c r="BQ682" s="578"/>
      <c r="BR682" s="578"/>
      <c r="BS682" s="578"/>
      <c r="BT682" s="578"/>
      <c r="BU682" s="578"/>
      <c r="BV682" s="578"/>
      <c r="BW682" s="578"/>
    </row>
    <row r="683" spans="2:75" ht="14.25" customHeight="1" x14ac:dyDescent="0.3">
      <c r="B683" s="823"/>
      <c r="D683" s="824"/>
      <c r="I683" s="825"/>
      <c r="AR683" s="826"/>
      <c r="AY683" s="827"/>
      <c r="BD683" s="577"/>
      <c r="BE683" s="578"/>
      <c r="BF683" s="578"/>
      <c r="BG683" s="578"/>
      <c r="BH683" s="578"/>
      <c r="BI683" s="578"/>
      <c r="BJ683" s="578"/>
      <c r="BK683" s="578"/>
      <c r="BL683" s="578"/>
      <c r="BM683" s="578"/>
      <c r="BN683" s="578"/>
      <c r="BO683" s="578"/>
      <c r="BP683" s="578"/>
      <c r="BQ683" s="578"/>
      <c r="BR683" s="578"/>
      <c r="BS683" s="578"/>
      <c r="BT683" s="578"/>
      <c r="BU683" s="578"/>
      <c r="BV683" s="578"/>
      <c r="BW683" s="578"/>
    </row>
    <row r="684" spans="2:75" ht="14.25" customHeight="1" x14ac:dyDescent="0.3">
      <c r="B684" s="823"/>
      <c r="D684" s="824"/>
      <c r="I684" s="825"/>
      <c r="AR684" s="826"/>
      <c r="AY684" s="827"/>
      <c r="BD684" s="577"/>
      <c r="BE684" s="578"/>
      <c r="BF684" s="578"/>
      <c r="BG684" s="578"/>
      <c r="BH684" s="578"/>
      <c r="BI684" s="578"/>
      <c r="BJ684" s="578"/>
      <c r="BK684" s="578"/>
      <c r="BL684" s="578"/>
      <c r="BM684" s="578"/>
      <c r="BN684" s="578"/>
      <c r="BO684" s="578"/>
      <c r="BP684" s="578"/>
      <c r="BQ684" s="578"/>
      <c r="BR684" s="578"/>
      <c r="BS684" s="578"/>
      <c r="BT684" s="578"/>
      <c r="BU684" s="578"/>
      <c r="BV684" s="578"/>
      <c r="BW684" s="578"/>
    </row>
    <row r="685" spans="2:75" ht="14.25" customHeight="1" x14ac:dyDescent="0.3">
      <c r="B685" s="823"/>
      <c r="D685" s="824"/>
      <c r="I685" s="825"/>
      <c r="AR685" s="826"/>
      <c r="AY685" s="827"/>
      <c r="BD685" s="577"/>
      <c r="BE685" s="578"/>
      <c r="BF685" s="578"/>
      <c r="BG685" s="578"/>
      <c r="BH685" s="578"/>
      <c r="BI685" s="578"/>
      <c r="BJ685" s="578"/>
      <c r="BK685" s="578"/>
      <c r="BL685" s="578"/>
      <c r="BM685" s="578"/>
      <c r="BN685" s="578"/>
      <c r="BO685" s="578"/>
      <c r="BP685" s="578"/>
      <c r="BQ685" s="578"/>
      <c r="BR685" s="578"/>
      <c r="BS685" s="578"/>
      <c r="BT685" s="578"/>
      <c r="BU685" s="578"/>
      <c r="BV685" s="578"/>
      <c r="BW685" s="578"/>
    </row>
    <row r="686" spans="2:75" ht="14.25" customHeight="1" x14ac:dyDescent="0.3">
      <c r="B686" s="823"/>
      <c r="D686" s="824"/>
      <c r="I686" s="825"/>
      <c r="AR686" s="826"/>
      <c r="AY686" s="827"/>
      <c r="BD686" s="577"/>
      <c r="BE686" s="578"/>
      <c r="BF686" s="578"/>
      <c r="BG686" s="578"/>
      <c r="BH686" s="578"/>
      <c r="BI686" s="578"/>
      <c r="BJ686" s="578"/>
      <c r="BK686" s="578"/>
      <c r="BL686" s="578"/>
      <c r="BM686" s="578"/>
      <c r="BN686" s="578"/>
      <c r="BO686" s="578"/>
      <c r="BP686" s="578"/>
      <c r="BQ686" s="578"/>
      <c r="BR686" s="578"/>
      <c r="BS686" s="578"/>
      <c r="BT686" s="578"/>
      <c r="BU686" s="578"/>
      <c r="BV686" s="578"/>
      <c r="BW686" s="578"/>
    </row>
    <row r="687" spans="2:75" ht="14.25" customHeight="1" x14ac:dyDescent="0.3">
      <c r="B687" s="823"/>
      <c r="D687" s="824"/>
      <c r="I687" s="825"/>
      <c r="AR687" s="826"/>
      <c r="AY687" s="827"/>
      <c r="BD687" s="577"/>
      <c r="BE687" s="578"/>
      <c r="BF687" s="578"/>
      <c r="BG687" s="578"/>
      <c r="BH687" s="578"/>
      <c r="BI687" s="578"/>
      <c r="BJ687" s="578"/>
      <c r="BK687" s="578"/>
      <c r="BL687" s="578"/>
      <c r="BM687" s="578"/>
      <c r="BN687" s="578"/>
      <c r="BO687" s="578"/>
      <c r="BP687" s="578"/>
      <c r="BQ687" s="578"/>
      <c r="BR687" s="578"/>
      <c r="BS687" s="578"/>
      <c r="BT687" s="578"/>
      <c r="BU687" s="578"/>
      <c r="BV687" s="578"/>
      <c r="BW687" s="578"/>
    </row>
    <row r="688" spans="2:75" ht="14.25" customHeight="1" x14ac:dyDescent="0.3">
      <c r="B688" s="823"/>
      <c r="D688" s="824"/>
      <c r="I688" s="825"/>
      <c r="AR688" s="826"/>
      <c r="AY688" s="827"/>
      <c r="BD688" s="577"/>
      <c r="BE688" s="578"/>
      <c r="BF688" s="578"/>
      <c r="BG688" s="578"/>
      <c r="BH688" s="578"/>
      <c r="BI688" s="578"/>
      <c r="BJ688" s="578"/>
      <c r="BK688" s="578"/>
      <c r="BL688" s="578"/>
      <c r="BM688" s="578"/>
      <c r="BN688" s="578"/>
      <c r="BO688" s="578"/>
      <c r="BP688" s="578"/>
      <c r="BQ688" s="578"/>
      <c r="BR688" s="578"/>
      <c r="BS688" s="578"/>
      <c r="BT688" s="578"/>
      <c r="BU688" s="578"/>
      <c r="BV688" s="578"/>
      <c r="BW688" s="578"/>
    </row>
    <row r="689" spans="2:75" ht="14.25" customHeight="1" x14ac:dyDescent="0.3">
      <c r="B689" s="823"/>
      <c r="D689" s="824"/>
      <c r="I689" s="825"/>
      <c r="AR689" s="826"/>
      <c r="AY689" s="827"/>
      <c r="BD689" s="577"/>
      <c r="BE689" s="578"/>
      <c r="BF689" s="578"/>
      <c r="BG689" s="578"/>
      <c r="BH689" s="578"/>
      <c r="BI689" s="578"/>
      <c r="BJ689" s="578"/>
      <c r="BK689" s="578"/>
      <c r="BL689" s="578"/>
      <c r="BM689" s="578"/>
      <c r="BN689" s="578"/>
      <c r="BO689" s="578"/>
      <c r="BP689" s="578"/>
      <c r="BQ689" s="578"/>
      <c r="BR689" s="578"/>
      <c r="BS689" s="578"/>
      <c r="BT689" s="578"/>
      <c r="BU689" s="578"/>
      <c r="BV689" s="578"/>
      <c r="BW689" s="578"/>
    </row>
    <row r="690" spans="2:75" ht="14.25" customHeight="1" x14ac:dyDescent="0.3">
      <c r="B690" s="823"/>
      <c r="D690" s="824"/>
      <c r="I690" s="825"/>
      <c r="AR690" s="826"/>
      <c r="AY690" s="827"/>
      <c r="BD690" s="577"/>
      <c r="BE690" s="578"/>
      <c r="BF690" s="578"/>
      <c r="BG690" s="578"/>
      <c r="BH690" s="578"/>
      <c r="BI690" s="578"/>
      <c r="BJ690" s="578"/>
      <c r="BK690" s="578"/>
      <c r="BL690" s="578"/>
      <c r="BM690" s="578"/>
      <c r="BN690" s="578"/>
      <c r="BO690" s="578"/>
      <c r="BP690" s="578"/>
      <c r="BQ690" s="578"/>
      <c r="BR690" s="578"/>
      <c r="BS690" s="578"/>
      <c r="BT690" s="578"/>
      <c r="BU690" s="578"/>
      <c r="BV690" s="578"/>
      <c r="BW690" s="578"/>
    </row>
    <row r="691" spans="2:75" ht="14.25" customHeight="1" x14ac:dyDescent="0.3">
      <c r="B691" s="823"/>
      <c r="D691" s="824"/>
      <c r="I691" s="825"/>
      <c r="AR691" s="826"/>
      <c r="AY691" s="827"/>
      <c r="BD691" s="577"/>
      <c r="BE691" s="578"/>
      <c r="BF691" s="578"/>
      <c r="BG691" s="578"/>
      <c r="BH691" s="578"/>
      <c r="BI691" s="578"/>
      <c r="BJ691" s="578"/>
      <c r="BK691" s="578"/>
      <c r="BL691" s="578"/>
      <c r="BM691" s="578"/>
      <c r="BN691" s="578"/>
      <c r="BO691" s="578"/>
      <c r="BP691" s="578"/>
      <c r="BQ691" s="578"/>
      <c r="BR691" s="578"/>
      <c r="BS691" s="578"/>
      <c r="BT691" s="578"/>
      <c r="BU691" s="578"/>
      <c r="BV691" s="578"/>
      <c r="BW691" s="578"/>
    </row>
    <row r="692" spans="2:75" ht="14.25" customHeight="1" x14ac:dyDescent="0.3">
      <c r="B692" s="823"/>
      <c r="D692" s="824"/>
      <c r="I692" s="825"/>
      <c r="AR692" s="826"/>
      <c r="AY692" s="827"/>
      <c r="BD692" s="577"/>
      <c r="BE692" s="578"/>
      <c r="BF692" s="578"/>
      <c r="BG692" s="578"/>
      <c r="BH692" s="578"/>
      <c r="BI692" s="578"/>
      <c r="BJ692" s="578"/>
      <c r="BK692" s="578"/>
      <c r="BL692" s="578"/>
      <c r="BM692" s="578"/>
      <c r="BN692" s="578"/>
      <c r="BO692" s="578"/>
      <c r="BP692" s="578"/>
      <c r="BQ692" s="578"/>
      <c r="BR692" s="578"/>
      <c r="BS692" s="578"/>
      <c r="BT692" s="578"/>
      <c r="BU692" s="578"/>
      <c r="BV692" s="578"/>
      <c r="BW692" s="578"/>
    </row>
    <row r="693" spans="2:75" ht="14.25" customHeight="1" x14ac:dyDescent="0.3">
      <c r="B693" s="823"/>
      <c r="D693" s="824"/>
      <c r="I693" s="825"/>
      <c r="AR693" s="826"/>
      <c r="AY693" s="827"/>
      <c r="BD693" s="577"/>
      <c r="BE693" s="578"/>
      <c r="BF693" s="578"/>
      <c r="BG693" s="578"/>
      <c r="BH693" s="578"/>
      <c r="BI693" s="578"/>
      <c r="BJ693" s="578"/>
      <c r="BK693" s="578"/>
      <c r="BL693" s="578"/>
      <c r="BM693" s="578"/>
      <c r="BN693" s="578"/>
      <c r="BO693" s="578"/>
      <c r="BP693" s="578"/>
      <c r="BQ693" s="578"/>
      <c r="BR693" s="578"/>
      <c r="BS693" s="578"/>
      <c r="BT693" s="578"/>
      <c r="BU693" s="578"/>
      <c r="BV693" s="578"/>
      <c r="BW693" s="578"/>
    </row>
    <row r="694" spans="2:75" ht="14.25" customHeight="1" x14ac:dyDescent="0.3">
      <c r="B694" s="823"/>
      <c r="D694" s="824"/>
      <c r="I694" s="825"/>
      <c r="AR694" s="826"/>
      <c r="AY694" s="827"/>
      <c r="BD694" s="577"/>
      <c r="BE694" s="578"/>
      <c r="BF694" s="578"/>
      <c r="BG694" s="578"/>
      <c r="BH694" s="578"/>
      <c r="BI694" s="578"/>
      <c r="BJ694" s="578"/>
      <c r="BK694" s="578"/>
      <c r="BL694" s="578"/>
      <c r="BM694" s="578"/>
      <c r="BN694" s="578"/>
      <c r="BO694" s="578"/>
      <c r="BP694" s="578"/>
      <c r="BQ694" s="578"/>
      <c r="BR694" s="578"/>
      <c r="BS694" s="578"/>
      <c r="BT694" s="578"/>
      <c r="BU694" s="578"/>
      <c r="BV694" s="578"/>
      <c r="BW694" s="578"/>
    </row>
    <row r="695" spans="2:75" ht="14.25" customHeight="1" x14ac:dyDescent="0.3">
      <c r="B695" s="823"/>
      <c r="D695" s="824"/>
      <c r="I695" s="825"/>
      <c r="AR695" s="826"/>
      <c r="AY695" s="827"/>
      <c r="BD695" s="577"/>
      <c r="BE695" s="578"/>
      <c r="BF695" s="578"/>
      <c r="BG695" s="578"/>
      <c r="BH695" s="578"/>
      <c r="BI695" s="578"/>
      <c r="BJ695" s="578"/>
      <c r="BK695" s="578"/>
      <c r="BL695" s="578"/>
      <c r="BM695" s="578"/>
      <c r="BN695" s="578"/>
      <c r="BO695" s="578"/>
      <c r="BP695" s="578"/>
      <c r="BQ695" s="578"/>
      <c r="BR695" s="578"/>
      <c r="BS695" s="578"/>
      <c r="BT695" s="578"/>
      <c r="BU695" s="578"/>
      <c r="BV695" s="578"/>
      <c r="BW695" s="578"/>
    </row>
    <row r="696" spans="2:75" ht="14.25" customHeight="1" x14ac:dyDescent="0.3">
      <c r="B696" s="823"/>
      <c r="D696" s="824"/>
      <c r="I696" s="825"/>
      <c r="AR696" s="826"/>
      <c r="AY696" s="827"/>
      <c r="BD696" s="577"/>
      <c r="BE696" s="578"/>
      <c r="BF696" s="578"/>
      <c r="BG696" s="578"/>
      <c r="BH696" s="578"/>
      <c r="BI696" s="578"/>
      <c r="BJ696" s="578"/>
      <c r="BK696" s="578"/>
      <c r="BL696" s="578"/>
      <c r="BM696" s="578"/>
      <c r="BN696" s="578"/>
      <c r="BO696" s="578"/>
      <c r="BP696" s="578"/>
      <c r="BQ696" s="578"/>
      <c r="BR696" s="578"/>
      <c r="BS696" s="578"/>
      <c r="BT696" s="578"/>
      <c r="BU696" s="578"/>
      <c r="BV696" s="578"/>
      <c r="BW696" s="578"/>
    </row>
    <row r="697" spans="2:75" ht="14.25" customHeight="1" x14ac:dyDescent="0.3">
      <c r="B697" s="823"/>
      <c r="D697" s="824"/>
      <c r="I697" s="825"/>
      <c r="AR697" s="826"/>
      <c r="AY697" s="827"/>
      <c r="BD697" s="577"/>
      <c r="BE697" s="578"/>
      <c r="BF697" s="578"/>
      <c r="BG697" s="578"/>
      <c r="BH697" s="578"/>
      <c r="BI697" s="578"/>
      <c r="BJ697" s="578"/>
      <c r="BK697" s="578"/>
      <c r="BL697" s="578"/>
      <c r="BM697" s="578"/>
      <c r="BN697" s="578"/>
      <c r="BO697" s="578"/>
      <c r="BP697" s="578"/>
      <c r="BQ697" s="578"/>
      <c r="BR697" s="578"/>
      <c r="BS697" s="578"/>
      <c r="BT697" s="578"/>
      <c r="BU697" s="578"/>
      <c r="BV697" s="578"/>
      <c r="BW697" s="578"/>
    </row>
    <row r="698" spans="2:75" ht="14.25" customHeight="1" x14ac:dyDescent="0.3">
      <c r="B698" s="823"/>
      <c r="D698" s="824"/>
      <c r="I698" s="825"/>
      <c r="AR698" s="826"/>
      <c r="AY698" s="827"/>
      <c r="BD698" s="577"/>
      <c r="BE698" s="578"/>
      <c r="BF698" s="578"/>
      <c r="BG698" s="578"/>
      <c r="BH698" s="578"/>
      <c r="BI698" s="578"/>
      <c r="BJ698" s="578"/>
      <c r="BK698" s="578"/>
      <c r="BL698" s="578"/>
      <c r="BM698" s="578"/>
      <c r="BN698" s="578"/>
      <c r="BO698" s="578"/>
      <c r="BP698" s="578"/>
      <c r="BQ698" s="578"/>
      <c r="BR698" s="578"/>
      <c r="BS698" s="578"/>
      <c r="BT698" s="578"/>
      <c r="BU698" s="578"/>
      <c r="BV698" s="578"/>
      <c r="BW698" s="578"/>
    </row>
    <row r="699" spans="2:75" ht="14.25" customHeight="1" x14ac:dyDescent="0.3">
      <c r="B699" s="823"/>
      <c r="D699" s="824"/>
      <c r="I699" s="825"/>
      <c r="AR699" s="826"/>
      <c r="AY699" s="827"/>
      <c r="BD699" s="577"/>
      <c r="BE699" s="578"/>
      <c r="BF699" s="578"/>
      <c r="BG699" s="578"/>
      <c r="BH699" s="578"/>
      <c r="BI699" s="578"/>
      <c r="BJ699" s="578"/>
      <c r="BK699" s="578"/>
      <c r="BL699" s="578"/>
      <c r="BM699" s="578"/>
      <c r="BN699" s="578"/>
      <c r="BO699" s="578"/>
      <c r="BP699" s="578"/>
      <c r="BQ699" s="578"/>
      <c r="BR699" s="578"/>
      <c r="BS699" s="578"/>
      <c r="BT699" s="578"/>
      <c r="BU699" s="578"/>
      <c r="BV699" s="578"/>
      <c r="BW699" s="578"/>
    </row>
    <row r="700" spans="2:75" ht="14.25" customHeight="1" x14ac:dyDescent="0.3">
      <c r="B700" s="823"/>
      <c r="D700" s="824"/>
      <c r="I700" s="825"/>
      <c r="AR700" s="826"/>
      <c r="AY700" s="827"/>
      <c r="BD700" s="577"/>
      <c r="BE700" s="578"/>
      <c r="BF700" s="578"/>
      <c r="BG700" s="578"/>
      <c r="BH700" s="578"/>
      <c r="BI700" s="578"/>
      <c r="BJ700" s="578"/>
      <c r="BK700" s="578"/>
      <c r="BL700" s="578"/>
      <c r="BM700" s="578"/>
      <c r="BN700" s="578"/>
      <c r="BO700" s="578"/>
      <c r="BP700" s="578"/>
      <c r="BQ700" s="578"/>
      <c r="BR700" s="578"/>
      <c r="BS700" s="578"/>
      <c r="BT700" s="578"/>
      <c r="BU700" s="578"/>
      <c r="BV700" s="578"/>
      <c r="BW700" s="578"/>
    </row>
    <row r="701" spans="2:75" ht="14.25" customHeight="1" x14ac:dyDescent="0.3">
      <c r="B701" s="823"/>
      <c r="D701" s="824"/>
      <c r="I701" s="825"/>
      <c r="AR701" s="826"/>
      <c r="AY701" s="827"/>
      <c r="BD701" s="577"/>
      <c r="BE701" s="578"/>
      <c r="BF701" s="578"/>
      <c r="BG701" s="578"/>
      <c r="BH701" s="578"/>
      <c r="BI701" s="578"/>
      <c r="BJ701" s="578"/>
      <c r="BK701" s="578"/>
      <c r="BL701" s="578"/>
      <c r="BM701" s="578"/>
      <c r="BN701" s="578"/>
      <c r="BO701" s="578"/>
      <c r="BP701" s="578"/>
      <c r="BQ701" s="578"/>
      <c r="BR701" s="578"/>
      <c r="BS701" s="578"/>
      <c r="BT701" s="578"/>
      <c r="BU701" s="578"/>
      <c r="BV701" s="578"/>
      <c r="BW701" s="578"/>
    </row>
    <row r="702" spans="2:75" ht="14.25" customHeight="1" x14ac:dyDescent="0.3">
      <c r="B702" s="823"/>
      <c r="D702" s="824"/>
      <c r="I702" s="825"/>
      <c r="AR702" s="826"/>
      <c r="AY702" s="827"/>
      <c r="BD702" s="577"/>
      <c r="BE702" s="578"/>
      <c r="BF702" s="578"/>
      <c r="BG702" s="578"/>
      <c r="BH702" s="578"/>
      <c r="BI702" s="578"/>
      <c r="BJ702" s="578"/>
      <c r="BK702" s="578"/>
      <c r="BL702" s="578"/>
      <c r="BM702" s="578"/>
      <c r="BN702" s="578"/>
      <c r="BO702" s="578"/>
      <c r="BP702" s="578"/>
      <c r="BQ702" s="578"/>
      <c r="BR702" s="578"/>
      <c r="BS702" s="578"/>
      <c r="BT702" s="578"/>
      <c r="BU702" s="578"/>
      <c r="BV702" s="578"/>
      <c r="BW702" s="578"/>
    </row>
    <row r="703" spans="2:75" ht="14.25" customHeight="1" x14ac:dyDescent="0.3">
      <c r="B703" s="823"/>
      <c r="D703" s="824"/>
      <c r="I703" s="825"/>
      <c r="AR703" s="826"/>
      <c r="AY703" s="827"/>
      <c r="BD703" s="577"/>
      <c r="BE703" s="578"/>
      <c r="BF703" s="578"/>
      <c r="BG703" s="578"/>
      <c r="BH703" s="578"/>
      <c r="BI703" s="578"/>
      <c r="BJ703" s="578"/>
      <c r="BK703" s="578"/>
      <c r="BL703" s="578"/>
      <c r="BM703" s="578"/>
      <c r="BN703" s="578"/>
      <c r="BO703" s="578"/>
      <c r="BP703" s="578"/>
      <c r="BQ703" s="578"/>
      <c r="BR703" s="578"/>
      <c r="BS703" s="578"/>
      <c r="BT703" s="578"/>
      <c r="BU703" s="578"/>
      <c r="BV703" s="578"/>
      <c r="BW703" s="578"/>
    </row>
    <row r="704" spans="2:75" ht="14.25" customHeight="1" x14ac:dyDescent="0.3">
      <c r="B704" s="823"/>
      <c r="D704" s="824"/>
      <c r="I704" s="825"/>
      <c r="AR704" s="826"/>
      <c r="AY704" s="827"/>
      <c r="BD704" s="577"/>
      <c r="BE704" s="578"/>
      <c r="BF704" s="578"/>
      <c r="BG704" s="578"/>
      <c r="BH704" s="578"/>
      <c r="BI704" s="578"/>
      <c r="BJ704" s="578"/>
      <c r="BK704" s="578"/>
      <c r="BL704" s="578"/>
      <c r="BM704" s="578"/>
      <c r="BN704" s="578"/>
      <c r="BO704" s="578"/>
      <c r="BP704" s="578"/>
      <c r="BQ704" s="578"/>
      <c r="BR704" s="578"/>
      <c r="BS704" s="578"/>
      <c r="BT704" s="578"/>
      <c r="BU704" s="578"/>
      <c r="BV704" s="578"/>
      <c r="BW704" s="578"/>
    </row>
    <row r="705" spans="2:75" ht="14.25" customHeight="1" x14ac:dyDescent="0.3">
      <c r="B705" s="823"/>
      <c r="D705" s="824"/>
      <c r="I705" s="825"/>
      <c r="AR705" s="826"/>
      <c r="AY705" s="827"/>
      <c r="BD705" s="577"/>
      <c r="BE705" s="578"/>
      <c r="BF705" s="578"/>
      <c r="BG705" s="578"/>
      <c r="BH705" s="578"/>
      <c r="BI705" s="578"/>
      <c r="BJ705" s="578"/>
      <c r="BK705" s="578"/>
      <c r="BL705" s="578"/>
      <c r="BM705" s="578"/>
      <c r="BN705" s="578"/>
      <c r="BO705" s="578"/>
      <c r="BP705" s="578"/>
      <c r="BQ705" s="578"/>
      <c r="BR705" s="578"/>
      <c r="BS705" s="578"/>
      <c r="BT705" s="578"/>
      <c r="BU705" s="578"/>
      <c r="BV705" s="578"/>
      <c r="BW705" s="578"/>
    </row>
    <row r="706" spans="2:75" ht="14.25" customHeight="1" x14ac:dyDescent="0.3">
      <c r="B706" s="823"/>
      <c r="D706" s="824"/>
      <c r="I706" s="825"/>
      <c r="AR706" s="826"/>
      <c r="AY706" s="827"/>
      <c r="BD706" s="577"/>
      <c r="BE706" s="578"/>
      <c r="BF706" s="578"/>
      <c r="BG706" s="578"/>
      <c r="BH706" s="578"/>
      <c r="BI706" s="578"/>
      <c r="BJ706" s="578"/>
      <c r="BK706" s="578"/>
      <c r="BL706" s="578"/>
      <c r="BM706" s="578"/>
      <c r="BN706" s="578"/>
      <c r="BO706" s="578"/>
      <c r="BP706" s="578"/>
      <c r="BQ706" s="578"/>
      <c r="BR706" s="578"/>
      <c r="BS706" s="578"/>
      <c r="BT706" s="578"/>
      <c r="BU706" s="578"/>
      <c r="BV706" s="578"/>
      <c r="BW706" s="578"/>
    </row>
    <row r="707" spans="2:75" ht="14.25" customHeight="1" x14ac:dyDescent="0.3">
      <c r="B707" s="823"/>
      <c r="D707" s="824"/>
      <c r="I707" s="825"/>
      <c r="AR707" s="826"/>
      <c r="AY707" s="827"/>
      <c r="BD707" s="577"/>
      <c r="BE707" s="578"/>
      <c r="BF707" s="578"/>
      <c r="BG707" s="578"/>
      <c r="BH707" s="578"/>
      <c r="BI707" s="578"/>
      <c r="BJ707" s="578"/>
      <c r="BK707" s="578"/>
      <c r="BL707" s="578"/>
      <c r="BM707" s="578"/>
      <c r="BN707" s="578"/>
      <c r="BO707" s="578"/>
      <c r="BP707" s="578"/>
      <c r="BQ707" s="578"/>
      <c r="BR707" s="578"/>
      <c r="BS707" s="578"/>
      <c r="BT707" s="578"/>
      <c r="BU707" s="578"/>
      <c r="BV707" s="578"/>
      <c r="BW707" s="578"/>
    </row>
    <row r="708" spans="2:75" ht="14.25" customHeight="1" x14ac:dyDescent="0.3">
      <c r="B708" s="823"/>
      <c r="D708" s="824"/>
      <c r="I708" s="825"/>
      <c r="AR708" s="826"/>
      <c r="AY708" s="827"/>
      <c r="BD708" s="577"/>
      <c r="BE708" s="578"/>
      <c r="BF708" s="578"/>
      <c r="BG708" s="578"/>
      <c r="BH708" s="578"/>
      <c r="BI708" s="578"/>
      <c r="BJ708" s="578"/>
      <c r="BK708" s="578"/>
      <c r="BL708" s="578"/>
      <c r="BM708" s="578"/>
      <c r="BN708" s="578"/>
      <c r="BO708" s="578"/>
      <c r="BP708" s="578"/>
      <c r="BQ708" s="578"/>
      <c r="BR708" s="578"/>
      <c r="BS708" s="578"/>
      <c r="BT708" s="578"/>
      <c r="BU708" s="578"/>
      <c r="BV708" s="578"/>
      <c r="BW708" s="578"/>
    </row>
    <row r="709" spans="2:75" ht="14.25" customHeight="1" x14ac:dyDescent="0.3">
      <c r="B709" s="823"/>
      <c r="D709" s="824"/>
      <c r="I709" s="825"/>
      <c r="AR709" s="826"/>
      <c r="AY709" s="827"/>
      <c r="BD709" s="577"/>
      <c r="BE709" s="578"/>
      <c r="BF709" s="578"/>
      <c r="BG709" s="578"/>
      <c r="BH709" s="578"/>
      <c r="BI709" s="578"/>
      <c r="BJ709" s="578"/>
      <c r="BK709" s="578"/>
      <c r="BL709" s="578"/>
      <c r="BM709" s="578"/>
      <c r="BN709" s="578"/>
      <c r="BO709" s="578"/>
      <c r="BP709" s="578"/>
      <c r="BQ709" s="578"/>
      <c r="BR709" s="578"/>
      <c r="BS709" s="578"/>
      <c r="BT709" s="578"/>
      <c r="BU709" s="578"/>
      <c r="BV709" s="578"/>
      <c r="BW709" s="578"/>
    </row>
    <row r="710" spans="2:75" ht="14.25" customHeight="1" x14ac:dyDescent="0.3">
      <c r="B710" s="823"/>
      <c r="D710" s="824"/>
      <c r="I710" s="825"/>
      <c r="AR710" s="826"/>
      <c r="AY710" s="827"/>
      <c r="BD710" s="577"/>
      <c r="BE710" s="578"/>
      <c r="BF710" s="578"/>
      <c r="BG710" s="578"/>
      <c r="BH710" s="578"/>
      <c r="BI710" s="578"/>
      <c r="BJ710" s="578"/>
      <c r="BK710" s="578"/>
      <c r="BL710" s="578"/>
      <c r="BM710" s="578"/>
      <c r="BN710" s="578"/>
      <c r="BO710" s="578"/>
      <c r="BP710" s="578"/>
      <c r="BQ710" s="578"/>
      <c r="BR710" s="578"/>
      <c r="BS710" s="578"/>
      <c r="BT710" s="578"/>
      <c r="BU710" s="578"/>
      <c r="BV710" s="578"/>
      <c r="BW710" s="578"/>
    </row>
    <row r="711" spans="2:75" ht="14.25" customHeight="1" x14ac:dyDescent="0.3">
      <c r="B711" s="823"/>
      <c r="D711" s="824"/>
      <c r="I711" s="825"/>
      <c r="AR711" s="826"/>
      <c r="AY711" s="827"/>
      <c r="BD711" s="577"/>
      <c r="BE711" s="578"/>
      <c r="BF711" s="578"/>
      <c r="BG711" s="578"/>
      <c r="BH711" s="578"/>
      <c r="BI711" s="578"/>
      <c r="BJ711" s="578"/>
      <c r="BK711" s="578"/>
      <c r="BL711" s="578"/>
      <c r="BM711" s="578"/>
      <c r="BN711" s="578"/>
      <c r="BO711" s="578"/>
      <c r="BP711" s="578"/>
      <c r="BQ711" s="578"/>
      <c r="BR711" s="578"/>
      <c r="BS711" s="578"/>
      <c r="BT711" s="578"/>
      <c r="BU711" s="578"/>
      <c r="BV711" s="578"/>
      <c r="BW711" s="578"/>
    </row>
    <row r="712" spans="2:75" ht="14.25" customHeight="1" x14ac:dyDescent="0.3">
      <c r="B712" s="823"/>
      <c r="D712" s="824"/>
      <c r="I712" s="825"/>
      <c r="AR712" s="826"/>
      <c r="AY712" s="827"/>
      <c r="BD712" s="577"/>
      <c r="BE712" s="578"/>
      <c r="BF712" s="578"/>
      <c r="BG712" s="578"/>
      <c r="BH712" s="578"/>
      <c r="BI712" s="578"/>
      <c r="BJ712" s="578"/>
      <c r="BK712" s="578"/>
      <c r="BL712" s="578"/>
      <c r="BM712" s="578"/>
      <c r="BN712" s="578"/>
      <c r="BO712" s="578"/>
      <c r="BP712" s="578"/>
      <c r="BQ712" s="578"/>
      <c r="BR712" s="578"/>
      <c r="BS712" s="578"/>
      <c r="BT712" s="578"/>
      <c r="BU712" s="578"/>
      <c r="BV712" s="578"/>
      <c r="BW712" s="578"/>
    </row>
    <row r="713" spans="2:75" ht="14.25" customHeight="1" x14ac:dyDescent="0.3">
      <c r="B713" s="823"/>
      <c r="D713" s="824"/>
      <c r="I713" s="825"/>
      <c r="AR713" s="826"/>
      <c r="AY713" s="827"/>
      <c r="BD713" s="577"/>
      <c r="BE713" s="578"/>
      <c r="BF713" s="578"/>
      <c r="BG713" s="578"/>
      <c r="BH713" s="578"/>
      <c r="BI713" s="578"/>
      <c r="BJ713" s="578"/>
      <c r="BK713" s="578"/>
      <c r="BL713" s="578"/>
      <c r="BM713" s="578"/>
      <c r="BN713" s="578"/>
      <c r="BO713" s="578"/>
      <c r="BP713" s="578"/>
      <c r="BQ713" s="578"/>
      <c r="BR713" s="578"/>
      <c r="BS713" s="578"/>
      <c r="BT713" s="578"/>
      <c r="BU713" s="578"/>
      <c r="BV713" s="578"/>
      <c r="BW713" s="578"/>
    </row>
    <row r="714" spans="2:75" ht="14.25" customHeight="1" x14ac:dyDescent="0.3">
      <c r="B714" s="823"/>
      <c r="D714" s="824"/>
      <c r="I714" s="825"/>
      <c r="AR714" s="826"/>
      <c r="AY714" s="827"/>
      <c r="BD714" s="577"/>
      <c r="BE714" s="578"/>
      <c r="BF714" s="578"/>
      <c r="BG714" s="578"/>
      <c r="BH714" s="578"/>
      <c r="BI714" s="578"/>
      <c r="BJ714" s="578"/>
      <c r="BK714" s="578"/>
      <c r="BL714" s="578"/>
      <c r="BM714" s="578"/>
      <c r="BN714" s="578"/>
      <c r="BO714" s="578"/>
      <c r="BP714" s="578"/>
      <c r="BQ714" s="578"/>
      <c r="BR714" s="578"/>
      <c r="BS714" s="578"/>
      <c r="BT714" s="578"/>
      <c r="BU714" s="578"/>
      <c r="BV714" s="578"/>
      <c r="BW714" s="578"/>
    </row>
    <row r="715" spans="2:75" ht="14.25" customHeight="1" x14ac:dyDescent="0.3">
      <c r="B715" s="823"/>
      <c r="D715" s="824"/>
      <c r="I715" s="825"/>
      <c r="AR715" s="826"/>
      <c r="AY715" s="827"/>
      <c r="BD715" s="577"/>
      <c r="BE715" s="578"/>
      <c r="BF715" s="578"/>
      <c r="BG715" s="578"/>
      <c r="BH715" s="578"/>
      <c r="BI715" s="578"/>
      <c r="BJ715" s="578"/>
      <c r="BK715" s="578"/>
      <c r="BL715" s="578"/>
      <c r="BM715" s="578"/>
      <c r="BN715" s="578"/>
      <c r="BO715" s="578"/>
      <c r="BP715" s="578"/>
      <c r="BQ715" s="578"/>
      <c r="BR715" s="578"/>
      <c r="BS715" s="578"/>
      <c r="BT715" s="578"/>
      <c r="BU715" s="578"/>
      <c r="BV715" s="578"/>
      <c r="BW715" s="578"/>
    </row>
    <row r="716" spans="2:75" ht="14.25" customHeight="1" x14ac:dyDescent="0.3">
      <c r="B716" s="823"/>
      <c r="D716" s="824"/>
      <c r="I716" s="825"/>
      <c r="AR716" s="826"/>
      <c r="AY716" s="827"/>
      <c r="BD716" s="577"/>
      <c r="BE716" s="578"/>
      <c r="BF716" s="578"/>
      <c r="BG716" s="578"/>
      <c r="BH716" s="578"/>
      <c r="BI716" s="578"/>
      <c r="BJ716" s="578"/>
      <c r="BK716" s="578"/>
      <c r="BL716" s="578"/>
      <c r="BM716" s="578"/>
      <c r="BN716" s="578"/>
      <c r="BO716" s="578"/>
      <c r="BP716" s="578"/>
      <c r="BQ716" s="578"/>
      <c r="BR716" s="578"/>
      <c r="BS716" s="578"/>
      <c r="BT716" s="578"/>
      <c r="BU716" s="578"/>
      <c r="BV716" s="578"/>
      <c r="BW716" s="578"/>
    </row>
    <row r="717" spans="2:75" ht="14.25" customHeight="1" x14ac:dyDescent="0.3">
      <c r="B717" s="823"/>
      <c r="D717" s="824"/>
      <c r="I717" s="825"/>
      <c r="AR717" s="826"/>
      <c r="AY717" s="827"/>
      <c r="BD717" s="577"/>
      <c r="BE717" s="578"/>
      <c r="BF717" s="578"/>
      <c r="BG717" s="578"/>
      <c r="BH717" s="578"/>
      <c r="BI717" s="578"/>
      <c r="BJ717" s="578"/>
      <c r="BK717" s="578"/>
      <c r="BL717" s="578"/>
      <c r="BM717" s="578"/>
      <c r="BN717" s="578"/>
      <c r="BO717" s="578"/>
      <c r="BP717" s="578"/>
      <c r="BQ717" s="578"/>
      <c r="BR717" s="578"/>
      <c r="BS717" s="578"/>
      <c r="BT717" s="578"/>
      <c r="BU717" s="578"/>
      <c r="BV717" s="578"/>
      <c r="BW717" s="578"/>
    </row>
    <row r="718" spans="2:75" ht="14.25" customHeight="1" x14ac:dyDescent="0.3">
      <c r="B718" s="823"/>
      <c r="D718" s="824"/>
      <c r="I718" s="825"/>
      <c r="AR718" s="826"/>
      <c r="AY718" s="827"/>
      <c r="BD718" s="577"/>
      <c r="BE718" s="578"/>
      <c r="BF718" s="578"/>
      <c r="BG718" s="578"/>
      <c r="BH718" s="578"/>
      <c r="BI718" s="578"/>
      <c r="BJ718" s="578"/>
      <c r="BK718" s="578"/>
      <c r="BL718" s="578"/>
      <c r="BM718" s="578"/>
      <c r="BN718" s="578"/>
      <c r="BO718" s="578"/>
      <c r="BP718" s="578"/>
      <c r="BQ718" s="578"/>
      <c r="BR718" s="578"/>
      <c r="BS718" s="578"/>
      <c r="BT718" s="578"/>
      <c r="BU718" s="578"/>
      <c r="BV718" s="578"/>
      <c r="BW718" s="578"/>
    </row>
    <row r="719" spans="2:75" ht="14.25" customHeight="1" x14ac:dyDescent="0.3">
      <c r="B719" s="823"/>
      <c r="D719" s="824"/>
      <c r="I719" s="825"/>
      <c r="AR719" s="826"/>
      <c r="AY719" s="827"/>
      <c r="BD719" s="577"/>
      <c r="BE719" s="578"/>
      <c r="BF719" s="578"/>
      <c r="BG719" s="578"/>
      <c r="BH719" s="578"/>
      <c r="BI719" s="578"/>
      <c r="BJ719" s="578"/>
      <c r="BK719" s="578"/>
      <c r="BL719" s="578"/>
      <c r="BM719" s="578"/>
      <c r="BN719" s="578"/>
      <c r="BO719" s="578"/>
      <c r="BP719" s="578"/>
      <c r="BQ719" s="578"/>
      <c r="BR719" s="578"/>
      <c r="BS719" s="578"/>
      <c r="BT719" s="578"/>
      <c r="BU719" s="578"/>
      <c r="BV719" s="578"/>
      <c r="BW719" s="578"/>
    </row>
    <row r="720" spans="2:75" ht="14.25" customHeight="1" x14ac:dyDescent="0.3">
      <c r="B720" s="823"/>
      <c r="D720" s="824"/>
      <c r="I720" s="825"/>
      <c r="AR720" s="826"/>
      <c r="AY720" s="827"/>
      <c r="BD720" s="577"/>
      <c r="BE720" s="578"/>
      <c r="BF720" s="578"/>
      <c r="BG720" s="578"/>
      <c r="BH720" s="578"/>
      <c r="BI720" s="578"/>
      <c r="BJ720" s="578"/>
      <c r="BK720" s="578"/>
      <c r="BL720" s="578"/>
      <c r="BM720" s="578"/>
      <c r="BN720" s="578"/>
      <c r="BO720" s="578"/>
      <c r="BP720" s="578"/>
      <c r="BQ720" s="578"/>
      <c r="BR720" s="578"/>
      <c r="BS720" s="578"/>
      <c r="BT720" s="578"/>
      <c r="BU720" s="578"/>
      <c r="BV720" s="578"/>
      <c r="BW720" s="578"/>
    </row>
    <row r="721" spans="2:75" ht="14.25" customHeight="1" x14ac:dyDescent="0.3">
      <c r="B721" s="823"/>
      <c r="D721" s="824"/>
      <c r="I721" s="825"/>
      <c r="AR721" s="826"/>
      <c r="AY721" s="827"/>
      <c r="BD721" s="577"/>
      <c r="BE721" s="578"/>
      <c r="BF721" s="578"/>
      <c r="BG721" s="578"/>
      <c r="BH721" s="578"/>
      <c r="BI721" s="578"/>
      <c r="BJ721" s="578"/>
      <c r="BK721" s="578"/>
      <c r="BL721" s="578"/>
      <c r="BM721" s="578"/>
      <c r="BN721" s="578"/>
      <c r="BO721" s="578"/>
      <c r="BP721" s="578"/>
      <c r="BQ721" s="578"/>
      <c r="BR721" s="578"/>
      <c r="BS721" s="578"/>
      <c r="BT721" s="578"/>
      <c r="BU721" s="578"/>
      <c r="BV721" s="578"/>
      <c r="BW721" s="578"/>
    </row>
    <row r="722" spans="2:75" ht="14.25" customHeight="1" x14ac:dyDescent="0.3">
      <c r="B722" s="823"/>
      <c r="D722" s="824"/>
      <c r="I722" s="825"/>
      <c r="AR722" s="826"/>
      <c r="AY722" s="827"/>
      <c r="BD722" s="577"/>
      <c r="BE722" s="578"/>
      <c r="BF722" s="578"/>
      <c r="BG722" s="578"/>
      <c r="BH722" s="578"/>
      <c r="BI722" s="578"/>
      <c r="BJ722" s="578"/>
      <c r="BK722" s="578"/>
      <c r="BL722" s="578"/>
      <c r="BM722" s="578"/>
      <c r="BN722" s="578"/>
      <c r="BO722" s="578"/>
      <c r="BP722" s="578"/>
      <c r="BQ722" s="578"/>
      <c r="BR722" s="578"/>
      <c r="BS722" s="578"/>
      <c r="BT722" s="578"/>
      <c r="BU722" s="578"/>
      <c r="BV722" s="578"/>
      <c r="BW722" s="578"/>
    </row>
    <row r="723" spans="2:75" ht="14.25" customHeight="1" x14ac:dyDescent="0.3">
      <c r="B723" s="823"/>
      <c r="D723" s="824"/>
      <c r="I723" s="825"/>
      <c r="AR723" s="826"/>
      <c r="AY723" s="827"/>
      <c r="BD723" s="577"/>
      <c r="BE723" s="578"/>
      <c r="BF723" s="578"/>
      <c r="BG723" s="578"/>
      <c r="BH723" s="578"/>
      <c r="BI723" s="578"/>
      <c r="BJ723" s="578"/>
      <c r="BK723" s="578"/>
      <c r="BL723" s="578"/>
      <c r="BM723" s="578"/>
      <c r="BN723" s="578"/>
      <c r="BO723" s="578"/>
      <c r="BP723" s="578"/>
      <c r="BQ723" s="578"/>
      <c r="BR723" s="578"/>
      <c r="BS723" s="578"/>
      <c r="BT723" s="578"/>
      <c r="BU723" s="578"/>
      <c r="BV723" s="578"/>
      <c r="BW723" s="578"/>
    </row>
    <row r="724" spans="2:75" ht="14.25" customHeight="1" x14ac:dyDescent="0.3">
      <c r="B724" s="823"/>
      <c r="D724" s="824"/>
      <c r="I724" s="825"/>
      <c r="AR724" s="826"/>
      <c r="AY724" s="827"/>
      <c r="BD724" s="577"/>
      <c r="BE724" s="578"/>
      <c r="BF724" s="578"/>
      <c r="BG724" s="578"/>
      <c r="BH724" s="578"/>
      <c r="BI724" s="578"/>
      <c r="BJ724" s="578"/>
      <c r="BK724" s="578"/>
      <c r="BL724" s="578"/>
      <c r="BM724" s="578"/>
      <c r="BN724" s="578"/>
      <c r="BO724" s="578"/>
      <c r="BP724" s="578"/>
      <c r="BQ724" s="578"/>
      <c r="BR724" s="578"/>
      <c r="BS724" s="578"/>
      <c r="BT724" s="578"/>
      <c r="BU724" s="578"/>
      <c r="BV724" s="578"/>
      <c r="BW724" s="578"/>
    </row>
    <row r="725" spans="2:75" ht="14.25" customHeight="1" x14ac:dyDescent="0.3">
      <c r="B725" s="823"/>
      <c r="D725" s="824"/>
      <c r="I725" s="825"/>
      <c r="AR725" s="826"/>
      <c r="AY725" s="827"/>
      <c r="BD725" s="577"/>
      <c r="BE725" s="578"/>
      <c r="BF725" s="578"/>
      <c r="BG725" s="578"/>
      <c r="BH725" s="578"/>
      <c r="BI725" s="578"/>
      <c r="BJ725" s="578"/>
      <c r="BK725" s="578"/>
      <c r="BL725" s="578"/>
      <c r="BM725" s="578"/>
      <c r="BN725" s="578"/>
      <c r="BO725" s="578"/>
      <c r="BP725" s="578"/>
      <c r="BQ725" s="578"/>
      <c r="BR725" s="578"/>
      <c r="BS725" s="578"/>
      <c r="BT725" s="578"/>
      <c r="BU725" s="578"/>
      <c r="BV725" s="578"/>
      <c r="BW725" s="578"/>
    </row>
    <row r="726" spans="2:75" ht="14.25" customHeight="1" x14ac:dyDescent="0.3">
      <c r="B726" s="823"/>
      <c r="D726" s="824"/>
      <c r="I726" s="825"/>
      <c r="AR726" s="826"/>
      <c r="AY726" s="827"/>
      <c r="BD726" s="577"/>
      <c r="BE726" s="578"/>
      <c r="BF726" s="578"/>
      <c r="BG726" s="578"/>
      <c r="BH726" s="578"/>
      <c r="BI726" s="578"/>
      <c r="BJ726" s="578"/>
      <c r="BK726" s="578"/>
      <c r="BL726" s="578"/>
      <c r="BM726" s="578"/>
      <c r="BN726" s="578"/>
      <c r="BO726" s="578"/>
      <c r="BP726" s="578"/>
      <c r="BQ726" s="578"/>
      <c r="BR726" s="578"/>
      <c r="BS726" s="578"/>
      <c r="BT726" s="578"/>
      <c r="BU726" s="578"/>
      <c r="BV726" s="578"/>
      <c r="BW726" s="578"/>
    </row>
    <row r="727" spans="2:75" ht="14.25" customHeight="1" x14ac:dyDescent="0.3">
      <c r="B727" s="823"/>
      <c r="D727" s="824"/>
      <c r="I727" s="825"/>
      <c r="AR727" s="826"/>
      <c r="AY727" s="827"/>
      <c r="BD727" s="577"/>
      <c r="BE727" s="578"/>
      <c r="BF727" s="578"/>
      <c r="BG727" s="578"/>
      <c r="BH727" s="578"/>
      <c r="BI727" s="578"/>
      <c r="BJ727" s="578"/>
      <c r="BK727" s="578"/>
      <c r="BL727" s="578"/>
      <c r="BM727" s="578"/>
      <c r="BN727" s="578"/>
      <c r="BO727" s="578"/>
      <c r="BP727" s="578"/>
      <c r="BQ727" s="578"/>
      <c r="BR727" s="578"/>
      <c r="BS727" s="578"/>
      <c r="BT727" s="578"/>
      <c r="BU727" s="578"/>
      <c r="BV727" s="578"/>
      <c r="BW727" s="578"/>
    </row>
    <row r="728" spans="2:75" ht="14.25" customHeight="1" x14ac:dyDescent="0.3">
      <c r="B728" s="823"/>
      <c r="D728" s="824"/>
      <c r="I728" s="825"/>
      <c r="AR728" s="826"/>
      <c r="AY728" s="827"/>
      <c r="BD728" s="577"/>
      <c r="BE728" s="578"/>
      <c r="BF728" s="578"/>
      <c r="BG728" s="578"/>
      <c r="BH728" s="578"/>
      <c r="BI728" s="578"/>
      <c r="BJ728" s="578"/>
      <c r="BK728" s="578"/>
      <c r="BL728" s="578"/>
      <c r="BM728" s="578"/>
      <c r="BN728" s="578"/>
      <c r="BO728" s="578"/>
      <c r="BP728" s="578"/>
      <c r="BQ728" s="578"/>
      <c r="BR728" s="578"/>
      <c r="BS728" s="578"/>
      <c r="BT728" s="578"/>
      <c r="BU728" s="578"/>
      <c r="BV728" s="578"/>
      <c r="BW728" s="578"/>
    </row>
    <row r="729" spans="2:75" ht="14.25" customHeight="1" x14ac:dyDescent="0.3">
      <c r="B729" s="823"/>
      <c r="D729" s="824"/>
      <c r="I729" s="825"/>
      <c r="AR729" s="826"/>
      <c r="AY729" s="827"/>
      <c r="BD729" s="577"/>
      <c r="BE729" s="578"/>
      <c r="BF729" s="578"/>
      <c r="BG729" s="578"/>
      <c r="BH729" s="578"/>
      <c r="BI729" s="578"/>
      <c r="BJ729" s="578"/>
      <c r="BK729" s="578"/>
      <c r="BL729" s="578"/>
      <c r="BM729" s="578"/>
      <c r="BN729" s="578"/>
      <c r="BO729" s="578"/>
      <c r="BP729" s="578"/>
      <c r="BQ729" s="578"/>
      <c r="BR729" s="578"/>
      <c r="BS729" s="578"/>
      <c r="BT729" s="578"/>
      <c r="BU729" s="578"/>
      <c r="BV729" s="578"/>
      <c r="BW729" s="578"/>
    </row>
    <row r="730" spans="2:75" ht="14.25" customHeight="1" x14ac:dyDescent="0.3">
      <c r="B730" s="823"/>
      <c r="D730" s="824"/>
      <c r="I730" s="825"/>
      <c r="AR730" s="826"/>
      <c r="AY730" s="827"/>
      <c r="BD730" s="577"/>
      <c r="BE730" s="578"/>
      <c r="BF730" s="578"/>
      <c r="BG730" s="578"/>
      <c r="BH730" s="578"/>
      <c r="BI730" s="578"/>
      <c r="BJ730" s="578"/>
      <c r="BK730" s="578"/>
      <c r="BL730" s="578"/>
      <c r="BM730" s="578"/>
      <c r="BN730" s="578"/>
      <c r="BO730" s="578"/>
      <c r="BP730" s="578"/>
      <c r="BQ730" s="578"/>
      <c r="BR730" s="578"/>
      <c r="BS730" s="578"/>
      <c r="BT730" s="578"/>
      <c r="BU730" s="578"/>
      <c r="BV730" s="578"/>
      <c r="BW730" s="578"/>
    </row>
    <row r="731" spans="2:75" ht="14.25" customHeight="1" x14ac:dyDescent="0.3">
      <c r="B731" s="823"/>
      <c r="D731" s="824"/>
      <c r="I731" s="825"/>
      <c r="AR731" s="826"/>
      <c r="AY731" s="827"/>
      <c r="BD731" s="577"/>
      <c r="BE731" s="578"/>
      <c r="BF731" s="578"/>
      <c r="BG731" s="578"/>
      <c r="BH731" s="578"/>
      <c r="BI731" s="578"/>
      <c r="BJ731" s="578"/>
      <c r="BK731" s="578"/>
      <c r="BL731" s="578"/>
      <c r="BM731" s="578"/>
      <c r="BN731" s="578"/>
      <c r="BO731" s="578"/>
      <c r="BP731" s="578"/>
      <c r="BQ731" s="578"/>
      <c r="BR731" s="578"/>
      <c r="BS731" s="578"/>
      <c r="BT731" s="578"/>
      <c r="BU731" s="578"/>
      <c r="BV731" s="578"/>
      <c r="BW731" s="578"/>
    </row>
    <row r="732" spans="2:75" ht="14.25" customHeight="1" x14ac:dyDescent="0.3">
      <c r="B732" s="823"/>
      <c r="D732" s="824"/>
      <c r="I732" s="825"/>
      <c r="AR732" s="826"/>
      <c r="AY732" s="827"/>
      <c r="BD732" s="577"/>
      <c r="BE732" s="578"/>
      <c r="BF732" s="578"/>
      <c r="BG732" s="578"/>
      <c r="BH732" s="578"/>
      <c r="BI732" s="578"/>
      <c r="BJ732" s="578"/>
      <c r="BK732" s="578"/>
      <c r="BL732" s="578"/>
      <c r="BM732" s="578"/>
      <c r="BN732" s="578"/>
      <c r="BO732" s="578"/>
      <c r="BP732" s="578"/>
      <c r="BQ732" s="578"/>
      <c r="BR732" s="578"/>
      <c r="BS732" s="578"/>
      <c r="BT732" s="578"/>
      <c r="BU732" s="578"/>
      <c r="BV732" s="578"/>
      <c r="BW732" s="578"/>
    </row>
    <row r="733" spans="2:75" ht="14.25" customHeight="1" x14ac:dyDescent="0.3">
      <c r="B733" s="823"/>
      <c r="D733" s="824"/>
      <c r="I733" s="825"/>
      <c r="AR733" s="826"/>
      <c r="AY733" s="827"/>
      <c r="BD733" s="577"/>
      <c r="BE733" s="578"/>
      <c r="BF733" s="578"/>
      <c r="BG733" s="578"/>
      <c r="BH733" s="578"/>
      <c r="BI733" s="578"/>
      <c r="BJ733" s="578"/>
      <c r="BK733" s="578"/>
      <c r="BL733" s="578"/>
      <c r="BM733" s="578"/>
      <c r="BN733" s="578"/>
      <c r="BO733" s="578"/>
      <c r="BP733" s="578"/>
      <c r="BQ733" s="578"/>
      <c r="BR733" s="578"/>
      <c r="BS733" s="578"/>
      <c r="BT733" s="578"/>
      <c r="BU733" s="578"/>
      <c r="BV733" s="578"/>
      <c r="BW733" s="578"/>
    </row>
    <row r="734" spans="2:75" ht="14.25" customHeight="1" x14ac:dyDescent="0.3">
      <c r="B734" s="823"/>
      <c r="D734" s="824"/>
      <c r="I734" s="825"/>
      <c r="AR734" s="826"/>
      <c r="AY734" s="827"/>
      <c r="BD734" s="577"/>
      <c r="BE734" s="578"/>
      <c r="BF734" s="578"/>
      <c r="BG734" s="578"/>
      <c r="BH734" s="578"/>
      <c r="BI734" s="578"/>
      <c r="BJ734" s="578"/>
      <c r="BK734" s="578"/>
      <c r="BL734" s="578"/>
      <c r="BM734" s="578"/>
      <c r="BN734" s="578"/>
      <c r="BO734" s="578"/>
      <c r="BP734" s="578"/>
      <c r="BQ734" s="578"/>
      <c r="BR734" s="578"/>
      <c r="BS734" s="578"/>
      <c r="BT734" s="578"/>
      <c r="BU734" s="578"/>
      <c r="BV734" s="578"/>
      <c r="BW734" s="578"/>
    </row>
    <row r="735" spans="2:75" ht="14.25" customHeight="1" x14ac:dyDescent="0.3">
      <c r="B735" s="823"/>
      <c r="D735" s="824"/>
      <c r="I735" s="825"/>
      <c r="AR735" s="826"/>
      <c r="AY735" s="827"/>
      <c r="BD735" s="577"/>
      <c r="BE735" s="578"/>
      <c r="BF735" s="578"/>
      <c r="BG735" s="578"/>
      <c r="BH735" s="578"/>
      <c r="BI735" s="578"/>
      <c r="BJ735" s="578"/>
      <c r="BK735" s="578"/>
      <c r="BL735" s="578"/>
      <c r="BM735" s="578"/>
      <c r="BN735" s="578"/>
      <c r="BO735" s="578"/>
      <c r="BP735" s="578"/>
      <c r="BQ735" s="578"/>
      <c r="BR735" s="578"/>
      <c r="BS735" s="578"/>
      <c r="BT735" s="578"/>
      <c r="BU735" s="578"/>
      <c r="BV735" s="578"/>
      <c r="BW735" s="578"/>
    </row>
    <row r="736" spans="2:75" ht="14.25" customHeight="1" x14ac:dyDescent="0.3">
      <c r="B736" s="823"/>
      <c r="D736" s="824"/>
      <c r="I736" s="825"/>
      <c r="AR736" s="826"/>
      <c r="AY736" s="827"/>
      <c r="BD736" s="577"/>
      <c r="BE736" s="578"/>
      <c r="BF736" s="578"/>
      <c r="BG736" s="578"/>
      <c r="BH736" s="578"/>
      <c r="BI736" s="578"/>
      <c r="BJ736" s="578"/>
      <c r="BK736" s="578"/>
      <c r="BL736" s="578"/>
      <c r="BM736" s="578"/>
      <c r="BN736" s="578"/>
      <c r="BO736" s="578"/>
      <c r="BP736" s="578"/>
      <c r="BQ736" s="578"/>
      <c r="BR736" s="578"/>
      <c r="BS736" s="578"/>
      <c r="BT736" s="578"/>
      <c r="BU736" s="578"/>
      <c r="BV736" s="578"/>
      <c r="BW736" s="578"/>
    </row>
    <row r="737" spans="2:75" ht="14.25" customHeight="1" x14ac:dyDescent="0.3">
      <c r="B737" s="823"/>
      <c r="D737" s="824"/>
      <c r="I737" s="825"/>
      <c r="AR737" s="826"/>
      <c r="AY737" s="827"/>
      <c r="BD737" s="577"/>
      <c r="BE737" s="578"/>
      <c r="BF737" s="578"/>
      <c r="BG737" s="578"/>
      <c r="BH737" s="578"/>
      <c r="BI737" s="578"/>
      <c r="BJ737" s="578"/>
      <c r="BK737" s="578"/>
      <c r="BL737" s="578"/>
      <c r="BM737" s="578"/>
      <c r="BN737" s="578"/>
      <c r="BO737" s="578"/>
      <c r="BP737" s="578"/>
      <c r="BQ737" s="578"/>
      <c r="BR737" s="578"/>
      <c r="BS737" s="578"/>
      <c r="BT737" s="578"/>
      <c r="BU737" s="578"/>
      <c r="BV737" s="578"/>
      <c r="BW737" s="578"/>
    </row>
    <row r="738" spans="2:75" ht="14.25" customHeight="1" x14ac:dyDescent="0.3">
      <c r="B738" s="823"/>
      <c r="D738" s="824"/>
      <c r="I738" s="825"/>
      <c r="AR738" s="826"/>
      <c r="AY738" s="827"/>
      <c r="BD738" s="577"/>
      <c r="BE738" s="578"/>
      <c r="BF738" s="578"/>
      <c r="BG738" s="578"/>
      <c r="BH738" s="578"/>
      <c r="BI738" s="578"/>
      <c r="BJ738" s="578"/>
      <c r="BK738" s="578"/>
      <c r="BL738" s="578"/>
      <c r="BM738" s="578"/>
      <c r="BN738" s="578"/>
      <c r="BO738" s="578"/>
      <c r="BP738" s="578"/>
      <c r="BQ738" s="578"/>
      <c r="BR738" s="578"/>
      <c r="BS738" s="578"/>
      <c r="BT738" s="578"/>
      <c r="BU738" s="578"/>
      <c r="BV738" s="578"/>
      <c r="BW738" s="578"/>
    </row>
    <row r="739" spans="2:75" ht="14.25" customHeight="1" x14ac:dyDescent="0.3">
      <c r="B739" s="823"/>
      <c r="D739" s="824"/>
      <c r="I739" s="825"/>
      <c r="AR739" s="826"/>
      <c r="AY739" s="827"/>
      <c r="BD739" s="577"/>
      <c r="BE739" s="578"/>
      <c r="BF739" s="578"/>
      <c r="BG739" s="578"/>
      <c r="BH739" s="578"/>
      <c r="BI739" s="578"/>
      <c r="BJ739" s="578"/>
      <c r="BK739" s="578"/>
      <c r="BL739" s="578"/>
      <c r="BM739" s="578"/>
      <c r="BN739" s="578"/>
      <c r="BO739" s="578"/>
      <c r="BP739" s="578"/>
      <c r="BQ739" s="578"/>
      <c r="BR739" s="578"/>
      <c r="BS739" s="578"/>
      <c r="BT739" s="578"/>
      <c r="BU739" s="578"/>
      <c r="BV739" s="578"/>
      <c r="BW739" s="578"/>
    </row>
    <row r="740" spans="2:75" ht="14.25" customHeight="1" x14ac:dyDescent="0.3">
      <c r="B740" s="823"/>
      <c r="D740" s="824"/>
      <c r="I740" s="825"/>
      <c r="AR740" s="826"/>
      <c r="AY740" s="827"/>
      <c r="BD740" s="577"/>
      <c r="BE740" s="578"/>
      <c r="BF740" s="578"/>
      <c r="BG740" s="578"/>
      <c r="BH740" s="578"/>
      <c r="BI740" s="578"/>
      <c r="BJ740" s="578"/>
      <c r="BK740" s="578"/>
      <c r="BL740" s="578"/>
      <c r="BM740" s="578"/>
      <c r="BN740" s="578"/>
      <c r="BO740" s="578"/>
      <c r="BP740" s="578"/>
      <c r="BQ740" s="578"/>
      <c r="BR740" s="578"/>
      <c r="BS740" s="578"/>
      <c r="BT740" s="578"/>
      <c r="BU740" s="578"/>
      <c r="BV740" s="578"/>
      <c r="BW740" s="578"/>
    </row>
    <row r="741" spans="2:75" ht="14.25" customHeight="1" x14ac:dyDescent="0.3">
      <c r="B741" s="823"/>
      <c r="D741" s="824"/>
      <c r="I741" s="825"/>
      <c r="AR741" s="826"/>
      <c r="AY741" s="827"/>
      <c r="BD741" s="577"/>
      <c r="BE741" s="578"/>
      <c r="BF741" s="578"/>
      <c r="BG741" s="578"/>
      <c r="BH741" s="578"/>
      <c r="BI741" s="578"/>
      <c r="BJ741" s="578"/>
      <c r="BK741" s="578"/>
      <c r="BL741" s="578"/>
      <c r="BM741" s="578"/>
      <c r="BN741" s="578"/>
      <c r="BO741" s="578"/>
      <c r="BP741" s="578"/>
      <c r="BQ741" s="578"/>
      <c r="BR741" s="578"/>
      <c r="BS741" s="578"/>
      <c r="BT741" s="578"/>
      <c r="BU741" s="578"/>
      <c r="BV741" s="578"/>
      <c r="BW741" s="578"/>
    </row>
    <row r="742" spans="2:75" ht="14.25" customHeight="1" x14ac:dyDescent="0.3">
      <c r="B742" s="823"/>
      <c r="D742" s="824"/>
      <c r="I742" s="825"/>
      <c r="AR742" s="826"/>
      <c r="AY742" s="827"/>
      <c r="BD742" s="577"/>
      <c r="BE742" s="578"/>
      <c r="BF742" s="578"/>
      <c r="BG742" s="578"/>
      <c r="BH742" s="578"/>
      <c r="BI742" s="578"/>
      <c r="BJ742" s="578"/>
      <c r="BK742" s="578"/>
      <c r="BL742" s="578"/>
      <c r="BM742" s="578"/>
      <c r="BN742" s="578"/>
      <c r="BO742" s="578"/>
      <c r="BP742" s="578"/>
      <c r="BQ742" s="578"/>
      <c r="BR742" s="578"/>
      <c r="BS742" s="578"/>
      <c r="BT742" s="578"/>
      <c r="BU742" s="578"/>
      <c r="BV742" s="578"/>
      <c r="BW742" s="578"/>
    </row>
    <row r="743" spans="2:75" ht="14.25" customHeight="1" x14ac:dyDescent="0.3">
      <c r="B743" s="823"/>
      <c r="D743" s="824"/>
      <c r="I743" s="825"/>
      <c r="AR743" s="826"/>
      <c r="AY743" s="827"/>
      <c r="BD743" s="577"/>
      <c r="BE743" s="578"/>
      <c r="BF743" s="578"/>
      <c r="BG743" s="578"/>
      <c r="BH743" s="578"/>
      <c r="BI743" s="578"/>
      <c r="BJ743" s="578"/>
      <c r="BK743" s="578"/>
      <c r="BL743" s="578"/>
      <c r="BM743" s="578"/>
      <c r="BN743" s="578"/>
      <c r="BO743" s="578"/>
      <c r="BP743" s="578"/>
      <c r="BQ743" s="578"/>
      <c r="BR743" s="578"/>
      <c r="BS743" s="578"/>
      <c r="BT743" s="578"/>
      <c r="BU743" s="578"/>
      <c r="BV743" s="578"/>
      <c r="BW743" s="578"/>
    </row>
    <row r="744" spans="2:75" ht="14.25" customHeight="1" x14ac:dyDescent="0.3">
      <c r="B744" s="823"/>
      <c r="D744" s="824"/>
      <c r="I744" s="825"/>
      <c r="AR744" s="826"/>
      <c r="AY744" s="827"/>
      <c r="BD744" s="577"/>
      <c r="BE744" s="578"/>
      <c r="BF744" s="578"/>
      <c r="BG744" s="578"/>
      <c r="BH744" s="578"/>
      <c r="BI744" s="578"/>
      <c r="BJ744" s="578"/>
      <c r="BK744" s="578"/>
      <c r="BL744" s="578"/>
      <c r="BM744" s="578"/>
      <c r="BN744" s="578"/>
      <c r="BO744" s="578"/>
      <c r="BP744" s="578"/>
      <c r="BQ744" s="578"/>
      <c r="BR744" s="578"/>
      <c r="BS744" s="578"/>
      <c r="BT744" s="578"/>
      <c r="BU744" s="578"/>
      <c r="BV744" s="578"/>
      <c r="BW744" s="578"/>
    </row>
    <row r="745" spans="2:75" ht="14.25" customHeight="1" x14ac:dyDescent="0.3">
      <c r="B745" s="823"/>
      <c r="D745" s="824"/>
      <c r="I745" s="825"/>
      <c r="AR745" s="826"/>
      <c r="AY745" s="827"/>
      <c r="BD745" s="577"/>
      <c r="BE745" s="578"/>
      <c r="BF745" s="578"/>
      <c r="BG745" s="578"/>
      <c r="BH745" s="578"/>
      <c r="BI745" s="578"/>
      <c r="BJ745" s="578"/>
      <c r="BK745" s="578"/>
      <c r="BL745" s="578"/>
      <c r="BM745" s="578"/>
      <c r="BN745" s="578"/>
      <c r="BO745" s="578"/>
      <c r="BP745" s="578"/>
      <c r="BQ745" s="578"/>
      <c r="BR745" s="578"/>
      <c r="BS745" s="578"/>
      <c r="BT745" s="578"/>
      <c r="BU745" s="578"/>
      <c r="BV745" s="578"/>
      <c r="BW745" s="578"/>
    </row>
    <row r="746" spans="2:75" ht="14.25" customHeight="1" x14ac:dyDescent="0.3">
      <c r="B746" s="823"/>
      <c r="D746" s="824"/>
      <c r="I746" s="825"/>
      <c r="AR746" s="826"/>
      <c r="AY746" s="827"/>
      <c r="BD746" s="577"/>
      <c r="BE746" s="578"/>
      <c r="BF746" s="578"/>
      <c r="BG746" s="578"/>
      <c r="BH746" s="578"/>
      <c r="BI746" s="578"/>
      <c r="BJ746" s="578"/>
      <c r="BK746" s="578"/>
      <c r="BL746" s="578"/>
      <c r="BM746" s="578"/>
      <c r="BN746" s="578"/>
      <c r="BO746" s="578"/>
      <c r="BP746" s="578"/>
      <c r="BQ746" s="578"/>
      <c r="BR746" s="578"/>
      <c r="BS746" s="578"/>
      <c r="BT746" s="578"/>
      <c r="BU746" s="578"/>
      <c r="BV746" s="578"/>
      <c r="BW746" s="578"/>
    </row>
    <row r="747" spans="2:75" ht="14.25" customHeight="1" x14ac:dyDescent="0.3">
      <c r="B747" s="823"/>
      <c r="D747" s="824"/>
      <c r="I747" s="825"/>
      <c r="AR747" s="826"/>
      <c r="AY747" s="827"/>
      <c r="BD747" s="577"/>
      <c r="BE747" s="578"/>
      <c r="BF747" s="578"/>
      <c r="BG747" s="578"/>
      <c r="BH747" s="578"/>
      <c r="BI747" s="578"/>
      <c r="BJ747" s="578"/>
      <c r="BK747" s="578"/>
      <c r="BL747" s="578"/>
      <c r="BM747" s="578"/>
      <c r="BN747" s="578"/>
      <c r="BO747" s="578"/>
      <c r="BP747" s="578"/>
      <c r="BQ747" s="578"/>
      <c r="BR747" s="578"/>
      <c r="BS747" s="578"/>
      <c r="BT747" s="578"/>
      <c r="BU747" s="578"/>
      <c r="BV747" s="578"/>
      <c r="BW747" s="578"/>
    </row>
    <row r="748" spans="2:75" ht="14.25" customHeight="1" x14ac:dyDescent="0.3">
      <c r="B748" s="823"/>
      <c r="D748" s="824"/>
      <c r="I748" s="825"/>
      <c r="AR748" s="826"/>
      <c r="AY748" s="827"/>
      <c r="BD748" s="577"/>
      <c r="BE748" s="578"/>
      <c r="BF748" s="578"/>
      <c r="BG748" s="578"/>
      <c r="BH748" s="578"/>
      <c r="BI748" s="578"/>
      <c r="BJ748" s="578"/>
      <c r="BK748" s="578"/>
      <c r="BL748" s="578"/>
      <c r="BM748" s="578"/>
      <c r="BN748" s="578"/>
      <c r="BO748" s="578"/>
      <c r="BP748" s="578"/>
      <c r="BQ748" s="578"/>
      <c r="BR748" s="578"/>
      <c r="BS748" s="578"/>
      <c r="BT748" s="578"/>
      <c r="BU748" s="578"/>
      <c r="BV748" s="578"/>
      <c r="BW748" s="578"/>
    </row>
    <row r="749" spans="2:75" ht="14.25" customHeight="1" x14ac:dyDescent="0.3">
      <c r="B749" s="823"/>
      <c r="D749" s="824"/>
      <c r="I749" s="825"/>
      <c r="AR749" s="826"/>
      <c r="AY749" s="827"/>
      <c r="BD749" s="577"/>
      <c r="BE749" s="578"/>
      <c r="BF749" s="578"/>
      <c r="BG749" s="578"/>
      <c r="BH749" s="578"/>
      <c r="BI749" s="578"/>
      <c r="BJ749" s="578"/>
      <c r="BK749" s="578"/>
      <c r="BL749" s="578"/>
      <c r="BM749" s="578"/>
      <c r="BN749" s="578"/>
      <c r="BO749" s="578"/>
      <c r="BP749" s="578"/>
      <c r="BQ749" s="578"/>
      <c r="BR749" s="578"/>
      <c r="BS749" s="578"/>
      <c r="BT749" s="578"/>
      <c r="BU749" s="578"/>
      <c r="BV749" s="578"/>
      <c r="BW749" s="578"/>
    </row>
    <row r="750" spans="2:75" ht="14.25" customHeight="1" x14ac:dyDescent="0.3">
      <c r="B750" s="823"/>
      <c r="D750" s="824"/>
      <c r="I750" s="825"/>
      <c r="AR750" s="826"/>
      <c r="AY750" s="827"/>
      <c r="BD750" s="577"/>
      <c r="BE750" s="578"/>
      <c r="BF750" s="578"/>
      <c r="BG750" s="578"/>
      <c r="BH750" s="578"/>
      <c r="BI750" s="578"/>
      <c r="BJ750" s="578"/>
      <c r="BK750" s="578"/>
      <c r="BL750" s="578"/>
      <c r="BM750" s="578"/>
      <c r="BN750" s="578"/>
      <c r="BO750" s="578"/>
      <c r="BP750" s="578"/>
      <c r="BQ750" s="578"/>
      <c r="BR750" s="578"/>
      <c r="BS750" s="578"/>
      <c r="BT750" s="578"/>
      <c r="BU750" s="578"/>
      <c r="BV750" s="578"/>
      <c r="BW750" s="578"/>
    </row>
    <row r="751" spans="2:75" ht="14.25" customHeight="1" x14ac:dyDescent="0.3">
      <c r="B751" s="823"/>
      <c r="D751" s="824"/>
      <c r="I751" s="825"/>
      <c r="AR751" s="826"/>
      <c r="AY751" s="827"/>
      <c r="BD751" s="577"/>
      <c r="BE751" s="578"/>
      <c r="BF751" s="578"/>
      <c r="BG751" s="578"/>
      <c r="BH751" s="578"/>
      <c r="BI751" s="578"/>
      <c r="BJ751" s="578"/>
      <c r="BK751" s="578"/>
      <c r="BL751" s="578"/>
      <c r="BM751" s="578"/>
      <c r="BN751" s="578"/>
      <c r="BO751" s="578"/>
      <c r="BP751" s="578"/>
      <c r="BQ751" s="578"/>
      <c r="BR751" s="578"/>
      <c r="BS751" s="578"/>
      <c r="BT751" s="578"/>
      <c r="BU751" s="578"/>
      <c r="BV751" s="578"/>
      <c r="BW751" s="578"/>
    </row>
    <row r="752" spans="2:75" ht="14.25" customHeight="1" x14ac:dyDescent="0.3">
      <c r="B752" s="823"/>
      <c r="D752" s="824"/>
      <c r="I752" s="825"/>
      <c r="AR752" s="826"/>
      <c r="AY752" s="827"/>
      <c r="BD752" s="577"/>
      <c r="BE752" s="578"/>
      <c r="BF752" s="578"/>
      <c r="BG752" s="578"/>
      <c r="BH752" s="578"/>
      <c r="BI752" s="578"/>
      <c r="BJ752" s="578"/>
      <c r="BK752" s="578"/>
      <c r="BL752" s="578"/>
      <c r="BM752" s="578"/>
      <c r="BN752" s="578"/>
      <c r="BO752" s="578"/>
      <c r="BP752" s="578"/>
      <c r="BQ752" s="578"/>
      <c r="BR752" s="578"/>
      <c r="BS752" s="578"/>
      <c r="BT752" s="578"/>
      <c r="BU752" s="578"/>
      <c r="BV752" s="578"/>
      <c r="BW752" s="578"/>
    </row>
    <row r="753" spans="2:75" ht="14.25" customHeight="1" x14ac:dyDescent="0.3">
      <c r="B753" s="823"/>
      <c r="D753" s="824"/>
      <c r="I753" s="825"/>
      <c r="AR753" s="826"/>
      <c r="AY753" s="827"/>
      <c r="BD753" s="577"/>
      <c r="BE753" s="578"/>
      <c r="BF753" s="578"/>
      <c r="BG753" s="578"/>
      <c r="BH753" s="578"/>
      <c r="BI753" s="578"/>
      <c r="BJ753" s="578"/>
      <c r="BK753" s="578"/>
      <c r="BL753" s="578"/>
      <c r="BM753" s="578"/>
      <c r="BN753" s="578"/>
      <c r="BO753" s="578"/>
      <c r="BP753" s="578"/>
      <c r="BQ753" s="578"/>
      <c r="BR753" s="578"/>
      <c r="BS753" s="578"/>
      <c r="BT753" s="578"/>
      <c r="BU753" s="578"/>
      <c r="BV753" s="578"/>
      <c r="BW753" s="578"/>
    </row>
    <row r="754" spans="2:75" ht="14.25" customHeight="1" x14ac:dyDescent="0.3">
      <c r="B754" s="823"/>
      <c r="D754" s="824"/>
      <c r="I754" s="825"/>
      <c r="AR754" s="826"/>
      <c r="AY754" s="827"/>
      <c r="BD754" s="577"/>
      <c r="BE754" s="578"/>
      <c r="BF754" s="578"/>
      <c r="BG754" s="578"/>
      <c r="BH754" s="578"/>
      <c r="BI754" s="578"/>
      <c r="BJ754" s="578"/>
      <c r="BK754" s="578"/>
      <c r="BL754" s="578"/>
      <c r="BM754" s="578"/>
      <c r="BN754" s="578"/>
      <c r="BO754" s="578"/>
      <c r="BP754" s="578"/>
      <c r="BQ754" s="578"/>
      <c r="BR754" s="578"/>
      <c r="BS754" s="578"/>
      <c r="BT754" s="578"/>
      <c r="BU754" s="578"/>
      <c r="BV754" s="578"/>
      <c r="BW754" s="578"/>
    </row>
    <row r="755" spans="2:75" ht="14.25" customHeight="1" x14ac:dyDescent="0.3">
      <c r="B755" s="823"/>
      <c r="D755" s="824"/>
      <c r="I755" s="825"/>
      <c r="AR755" s="826"/>
      <c r="AY755" s="827"/>
      <c r="BD755" s="577"/>
      <c r="BE755" s="578"/>
      <c r="BF755" s="578"/>
      <c r="BG755" s="578"/>
      <c r="BH755" s="578"/>
      <c r="BI755" s="578"/>
      <c r="BJ755" s="578"/>
      <c r="BK755" s="578"/>
      <c r="BL755" s="578"/>
      <c r="BM755" s="578"/>
      <c r="BN755" s="578"/>
      <c r="BO755" s="578"/>
      <c r="BP755" s="578"/>
      <c r="BQ755" s="578"/>
      <c r="BR755" s="578"/>
      <c r="BS755" s="578"/>
      <c r="BT755" s="578"/>
      <c r="BU755" s="578"/>
      <c r="BV755" s="578"/>
      <c r="BW755" s="578"/>
    </row>
    <row r="756" spans="2:75" ht="14.25" customHeight="1" x14ac:dyDescent="0.3">
      <c r="B756" s="823"/>
      <c r="D756" s="824"/>
      <c r="I756" s="825"/>
      <c r="AR756" s="826"/>
      <c r="AY756" s="827"/>
      <c r="BD756" s="577"/>
      <c r="BE756" s="578"/>
      <c r="BF756" s="578"/>
      <c r="BG756" s="578"/>
      <c r="BH756" s="578"/>
      <c r="BI756" s="578"/>
      <c r="BJ756" s="578"/>
      <c r="BK756" s="578"/>
      <c r="BL756" s="578"/>
      <c r="BM756" s="578"/>
      <c r="BN756" s="578"/>
      <c r="BO756" s="578"/>
      <c r="BP756" s="578"/>
      <c r="BQ756" s="578"/>
      <c r="BR756" s="578"/>
      <c r="BS756" s="578"/>
      <c r="BT756" s="578"/>
      <c r="BU756" s="578"/>
      <c r="BV756" s="578"/>
      <c r="BW756" s="578"/>
    </row>
    <row r="757" spans="2:75" ht="14.25" customHeight="1" x14ac:dyDescent="0.3">
      <c r="B757" s="823"/>
      <c r="D757" s="824"/>
      <c r="I757" s="825"/>
      <c r="AR757" s="826"/>
      <c r="AY757" s="827"/>
      <c r="BD757" s="577"/>
      <c r="BE757" s="578"/>
      <c r="BF757" s="578"/>
      <c r="BG757" s="578"/>
      <c r="BH757" s="578"/>
      <c r="BI757" s="578"/>
      <c r="BJ757" s="578"/>
      <c r="BK757" s="578"/>
      <c r="BL757" s="578"/>
      <c r="BM757" s="578"/>
      <c r="BN757" s="578"/>
      <c r="BO757" s="578"/>
      <c r="BP757" s="578"/>
      <c r="BQ757" s="578"/>
      <c r="BR757" s="578"/>
      <c r="BS757" s="578"/>
      <c r="BT757" s="578"/>
      <c r="BU757" s="578"/>
      <c r="BV757" s="578"/>
      <c r="BW757" s="578"/>
    </row>
    <row r="758" spans="2:75" ht="14.25" customHeight="1" x14ac:dyDescent="0.3">
      <c r="B758" s="823"/>
      <c r="D758" s="824"/>
      <c r="I758" s="825"/>
      <c r="AR758" s="826"/>
      <c r="AY758" s="827"/>
      <c r="BD758" s="577"/>
      <c r="BE758" s="578"/>
      <c r="BF758" s="578"/>
      <c r="BG758" s="578"/>
      <c r="BH758" s="578"/>
      <c r="BI758" s="578"/>
      <c r="BJ758" s="578"/>
      <c r="BK758" s="578"/>
      <c r="BL758" s="578"/>
      <c r="BM758" s="578"/>
      <c r="BN758" s="578"/>
      <c r="BO758" s="578"/>
      <c r="BP758" s="578"/>
      <c r="BQ758" s="578"/>
      <c r="BR758" s="578"/>
      <c r="BS758" s="578"/>
      <c r="BT758" s="578"/>
      <c r="BU758" s="578"/>
      <c r="BV758" s="578"/>
      <c r="BW758" s="578"/>
    </row>
    <row r="759" spans="2:75" ht="14.25" customHeight="1" x14ac:dyDescent="0.3">
      <c r="B759" s="823"/>
      <c r="D759" s="824"/>
      <c r="I759" s="825"/>
      <c r="AR759" s="826"/>
      <c r="AY759" s="827"/>
      <c r="BD759" s="577"/>
      <c r="BE759" s="578"/>
      <c r="BF759" s="578"/>
      <c r="BG759" s="578"/>
      <c r="BH759" s="578"/>
      <c r="BI759" s="578"/>
      <c r="BJ759" s="578"/>
      <c r="BK759" s="578"/>
      <c r="BL759" s="578"/>
      <c r="BM759" s="578"/>
      <c r="BN759" s="578"/>
      <c r="BO759" s="578"/>
      <c r="BP759" s="578"/>
      <c r="BQ759" s="578"/>
      <c r="BR759" s="578"/>
      <c r="BS759" s="578"/>
      <c r="BT759" s="578"/>
      <c r="BU759" s="578"/>
      <c r="BV759" s="578"/>
      <c r="BW759" s="578"/>
    </row>
    <row r="760" spans="2:75" ht="14.25" customHeight="1" x14ac:dyDescent="0.3">
      <c r="B760" s="823"/>
      <c r="D760" s="824"/>
      <c r="I760" s="825"/>
      <c r="AR760" s="826"/>
      <c r="AY760" s="827"/>
      <c r="BD760" s="577"/>
      <c r="BE760" s="578"/>
      <c r="BF760" s="578"/>
      <c r="BG760" s="578"/>
      <c r="BH760" s="578"/>
      <c r="BI760" s="578"/>
      <c r="BJ760" s="578"/>
      <c r="BK760" s="578"/>
      <c r="BL760" s="578"/>
      <c r="BM760" s="578"/>
      <c r="BN760" s="578"/>
      <c r="BO760" s="578"/>
      <c r="BP760" s="578"/>
      <c r="BQ760" s="578"/>
      <c r="BR760" s="578"/>
      <c r="BS760" s="578"/>
      <c r="BT760" s="578"/>
      <c r="BU760" s="578"/>
      <c r="BV760" s="578"/>
      <c r="BW760" s="578"/>
    </row>
    <row r="761" spans="2:75" ht="14.25" customHeight="1" x14ac:dyDescent="0.3">
      <c r="B761" s="823"/>
      <c r="D761" s="824"/>
      <c r="I761" s="825"/>
      <c r="AR761" s="826"/>
      <c r="AY761" s="827"/>
      <c r="BD761" s="577"/>
      <c r="BE761" s="578"/>
      <c r="BF761" s="578"/>
      <c r="BG761" s="578"/>
      <c r="BH761" s="578"/>
      <c r="BI761" s="578"/>
      <c r="BJ761" s="578"/>
      <c r="BK761" s="578"/>
      <c r="BL761" s="578"/>
      <c r="BM761" s="578"/>
      <c r="BN761" s="578"/>
      <c r="BO761" s="578"/>
      <c r="BP761" s="578"/>
      <c r="BQ761" s="578"/>
      <c r="BR761" s="578"/>
      <c r="BS761" s="578"/>
      <c r="BT761" s="578"/>
      <c r="BU761" s="578"/>
      <c r="BV761" s="578"/>
      <c r="BW761" s="578"/>
    </row>
    <row r="762" spans="2:75" ht="14.25" customHeight="1" x14ac:dyDescent="0.3">
      <c r="B762" s="823"/>
      <c r="D762" s="824"/>
      <c r="I762" s="825"/>
      <c r="AR762" s="826"/>
      <c r="AY762" s="827"/>
      <c r="BD762" s="577"/>
      <c r="BE762" s="578"/>
      <c r="BF762" s="578"/>
      <c r="BG762" s="578"/>
      <c r="BH762" s="578"/>
      <c r="BI762" s="578"/>
      <c r="BJ762" s="578"/>
      <c r="BK762" s="578"/>
      <c r="BL762" s="578"/>
      <c r="BM762" s="578"/>
      <c r="BN762" s="578"/>
      <c r="BO762" s="578"/>
      <c r="BP762" s="578"/>
      <c r="BQ762" s="578"/>
      <c r="BR762" s="578"/>
      <c r="BS762" s="578"/>
      <c r="BT762" s="578"/>
      <c r="BU762" s="578"/>
      <c r="BV762" s="578"/>
      <c r="BW762" s="578"/>
    </row>
    <row r="763" spans="2:75" ht="14.25" customHeight="1" x14ac:dyDescent="0.3">
      <c r="B763" s="823"/>
      <c r="D763" s="824"/>
      <c r="I763" s="825"/>
      <c r="AR763" s="826"/>
      <c r="AY763" s="827"/>
      <c r="BD763" s="577"/>
      <c r="BE763" s="578"/>
      <c r="BF763" s="578"/>
      <c r="BG763" s="578"/>
      <c r="BH763" s="578"/>
      <c r="BI763" s="578"/>
      <c r="BJ763" s="578"/>
      <c r="BK763" s="578"/>
      <c r="BL763" s="578"/>
      <c r="BM763" s="578"/>
      <c r="BN763" s="578"/>
      <c r="BO763" s="578"/>
      <c r="BP763" s="578"/>
      <c r="BQ763" s="578"/>
      <c r="BR763" s="578"/>
      <c r="BS763" s="578"/>
      <c r="BT763" s="578"/>
      <c r="BU763" s="578"/>
      <c r="BV763" s="578"/>
      <c r="BW763" s="578"/>
    </row>
    <row r="764" spans="2:75" ht="14.25" customHeight="1" x14ac:dyDescent="0.3">
      <c r="B764" s="823"/>
      <c r="D764" s="824"/>
      <c r="I764" s="825"/>
      <c r="AR764" s="826"/>
      <c r="AY764" s="827"/>
      <c r="BD764" s="577"/>
      <c r="BE764" s="578"/>
      <c r="BF764" s="578"/>
      <c r="BG764" s="578"/>
      <c r="BH764" s="578"/>
      <c r="BI764" s="578"/>
      <c r="BJ764" s="578"/>
      <c r="BK764" s="578"/>
      <c r="BL764" s="578"/>
      <c r="BM764" s="578"/>
      <c r="BN764" s="578"/>
      <c r="BO764" s="578"/>
      <c r="BP764" s="578"/>
      <c r="BQ764" s="578"/>
      <c r="BR764" s="578"/>
      <c r="BS764" s="578"/>
      <c r="BT764" s="578"/>
      <c r="BU764" s="578"/>
      <c r="BV764" s="578"/>
      <c r="BW764" s="578"/>
    </row>
    <row r="765" spans="2:75" ht="14.25" customHeight="1" x14ac:dyDescent="0.3">
      <c r="B765" s="823"/>
      <c r="D765" s="824"/>
      <c r="I765" s="825"/>
      <c r="AR765" s="826"/>
      <c r="AY765" s="827"/>
      <c r="BD765" s="577"/>
      <c r="BE765" s="578"/>
      <c r="BF765" s="578"/>
      <c r="BG765" s="578"/>
      <c r="BH765" s="578"/>
      <c r="BI765" s="578"/>
      <c r="BJ765" s="578"/>
      <c r="BK765" s="578"/>
      <c r="BL765" s="578"/>
      <c r="BM765" s="578"/>
      <c r="BN765" s="578"/>
      <c r="BO765" s="578"/>
      <c r="BP765" s="578"/>
      <c r="BQ765" s="578"/>
      <c r="BR765" s="578"/>
      <c r="BS765" s="578"/>
      <c r="BT765" s="578"/>
      <c r="BU765" s="578"/>
      <c r="BV765" s="578"/>
      <c r="BW765" s="578"/>
    </row>
    <row r="766" spans="2:75" ht="14.25" customHeight="1" x14ac:dyDescent="0.3">
      <c r="B766" s="823"/>
      <c r="D766" s="824"/>
      <c r="I766" s="825"/>
      <c r="AR766" s="826"/>
      <c r="AY766" s="827"/>
      <c r="BD766" s="577"/>
      <c r="BE766" s="578"/>
      <c r="BF766" s="578"/>
      <c r="BG766" s="578"/>
      <c r="BH766" s="578"/>
      <c r="BI766" s="578"/>
      <c r="BJ766" s="578"/>
      <c r="BK766" s="578"/>
      <c r="BL766" s="578"/>
      <c r="BM766" s="578"/>
      <c r="BN766" s="578"/>
      <c r="BO766" s="578"/>
      <c r="BP766" s="578"/>
      <c r="BQ766" s="578"/>
      <c r="BR766" s="578"/>
      <c r="BS766" s="578"/>
      <c r="BT766" s="578"/>
      <c r="BU766" s="578"/>
      <c r="BV766" s="578"/>
      <c r="BW766" s="578"/>
    </row>
    <row r="767" spans="2:75" ht="14.25" customHeight="1" x14ac:dyDescent="0.3">
      <c r="B767" s="823"/>
      <c r="D767" s="824"/>
      <c r="I767" s="825"/>
      <c r="AR767" s="826"/>
      <c r="AY767" s="827"/>
      <c r="BD767" s="577"/>
      <c r="BE767" s="578"/>
      <c r="BF767" s="578"/>
      <c r="BG767" s="578"/>
      <c r="BH767" s="578"/>
      <c r="BI767" s="578"/>
      <c r="BJ767" s="578"/>
      <c r="BK767" s="578"/>
      <c r="BL767" s="578"/>
      <c r="BM767" s="578"/>
      <c r="BN767" s="578"/>
      <c r="BO767" s="578"/>
      <c r="BP767" s="578"/>
      <c r="BQ767" s="578"/>
      <c r="BR767" s="578"/>
      <c r="BS767" s="578"/>
      <c r="BT767" s="578"/>
      <c r="BU767" s="578"/>
      <c r="BV767" s="578"/>
      <c r="BW767" s="578"/>
    </row>
    <row r="768" spans="2:75" ht="14.25" customHeight="1" x14ac:dyDescent="0.3">
      <c r="B768" s="823"/>
      <c r="D768" s="824"/>
      <c r="I768" s="825"/>
      <c r="AR768" s="826"/>
      <c r="AY768" s="827"/>
      <c r="BD768" s="577"/>
      <c r="BE768" s="578"/>
      <c r="BF768" s="578"/>
      <c r="BG768" s="578"/>
      <c r="BH768" s="578"/>
      <c r="BI768" s="578"/>
      <c r="BJ768" s="578"/>
      <c r="BK768" s="578"/>
      <c r="BL768" s="578"/>
      <c r="BM768" s="578"/>
      <c r="BN768" s="578"/>
      <c r="BO768" s="578"/>
      <c r="BP768" s="578"/>
      <c r="BQ768" s="578"/>
      <c r="BR768" s="578"/>
      <c r="BS768" s="578"/>
      <c r="BT768" s="578"/>
      <c r="BU768" s="578"/>
      <c r="BV768" s="578"/>
      <c r="BW768" s="578"/>
    </row>
    <row r="769" spans="2:75" ht="14.25" customHeight="1" x14ac:dyDescent="0.3">
      <c r="B769" s="823"/>
      <c r="D769" s="824"/>
      <c r="I769" s="825"/>
      <c r="AR769" s="826"/>
      <c r="AY769" s="827"/>
      <c r="BD769" s="577"/>
      <c r="BE769" s="578"/>
      <c r="BF769" s="578"/>
      <c r="BG769" s="578"/>
      <c r="BH769" s="578"/>
      <c r="BI769" s="578"/>
      <c r="BJ769" s="578"/>
      <c r="BK769" s="578"/>
      <c r="BL769" s="578"/>
      <c r="BM769" s="578"/>
      <c r="BN769" s="578"/>
      <c r="BO769" s="578"/>
      <c r="BP769" s="578"/>
      <c r="BQ769" s="578"/>
      <c r="BR769" s="578"/>
      <c r="BS769" s="578"/>
      <c r="BT769" s="578"/>
      <c r="BU769" s="578"/>
      <c r="BV769" s="578"/>
      <c r="BW769" s="578"/>
    </row>
    <row r="770" spans="2:75" ht="14.25" customHeight="1" x14ac:dyDescent="0.3">
      <c r="B770" s="823"/>
      <c r="D770" s="824"/>
      <c r="I770" s="825"/>
      <c r="AR770" s="826"/>
      <c r="AY770" s="827"/>
      <c r="BD770" s="577"/>
      <c r="BE770" s="578"/>
      <c r="BF770" s="578"/>
      <c r="BG770" s="578"/>
      <c r="BH770" s="578"/>
      <c r="BI770" s="578"/>
      <c r="BJ770" s="578"/>
      <c r="BK770" s="578"/>
      <c r="BL770" s="578"/>
      <c r="BM770" s="578"/>
      <c r="BN770" s="578"/>
      <c r="BO770" s="578"/>
      <c r="BP770" s="578"/>
      <c r="BQ770" s="578"/>
      <c r="BR770" s="578"/>
      <c r="BS770" s="578"/>
      <c r="BT770" s="578"/>
      <c r="BU770" s="578"/>
      <c r="BV770" s="578"/>
      <c r="BW770" s="578"/>
    </row>
    <row r="771" spans="2:75" ht="14.25" customHeight="1" x14ac:dyDescent="0.3">
      <c r="B771" s="823"/>
      <c r="D771" s="824"/>
      <c r="I771" s="825"/>
      <c r="AR771" s="826"/>
      <c r="AY771" s="827"/>
      <c r="BD771" s="577"/>
      <c r="BE771" s="578"/>
      <c r="BF771" s="578"/>
      <c r="BG771" s="578"/>
      <c r="BH771" s="578"/>
      <c r="BI771" s="578"/>
      <c r="BJ771" s="578"/>
      <c r="BK771" s="578"/>
      <c r="BL771" s="578"/>
      <c r="BM771" s="578"/>
      <c r="BN771" s="578"/>
      <c r="BO771" s="578"/>
      <c r="BP771" s="578"/>
      <c r="BQ771" s="578"/>
      <c r="BR771" s="578"/>
      <c r="BS771" s="578"/>
      <c r="BT771" s="578"/>
      <c r="BU771" s="578"/>
      <c r="BV771" s="578"/>
      <c r="BW771" s="578"/>
    </row>
    <row r="772" spans="2:75" ht="14.25" customHeight="1" x14ac:dyDescent="0.3">
      <c r="B772" s="823"/>
      <c r="D772" s="824"/>
      <c r="I772" s="825"/>
      <c r="AR772" s="826"/>
      <c r="AY772" s="827"/>
      <c r="BD772" s="577"/>
      <c r="BE772" s="578"/>
      <c r="BF772" s="578"/>
      <c r="BG772" s="578"/>
      <c r="BH772" s="578"/>
      <c r="BI772" s="578"/>
      <c r="BJ772" s="578"/>
      <c r="BK772" s="578"/>
      <c r="BL772" s="578"/>
      <c r="BM772" s="578"/>
      <c r="BN772" s="578"/>
      <c r="BO772" s="578"/>
      <c r="BP772" s="578"/>
      <c r="BQ772" s="578"/>
      <c r="BR772" s="578"/>
      <c r="BS772" s="578"/>
      <c r="BT772" s="578"/>
      <c r="BU772" s="578"/>
      <c r="BV772" s="578"/>
      <c r="BW772" s="578"/>
    </row>
    <row r="773" spans="2:75" ht="14.25" customHeight="1" x14ac:dyDescent="0.3">
      <c r="B773" s="823"/>
      <c r="D773" s="824"/>
      <c r="I773" s="825"/>
      <c r="AR773" s="826"/>
      <c r="AY773" s="827"/>
      <c r="BD773" s="577"/>
      <c r="BE773" s="578"/>
      <c r="BF773" s="578"/>
      <c r="BG773" s="578"/>
      <c r="BH773" s="578"/>
      <c r="BI773" s="578"/>
      <c r="BJ773" s="578"/>
      <c r="BK773" s="578"/>
      <c r="BL773" s="578"/>
      <c r="BM773" s="578"/>
      <c r="BN773" s="578"/>
      <c r="BO773" s="578"/>
      <c r="BP773" s="578"/>
      <c r="BQ773" s="578"/>
      <c r="BR773" s="578"/>
      <c r="BS773" s="578"/>
      <c r="BT773" s="578"/>
      <c r="BU773" s="578"/>
      <c r="BV773" s="578"/>
      <c r="BW773" s="578"/>
    </row>
    <row r="774" spans="2:75" ht="14.25" customHeight="1" x14ac:dyDescent="0.3">
      <c r="B774" s="823"/>
      <c r="D774" s="824"/>
      <c r="I774" s="825"/>
      <c r="AR774" s="826"/>
      <c r="AY774" s="827"/>
      <c r="BD774" s="577"/>
      <c r="BE774" s="578"/>
      <c r="BF774" s="578"/>
      <c r="BG774" s="578"/>
      <c r="BH774" s="578"/>
      <c r="BI774" s="578"/>
      <c r="BJ774" s="578"/>
      <c r="BK774" s="578"/>
      <c r="BL774" s="578"/>
      <c r="BM774" s="578"/>
      <c r="BN774" s="578"/>
      <c r="BO774" s="578"/>
      <c r="BP774" s="578"/>
      <c r="BQ774" s="578"/>
      <c r="BR774" s="578"/>
      <c r="BS774" s="578"/>
      <c r="BT774" s="578"/>
      <c r="BU774" s="578"/>
      <c r="BV774" s="578"/>
      <c r="BW774" s="578"/>
    </row>
    <row r="775" spans="2:75" ht="14.25" customHeight="1" x14ac:dyDescent="0.3">
      <c r="B775" s="823"/>
      <c r="D775" s="824"/>
      <c r="I775" s="825"/>
      <c r="AR775" s="826"/>
      <c r="AY775" s="827"/>
      <c r="BD775" s="577"/>
      <c r="BE775" s="578"/>
      <c r="BF775" s="578"/>
      <c r="BG775" s="578"/>
      <c r="BH775" s="578"/>
      <c r="BI775" s="578"/>
      <c r="BJ775" s="578"/>
      <c r="BK775" s="578"/>
      <c r="BL775" s="578"/>
      <c r="BM775" s="578"/>
      <c r="BN775" s="578"/>
      <c r="BO775" s="578"/>
      <c r="BP775" s="578"/>
      <c r="BQ775" s="578"/>
      <c r="BR775" s="578"/>
      <c r="BS775" s="578"/>
      <c r="BT775" s="578"/>
      <c r="BU775" s="578"/>
      <c r="BV775" s="578"/>
      <c r="BW775" s="578"/>
    </row>
    <row r="776" spans="2:75" ht="14.25" customHeight="1" x14ac:dyDescent="0.3">
      <c r="B776" s="823"/>
      <c r="D776" s="824"/>
      <c r="I776" s="825"/>
      <c r="AR776" s="826"/>
      <c r="AY776" s="827"/>
      <c r="BD776" s="577"/>
      <c r="BE776" s="578"/>
      <c r="BF776" s="578"/>
      <c r="BG776" s="578"/>
      <c r="BH776" s="578"/>
      <c r="BI776" s="578"/>
      <c r="BJ776" s="578"/>
      <c r="BK776" s="578"/>
      <c r="BL776" s="578"/>
      <c r="BM776" s="578"/>
      <c r="BN776" s="578"/>
      <c r="BO776" s="578"/>
      <c r="BP776" s="578"/>
      <c r="BQ776" s="578"/>
      <c r="BR776" s="578"/>
      <c r="BS776" s="578"/>
      <c r="BT776" s="578"/>
      <c r="BU776" s="578"/>
      <c r="BV776" s="578"/>
      <c r="BW776" s="578"/>
    </row>
    <row r="777" spans="2:75" ht="14.25" customHeight="1" x14ac:dyDescent="0.3">
      <c r="B777" s="823"/>
      <c r="D777" s="824"/>
      <c r="I777" s="825"/>
      <c r="AR777" s="826"/>
      <c r="AY777" s="827"/>
      <c r="BD777" s="577"/>
      <c r="BE777" s="578"/>
      <c r="BF777" s="578"/>
      <c r="BG777" s="578"/>
      <c r="BH777" s="578"/>
      <c r="BI777" s="578"/>
      <c r="BJ777" s="578"/>
      <c r="BK777" s="578"/>
      <c r="BL777" s="578"/>
      <c r="BM777" s="578"/>
      <c r="BN777" s="578"/>
      <c r="BO777" s="578"/>
      <c r="BP777" s="578"/>
      <c r="BQ777" s="578"/>
      <c r="BR777" s="578"/>
      <c r="BS777" s="578"/>
      <c r="BT777" s="578"/>
      <c r="BU777" s="578"/>
      <c r="BV777" s="578"/>
      <c r="BW777" s="578"/>
    </row>
    <row r="778" spans="2:75" ht="14.25" customHeight="1" x14ac:dyDescent="0.3">
      <c r="B778" s="823"/>
      <c r="D778" s="824"/>
      <c r="I778" s="825"/>
      <c r="AR778" s="826"/>
      <c r="AY778" s="827"/>
      <c r="BD778" s="577"/>
      <c r="BE778" s="578"/>
      <c r="BF778" s="578"/>
      <c r="BG778" s="578"/>
      <c r="BH778" s="578"/>
      <c r="BI778" s="578"/>
      <c r="BJ778" s="578"/>
      <c r="BK778" s="578"/>
      <c r="BL778" s="578"/>
      <c r="BM778" s="578"/>
      <c r="BN778" s="578"/>
      <c r="BO778" s="578"/>
      <c r="BP778" s="578"/>
      <c r="BQ778" s="578"/>
      <c r="BR778" s="578"/>
      <c r="BS778" s="578"/>
      <c r="BT778" s="578"/>
      <c r="BU778" s="578"/>
      <c r="BV778" s="578"/>
      <c r="BW778" s="578"/>
    </row>
    <row r="779" spans="2:75" ht="14.25" customHeight="1" x14ac:dyDescent="0.3">
      <c r="B779" s="823"/>
      <c r="D779" s="824"/>
      <c r="I779" s="825"/>
      <c r="AR779" s="826"/>
      <c r="AY779" s="827"/>
      <c r="BD779" s="577"/>
      <c r="BE779" s="578"/>
      <c r="BF779" s="578"/>
      <c r="BG779" s="578"/>
      <c r="BH779" s="578"/>
      <c r="BI779" s="578"/>
      <c r="BJ779" s="578"/>
      <c r="BK779" s="578"/>
      <c r="BL779" s="578"/>
      <c r="BM779" s="578"/>
      <c r="BN779" s="578"/>
      <c r="BO779" s="578"/>
      <c r="BP779" s="578"/>
      <c r="BQ779" s="578"/>
      <c r="BR779" s="578"/>
      <c r="BS779" s="578"/>
      <c r="BT779" s="578"/>
      <c r="BU779" s="578"/>
      <c r="BV779" s="578"/>
      <c r="BW779" s="578"/>
    </row>
    <row r="780" spans="2:75" ht="14.25" customHeight="1" x14ac:dyDescent="0.3">
      <c r="B780" s="823"/>
      <c r="D780" s="824"/>
      <c r="I780" s="825"/>
      <c r="AR780" s="826"/>
      <c r="AY780" s="827"/>
      <c r="BD780" s="577"/>
      <c r="BE780" s="578"/>
      <c r="BF780" s="578"/>
      <c r="BG780" s="578"/>
      <c r="BH780" s="578"/>
      <c r="BI780" s="578"/>
      <c r="BJ780" s="578"/>
      <c r="BK780" s="578"/>
      <c r="BL780" s="578"/>
      <c r="BM780" s="578"/>
      <c r="BN780" s="578"/>
      <c r="BO780" s="578"/>
      <c r="BP780" s="578"/>
      <c r="BQ780" s="578"/>
      <c r="BR780" s="578"/>
      <c r="BS780" s="578"/>
      <c r="BT780" s="578"/>
      <c r="BU780" s="578"/>
      <c r="BV780" s="578"/>
      <c r="BW780" s="578"/>
    </row>
    <row r="781" spans="2:75" ht="14.25" customHeight="1" x14ac:dyDescent="0.3">
      <c r="B781" s="823"/>
      <c r="D781" s="824"/>
      <c r="I781" s="825"/>
      <c r="AR781" s="826"/>
      <c r="AY781" s="827"/>
      <c r="BD781" s="577"/>
      <c r="BE781" s="578"/>
      <c r="BF781" s="578"/>
      <c r="BG781" s="578"/>
      <c r="BH781" s="578"/>
      <c r="BI781" s="578"/>
      <c r="BJ781" s="578"/>
      <c r="BK781" s="578"/>
      <c r="BL781" s="578"/>
      <c r="BM781" s="578"/>
      <c r="BN781" s="578"/>
      <c r="BO781" s="578"/>
      <c r="BP781" s="578"/>
      <c r="BQ781" s="578"/>
      <c r="BR781" s="578"/>
      <c r="BS781" s="578"/>
      <c r="BT781" s="578"/>
      <c r="BU781" s="578"/>
      <c r="BV781" s="578"/>
      <c r="BW781" s="578"/>
    </row>
    <row r="782" spans="2:75" ht="14.25" customHeight="1" x14ac:dyDescent="0.3">
      <c r="B782" s="823"/>
      <c r="D782" s="824"/>
      <c r="I782" s="825"/>
      <c r="AR782" s="826"/>
      <c r="AY782" s="827"/>
      <c r="BD782" s="577"/>
      <c r="BE782" s="578"/>
      <c r="BF782" s="578"/>
      <c r="BG782" s="578"/>
      <c r="BH782" s="578"/>
      <c r="BI782" s="578"/>
      <c r="BJ782" s="578"/>
      <c r="BK782" s="578"/>
      <c r="BL782" s="578"/>
      <c r="BM782" s="578"/>
      <c r="BN782" s="578"/>
      <c r="BO782" s="578"/>
      <c r="BP782" s="578"/>
      <c r="BQ782" s="578"/>
      <c r="BR782" s="578"/>
      <c r="BS782" s="578"/>
      <c r="BT782" s="578"/>
      <c r="BU782" s="578"/>
      <c r="BV782" s="578"/>
      <c r="BW782" s="578"/>
    </row>
    <row r="783" spans="2:75" ht="14.25" customHeight="1" x14ac:dyDescent="0.3">
      <c r="B783" s="823"/>
      <c r="D783" s="824"/>
      <c r="I783" s="825"/>
      <c r="AR783" s="826"/>
      <c r="AY783" s="827"/>
      <c r="BD783" s="577"/>
      <c r="BE783" s="578"/>
      <c r="BF783" s="578"/>
      <c r="BG783" s="578"/>
      <c r="BH783" s="578"/>
      <c r="BI783" s="578"/>
      <c r="BJ783" s="578"/>
      <c r="BK783" s="578"/>
      <c r="BL783" s="578"/>
      <c r="BM783" s="578"/>
      <c r="BN783" s="578"/>
      <c r="BO783" s="578"/>
      <c r="BP783" s="578"/>
      <c r="BQ783" s="578"/>
      <c r="BR783" s="578"/>
      <c r="BS783" s="578"/>
      <c r="BT783" s="578"/>
      <c r="BU783" s="578"/>
      <c r="BV783" s="578"/>
      <c r="BW783" s="578"/>
    </row>
    <row r="784" spans="2:75" ht="14.25" customHeight="1" x14ac:dyDescent="0.3">
      <c r="B784" s="823"/>
      <c r="D784" s="824"/>
      <c r="I784" s="825"/>
      <c r="AR784" s="826"/>
      <c r="AY784" s="827"/>
      <c r="BD784" s="577"/>
      <c r="BE784" s="578"/>
      <c r="BF784" s="578"/>
      <c r="BG784" s="578"/>
      <c r="BH784" s="578"/>
      <c r="BI784" s="578"/>
      <c r="BJ784" s="578"/>
      <c r="BK784" s="578"/>
      <c r="BL784" s="578"/>
      <c r="BM784" s="578"/>
      <c r="BN784" s="578"/>
      <c r="BO784" s="578"/>
      <c r="BP784" s="578"/>
      <c r="BQ784" s="578"/>
      <c r="BR784" s="578"/>
      <c r="BS784" s="578"/>
      <c r="BT784" s="578"/>
      <c r="BU784" s="578"/>
      <c r="BV784" s="578"/>
      <c r="BW784" s="578"/>
    </row>
    <row r="785" spans="2:75" ht="14.25" customHeight="1" x14ac:dyDescent="0.3">
      <c r="B785" s="823"/>
      <c r="D785" s="824"/>
      <c r="I785" s="825"/>
      <c r="AR785" s="826"/>
      <c r="AY785" s="827"/>
      <c r="BD785" s="577"/>
      <c r="BE785" s="578"/>
      <c r="BF785" s="578"/>
      <c r="BG785" s="578"/>
      <c r="BH785" s="578"/>
      <c r="BI785" s="578"/>
      <c r="BJ785" s="578"/>
      <c r="BK785" s="578"/>
      <c r="BL785" s="578"/>
      <c r="BM785" s="578"/>
      <c r="BN785" s="578"/>
      <c r="BO785" s="578"/>
      <c r="BP785" s="578"/>
      <c r="BQ785" s="578"/>
      <c r="BR785" s="578"/>
      <c r="BS785" s="578"/>
      <c r="BT785" s="578"/>
      <c r="BU785" s="578"/>
      <c r="BV785" s="578"/>
      <c r="BW785" s="578"/>
    </row>
    <row r="786" spans="2:75" ht="14.25" customHeight="1" x14ac:dyDescent="0.3">
      <c r="B786" s="823"/>
      <c r="D786" s="824"/>
      <c r="I786" s="825"/>
      <c r="AR786" s="826"/>
      <c r="AY786" s="827"/>
      <c r="BD786" s="577"/>
      <c r="BE786" s="578"/>
      <c r="BF786" s="578"/>
      <c r="BG786" s="578"/>
      <c r="BH786" s="578"/>
      <c r="BI786" s="578"/>
      <c r="BJ786" s="578"/>
      <c r="BK786" s="578"/>
      <c r="BL786" s="578"/>
      <c r="BM786" s="578"/>
      <c r="BN786" s="578"/>
      <c r="BO786" s="578"/>
      <c r="BP786" s="578"/>
      <c r="BQ786" s="578"/>
      <c r="BR786" s="578"/>
      <c r="BS786" s="578"/>
      <c r="BT786" s="578"/>
      <c r="BU786" s="578"/>
      <c r="BV786" s="578"/>
      <c r="BW786" s="578"/>
    </row>
    <row r="787" spans="2:75" ht="14.25" customHeight="1" x14ac:dyDescent="0.3">
      <c r="B787" s="823"/>
      <c r="D787" s="824"/>
      <c r="I787" s="825"/>
      <c r="AR787" s="826"/>
      <c r="AY787" s="827"/>
      <c r="BD787" s="577"/>
      <c r="BE787" s="578"/>
      <c r="BF787" s="578"/>
      <c r="BG787" s="578"/>
      <c r="BH787" s="578"/>
      <c r="BI787" s="578"/>
      <c r="BJ787" s="578"/>
      <c r="BK787" s="578"/>
      <c r="BL787" s="578"/>
      <c r="BM787" s="578"/>
      <c r="BN787" s="578"/>
      <c r="BO787" s="578"/>
      <c r="BP787" s="578"/>
      <c r="BQ787" s="578"/>
      <c r="BR787" s="578"/>
      <c r="BS787" s="578"/>
      <c r="BT787" s="578"/>
      <c r="BU787" s="578"/>
      <c r="BV787" s="578"/>
      <c r="BW787" s="578"/>
    </row>
    <row r="788" spans="2:75" ht="14.25" customHeight="1" x14ac:dyDescent="0.3">
      <c r="B788" s="823"/>
      <c r="D788" s="824"/>
      <c r="I788" s="825"/>
      <c r="AR788" s="826"/>
      <c r="AY788" s="827"/>
      <c r="BD788" s="577"/>
      <c r="BE788" s="578"/>
      <c r="BF788" s="578"/>
      <c r="BG788" s="578"/>
      <c r="BH788" s="578"/>
      <c r="BI788" s="578"/>
      <c r="BJ788" s="578"/>
      <c r="BK788" s="578"/>
      <c r="BL788" s="578"/>
      <c r="BM788" s="578"/>
      <c r="BN788" s="578"/>
      <c r="BO788" s="578"/>
      <c r="BP788" s="578"/>
      <c r="BQ788" s="578"/>
      <c r="BR788" s="578"/>
      <c r="BS788" s="578"/>
      <c r="BT788" s="578"/>
      <c r="BU788" s="578"/>
      <c r="BV788" s="578"/>
      <c r="BW788" s="578"/>
    </row>
    <row r="789" spans="2:75" ht="14.25" customHeight="1" x14ac:dyDescent="0.3">
      <c r="B789" s="823"/>
      <c r="D789" s="824"/>
      <c r="I789" s="825"/>
      <c r="AR789" s="826"/>
      <c r="AY789" s="827"/>
      <c r="BD789" s="577"/>
      <c r="BE789" s="578"/>
      <c r="BF789" s="578"/>
      <c r="BG789" s="578"/>
      <c r="BH789" s="578"/>
      <c r="BI789" s="578"/>
      <c r="BJ789" s="578"/>
      <c r="BK789" s="578"/>
      <c r="BL789" s="578"/>
      <c r="BM789" s="578"/>
      <c r="BN789" s="578"/>
      <c r="BO789" s="578"/>
      <c r="BP789" s="578"/>
      <c r="BQ789" s="578"/>
      <c r="BR789" s="578"/>
      <c r="BS789" s="578"/>
      <c r="BT789" s="578"/>
      <c r="BU789" s="578"/>
      <c r="BV789" s="578"/>
      <c r="BW789" s="578"/>
    </row>
    <row r="790" spans="2:75" ht="14.25" customHeight="1" x14ac:dyDescent="0.3">
      <c r="B790" s="823"/>
      <c r="D790" s="824"/>
      <c r="I790" s="825"/>
      <c r="AR790" s="826"/>
      <c r="AY790" s="827"/>
      <c r="BD790" s="577"/>
      <c r="BE790" s="578"/>
      <c r="BF790" s="578"/>
      <c r="BG790" s="578"/>
      <c r="BH790" s="578"/>
      <c r="BI790" s="578"/>
      <c r="BJ790" s="578"/>
      <c r="BK790" s="578"/>
      <c r="BL790" s="578"/>
      <c r="BM790" s="578"/>
      <c r="BN790" s="578"/>
      <c r="BO790" s="578"/>
      <c r="BP790" s="578"/>
      <c r="BQ790" s="578"/>
      <c r="BR790" s="578"/>
      <c r="BS790" s="578"/>
      <c r="BT790" s="578"/>
      <c r="BU790" s="578"/>
      <c r="BV790" s="578"/>
      <c r="BW790" s="578"/>
    </row>
    <row r="791" spans="2:75" ht="14.25" customHeight="1" x14ac:dyDescent="0.3">
      <c r="B791" s="823"/>
      <c r="D791" s="824"/>
      <c r="I791" s="825"/>
      <c r="AR791" s="826"/>
      <c r="AY791" s="827"/>
      <c r="BD791" s="577"/>
      <c r="BE791" s="578"/>
      <c r="BF791" s="578"/>
      <c r="BG791" s="578"/>
      <c r="BH791" s="578"/>
      <c r="BI791" s="578"/>
      <c r="BJ791" s="578"/>
      <c r="BK791" s="578"/>
      <c r="BL791" s="578"/>
      <c r="BM791" s="578"/>
      <c r="BN791" s="578"/>
      <c r="BO791" s="578"/>
      <c r="BP791" s="578"/>
      <c r="BQ791" s="578"/>
      <c r="BR791" s="578"/>
      <c r="BS791" s="578"/>
      <c r="BT791" s="578"/>
      <c r="BU791" s="578"/>
      <c r="BV791" s="578"/>
      <c r="BW791" s="578"/>
    </row>
    <row r="792" spans="2:75" ht="14.25" customHeight="1" x14ac:dyDescent="0.3">
      <c r="B792" s="823"/>
      <c r="D792" s="824"/>
      <c r="I792" s="825"/>
      <c r="AR792" s="826"/>
      <c r="AY792" s="827"/>
      <c r="BD792" s="577"/>
      <c r="BE792" s="578"/>
      <c r="BF792" s="578"/>
      <c r="BG792" s="578"/>
      <c r="BH792" s="578"/>
      <c r="BI792" s="578"/>
      <c r="BJ792" s="578"/>
      <c r="BK792" s="578"/>
      <c r="BL792" s="578"/>
      <c r="BM792" s="578"/>
      <c r="BN792" s="578"/>
      <c r="BO792" s="578"/>
      <c r="BP792" s="578"/>
      <c r="BQ792" s="578"/>
      <c r="BR792" s="578"/>
      <c r="BS792" s="578"/>
      <c r="BT792" s="578"/>
      <c r="BU792" s="578"/>
      <c r="BV792" s="578"/>
      <c r="BW792" s="578"/>
    </row>
    <row r="793" spans="2:75" ht="14.25" customHeight="1" x14ac:dyDescent="0.3">
      <c r="B793" s="823"/>
      <c r="D793" s="824"/>
      <c r="I793" s="825"/>
      <c r="AR793" s="826"/>
      <c r="AY793" s="827"/>
      <c r="BD793" s="577"/>
      <c r="BE793" s="578"/>
      <c r="BF793" s="578"/>
      <c r="BG793" s="578"/>
      <c r="BH793" s="578"/>
      <c r="BI793" s="578"/>
      <c r="BJ793" s="578"/>
      <c r="BK793" s="578"/>
      <c r="BL793" s="578"/>
      <c r="BM793" s="578"/>
      <c r="BN793" s="578"/>
      <c r="BO793" s="578"/>
      <c r="BP793" s="578"/>
      <c r="BQ793" s="578"/>
      <c r="BR793" s="578"/>
      <c r="BS793" s="578"/>
      <c r="BT793" s="578"/>
      <c r="BU793" s="578"/>
      <c r="BV793" s="578"/>
      <c r="BW793" s="578"/>
    </row>
    <row r="794" spans="2:75" ht="14.25" customHeight="1" x14ac:dyDescent="0.3">
      <c r="B794" s="823"/>
      <c r="D794" s="824"/>
      <c r="I794" s="825"/>
      <c r="AR794" s="826"/>
      <c r="AY794" s="827"/>
      <c r="BD794" s="577"/>
      <c r="BE794" s="578"/>
      <c r="BF794" s="578"/>
      <c r="BG794" s="578"/>
      <c r="BH794" s="578"/>
      <c r="BI794" s="578"/>
      <c r="BJ794" s="578"/>
      <c r="BK794" s="578"/>
      <c r="BL794" s="578"/>
      <c r="BM794" s="578"/>
      <c r="BN794" s="578"/>
      <c r="BO794" s="578"/>
      <c r="BP794" s="578"/>
      <c r="BQ794" s="578"/>
      <c r="BR794" s="578"/>
      <c r="BS794" s="578"/>
      <c r="BT794" s="578"/>
      <c r="BU794" s="578"/>
      <c r="BV794" s="578"/>
      <c r="BW794" s="578"/>
    </row>
    <row r="795" spans="2:75" ht="14.25" customHeight="1" x14ac:dyDescent="0.3">
      <c r="B795" s="823"/>
      <c r="D795" s="824"/>
      <c r="I795" s="825"/>
      <c r="AR795" s="826"/>
      <c r="AY795" s="827"/>
      <c r="BD795" s="577"/>
      <c r="BE795" s="578"/>
      <c r="BF795" s="578"/>
      <c r="BG795" s="578"/>
      <c r="BH795" s="578"/>
      <c r="BI795" s="578"/>
      <c r="BJ795" s="578"/>
      <c r="BK795" s="578"/>
      <c r="BL795" s="578"/>
      <c r="BM795" s="578"/>
      <c r="BN795" s="578"/>
      <c r="BO795" s="578"/>
      <c r="BP795" s="578"/>
      <c r="BQ795" s="578"/>
      <c r="BR795" s="578"/>
      <c r="BS795" s="578"/>
      <c r="BT795" s="578"/>
      <c r="BU795" s="578"/>
      <c r="BV795" s="578"/>
      <c r="BW795" s="578"/>
    </row>
    <row r="796" spans="2:75" ht="14.25" customHeight="1" x14ac:dyDescent="0.3">
      <c r="B796" s="823"/>
      <c r="D796" s="824"/>
      <c r="I796" s="825"/>
      <c r="AR796" s="826"/>
      <c r="AY796" s="827"/>
      <c r="BD796" s="577"/>
      <c r="BE796" s="578"/>
      <c r="BF796" s="578"/>
      <c r="BG796" s="578"/>
      <c r="BH796" s="578"/>
      <c r="BI796" s="578"/>
      <c r="BJ796" s="578"/>
      <c r="BK796" s="578"/>
      <c r="BL796" s="578"/>
      <c r="BM796" s="578"/>
      <c r="BN796" s="578"/>
      <c r="BO796" s="578"/>
      <c r="BP796" s="578"/>
      <c r="BQ796" s="578"/>
      <c r="BR796" s="578"/>
      <c r="BS796" s="578"/>
      <c r="BT796" s="578"/>
      <c r="BU796" s="578"/>
      <c r="BV796" s="578"/>
      <c r="BW796" s="578"/>
    </row>
    <row r="797" spans="2:75" ht="14.25" customHeight="1" x14ac:dyDescent="0.3">
      <c r="B797" s="823"/>
      <c r="D797" s="824"/>
      <c r="I797" s="825"/>
      <c r="AR797" s="826"/>
      <c r="AY797" s="827"/>
      <c r="BD797" s="577"/>
      <c r="BE797" s="578"/>
      <c r="BF797" s="578"/>
      <c r="BG797" s="578"/>
      <c r="BH797" s="578"/>
      <c r="BI797" s="578"/>
      <c r="BJ797" s="578"/>
      <c r="BK797" s="578"/>
      <c r="BL797" s="578"/>
      <c r="BM797" s="578"/>
      <c r="BN797" s="578"/>
      <c r="BO797" s="578"/>
      <c r="BP797" s="578"/>
      <c r="BQ797" s="578"/>
      <c r="BR797" s="578"/>
      <c r="BS797" s="578"/>
      <c r="BT797" s="578"/>
      <c r="BU797" s="578"/>
      <c r="BV797" s="578"/>
      <c r="BW797" s="578"/>
    </row>
    <row r="798" spans="2:75" ht="14.25" customHeight="1" x14ac:dyDescent="0.3">
      <c r="B798" s="823"/>
      <c r="D798" s="824"/>
      <c r="I798" s="825"/>
      <c r="AR798" s="826"/>
      <c r="AY798" s="827"/>
      <c r="BD798" s="577"/>
      <c r="BE798" s="578"/>
      <c r="BF798" s="578"/>
      <c r="BG798" s="578"/>
      <c r="BH798" s="578"/>
      <c r="BI798" s="578"/>
      <c r="BJ798" s="578"/>
      <c r="BK798" s="578"/>
      <c r="BL798" s="578"/>
      <c r="BM798" s="578"/>
      <c r="BN798" s="578"/>
      <c r="BO798" s="578"/>
      <c r="BP798" s="578"/>
      <c r="BQ798" s="578"/>
      <c r="BR798" s="578"/>
      <c r="BS798" s="578"/>
      <c r="BT798" s="578"/>
      <c r="BU798" s="578"/>
      <c r="BV798" s="578"/>
      <c r="BW798" s="578"/>
    </row>
    <row r="799" spans="2:75" ht="14.25" customHeight="1" x14ac:dyDescent="0.3">
      <c r="B799" s="823"/>
      <c r="D799" s="824"/>
      <c r="I799" s="825"/>
      <c r="AR799" s="826"/>
      <c r="AY799" s="827"/>
      <c r="BD799" s="577"/>
      <c r="BE799" s="578"/>
      <c r="BF799" s="578"/>
      <c r="BG799" s="578"/>
      <c r="BH799" s="578"/>
      <c r="BI799" s="578"/>
      <c r="BJ799" s="578"/>
      <c r="BK799" s="578"/>
      <c r="BL799" s="578"/>
      <c r="BM799" s="578"/>
      <c r="BN799" s="578"/>
      <c r="BO799" s="578"/>
      <c r="BP799" s="578"/>
      <c r="BQ799" s="578"/>
      <c r="BR799" s="578"/>
      <c r="BS799" s="578"/>
      <c r="BT799" s="578"/>
      <c r="BU799" s="578"/>
      <c r="BV799" s="578"/>
      <c r="BW799" s="578"/>
    </row>
    <row r="800" spans="2:75" ht="14.25" customHeight="1" x14ac:dyDescent="0.3">
      <c r="B800" s="823"/>
      <c r="D800" s="824"/>
      <c r="I800" s="825"/>
      <c r="AR800" s="826"/>
      <c r="AY800" s="827"/>
      <c r="BD800" s="577"/>
      <c r="BE800" s="578"/>
      <c r="BF800" s="578"/>
      <c r="BG800" s="578"/>
      <c r="BH800" s="578"/>
      <c r="BI800" s="578"/>
      <c r="BJ800" s="578"/>
      <c r="BK800" s="578"/>
      <c r="BL800" s="578"/>
      <c r="BM800" s="578"/>
      <c r="BN800" s="578"/>
      <c r="BO800" s="578"/>
      <c r="BP800" s="578"/>
      <c r="BQ800" s="578"/>
      <c r="BR800" s="578"/>
      <c r="BS800" s="578"/>
      <c r="BT800" s="578"/>
      <c r="BU800" s="578"/>
      <c r="BV800" s="578"/>
      <c r="BW800" s="578"/>
    </row>
    <row r="801" spans="2:75" ht="14.25" customHeight="1" x14ac:dyDescent="0.3">
      <c r="B801" s="823"/>
      <c r="D801" s="824"/>
      <c r="I801" s="825"/>
      <c r="AR801" s="826"/>
      <c r="AY801" s="827"/>
      <c r="BD801" s="577"/>
      <c r="BE801" s="578"/>
      <c r="BF801" s="578"/>
      <c r="BG801" s="578"/>
      <c r="BH801" s="578"/>
      <c r="BI801" s="578"/>
      <c r="BJ801" s="578"/>
      <c r="BK801" s="578"/>
      <c r="BL801" s="578"/>
      <c r="BM801" s="578"/>
      <c r="BN801" s="578"/>
      <c r="BO801" s="578"/>
      <c r="BP801" s="578"/>
      <c r="BQ801" s="578"/>
      <c r="BR801" s="578"/>
      <c r="BS801" s="578"/>
      <c r="BT801" s="578"/>
      <c r="BU801" s="578"/>
      <c r="BV801" s="578"/>
      <c r="BW801" s="578"/>
    </row>
    <row r="802" spans="2:75" ht="14.25" customHeight="1" x14ac:dyDescent="0.3">
      <c r="B802" s="823"/>
      <c r="D802" s="824"/>
      <c r="I802" s="825"/>
      <c r="AR802" s="826"/>
      <c r="AY802" s="827"/>
      <c r="BD802" s="577"/>
      <c r="BE802" s="578"/>
      <c r="BF802" s="578"/>
      <c r="BG802" s="578"/>
      <c r="BH802" s="578"/>
      <c r="BI802" s="578"/>
      <c r="BJ802" s="578"/>
      <c r="BK802" s="578"/>
      <c r="BL802" s="578"/>
      <c r="BM802" s="578"/>
      <c r="BN802" s="578"/>
      <c r="BO802" s="578"/>
      <c r="BP802" s="578"/>
      <c r="BQ802" s="578"/>
      <c r="BR802" s="578"/>
      <c r="BS802" s="578"/>
      <c r="BT802" s="578"/>
      <c r="BU802" s="578"/>
      <c r="BV802" s="578"/>
      <c r="BW802" s="578"/>
    </row>
    <row r="803" spans="2:75" ht="14.25" customHeight="1" x14ac:dyDescent="0.3">
      <c r="B803" s="823"/>
      <c r="D803" s="824"/>
      <c r="I803" s="825"/>
      <c r="AR803" s="826"/>
      <c r="AY803" s="827"/>
      <c r="BD803" s="577"/>
      <c r="BE803" s="578"/>
      <c r="BF803" s="578"/>
      <c r="BG803" s="578"/>
      <c r="BH803" s="578"/>
      <c r="BI803" s="578"/>
      <c r="BJ803" s="578"/>
      <c r="BK803" s="578"/>
      <c r="BL803" s="578"/>
      <c r="BM803" s="578"/>
      <c r="BN803" s="578"/>
      <c r="BO803" s="578"/>
      <c r="BP803" s="578"/>
      <c r="BQ803" s="578"/>
      <c r="BR803" s="578"/>
      <c r="BS803" s="578"/>
      <c r="BT803" s="578"/>
      <c r="BU803" s="578"/>
      <c r="BV803" s="578"/>
      <c r="BW803" s="578"/>
    </row>
    <row r="804" spans="2:75" ht="14.25" customHeight="1" x14ac:dyDescent="0.3">
      <c r="B804" s="823"/>
      <c r="D804" s="824"/>
      <c r="I804" s="825"/>
      <c r="AR804" s="826"/>
      <c r="AY804" s="827"/>
      <c r="BD804" s="577"/>
      <c r="BE804" s="578"/>
      <c r="BF804" s="578"/>
      <c r="BG804" s="578"/>
      <c r="BH804" s="578"/>
      <c r="BI804" s="578"/>
      <c r="BJ804" s="578"/>
      <c r="BK804" s="578"/>
      <c r="BL804" s="578"/>
      <c r="BM804" s="578"/>
      <c r="BN804" s="578"/>
      <c r="BO804" s="578"/>
      <c r="BP804" s="578"/>
      <c r="BQ804" s="578"/>
      <c r="BR804" s="578"/>
      <c r="BS804" s="578"/>
      <c r="BT804" s="578"/>
      <c r="BU804" s="578"/>
      <c r="BV804" s="578"/>
      <c r="BW804" s="578"/>
    </row>
    <row r="805" spans="2:75" ht="14.25" customHeight="1" x14ac:dyDescent="0.3">
      <c r="B805" s="823"/>
      <c r="D805" s="824"/>
      <c r="I805" s="825"/>
      <c r="AR805" s="826"/>
      <c r="AY805" s="827"/>
      <c r="BD805" s="577"/>
      <c r="BE805" s="578"/>
      <c r="BF805" s="578"/>
      <c r="BG805" s="578"/>
      <c r="BH805" s="578"/>
      <c r="BI805" s="578"/>
      <c r="BJ805" s="578"/>
      <c r="BK805" s="578"/>
      <c r="BL805" s="578"/>
      <c r="BM805" s="578"/>
      <c r="BN805" s="578"/>
      <c r="BO805" s="578"/>
      <c r="BP805" s="578"/>
      <c r="BQ805" s="578"/>
      <c r="BR805" s="578"/>
      <c r="BS805" s="578"/>
      <c r="BT805" s="578"/>
      <c r="BU805" s="578"/>
      <c r="BV805" s="578"/>
      <c r="BW805" s="578"/>
    </row>
    <row r="806" spans="2:75" ht="14.25" customHeight="1" x14ac:dyDescent="0.3">
      <c r="B806" s="823"/>
      <c r="D806" s="824"/>
      <c r="I806" s="825"/>
      <c r="AR806" s="826"/>
      <c r="AY806" s="827"/>
      <c r="BD806" s="577"/>
      <c r="BE806" s="578"/>
      <c r="BF806" s="578"/>
      <c r="BG806" s="578"/>
      <c r="BH806" s="578"/>
      <c r="BI806" s="578"/>
      <c r="BJ806" s="578"/>
      <c r="BK806" s="578"/>
      <c r="BL806" s="578"/>
      <c r="BM806" s="578"/>
      <c r="BN806" s="578"/>
      <c r="BO806" s="578"/>
      <c r="BP806" s="578"/>
      <c r="BQ806" s="578"/>
      <c r="BR806" s="578"/>
      <c r="BS806" s="578"/>
      <c r="BT806" s="578"/>
      <c r="BU806" s="578"/>
      <c r="BV806" s="578"/>
      <c r="BW806" s="578"/>
    </row>
    <row r="807" spans="2:75" ht="14.25" customHeight="1" x14ac:dyDescent="0.3">
      <c r="B807" s="823"/>
      <c r="D807" s="824"/>
      <c r="I807" s="825"/>
      <c r="AR807" s="826"/>
      <c r="AY807" s="827"/>
      <c r="BD807" s="577"/>
      <c r="BE807" s="578"/>
      <c r="BF807" s="578"/>
      <c r="BG807" s="578"/>
      <c r="BH807" s="578"/>
      <c r="BI807" s="578"/>
      <c r="BJ807" s="578"/>
      <c r="BK807" s="578"/>
      <c r="BL807" s="578"/>
      <c r="BM807" s="578"/>
      <c r="BN807" s="578"/>
      <c r="BO807" s="578"/>
      <c r="BP807" s="578"/>
      <c r="BQ807" s="578"/>
      <c r="BR807" s="578"/>
      <c r="BS807" s="578"/>
      <c r="BT807" s="578"/>
      <c r="BU807" s="578"/>
      <c r="BV807" s="578"/>
      <c r="BW807" s="578"/>
    </row>
    <row r="808" spans="2:75" ht="14.25" customHeight="1" x14ac:dyDescent="0.3">
      <c r="B808" s="823"/>
      <c r="D808" s="824"/>
      <c r="I808" s="825"/>
      <c r="AR808" s="826"/>
      <c r="AY808" s="827"/>
      <c r="BD808" s="577"/>
      <c r="BE808" s="578"/>
      <c r="BF808" s="578"/>
      <c r="BG808" s="578"/>
      <c r="BH808" s="578"/>
      <c r="BI808" s="578"/>
      <c r="BJ808" s="578"/>
      <c r="BK808" s="578"/>
      <c r="BL808" s="578"/>
      <c r="BM808" s="578"/>
      <c r="BN808" s="578"/>
      <c r="BO808" s="578"/>
      <c r="BP808" s="578"/>
      <c r="BQ808" s="578"/>
      <c r="BR808" s="578"/>
      <c r="BS808" s="578"/>
      <c r="BT808" s="578"/>
      <c r="BU808" s="578"/>
      <c r="BV808" s="578"/>
      <c r="BW808" s="578"/>
    </row>
    <row r="809" spans="2:75" ht="14.25" customHeight="1" x14ac:dyDescent="0.3">
      <c r="B809" s="823"/>
      <c r="D809" s="824"/>
      <c r="I809" s="825"/>
      <c r="AR809" s="826"/>
      <c r="AY809" s="827"/>
      <c r="BD809" s="577"/>
      <c r="BE809" s="578"/>
      <c r="BF809" s="578"/>
      <c r="BG809" s="578"/>
      <c r="BH809" s="578"/>
      <c r="BI809" s="578"/>
      <c r="BJ809" s="578"/>
      <c r="BK809" s="578"/>
      <c r="BL809" s="578"/>
      <c r="BM809" s="578"/>
      <c r="BN809" s="578"/>
      <c r="BO809" s="578"/>
      <c r="BP809" s="578"/>
      <c r="BQ809" s="578"/>
      <c r="BR809" s="578"/>
      <c r="BS809" s="578"/>
      <c r="BT809" s="578"/>
      <c r="BU809" s="578"/>
      <c r="BV809" s="578"/>
      <c r="BW809" s="578"/>
    </row>
    <row r="810" spans="2:75" ht="14.25" customHeight="1" x14ac:dyDescent="0.3">
      <c r="B810" s="823"/>
      <c r="D810" s="824"/>
      <c r="I810" s="825"/>
      <c r="AR810" s="826"/>
      <c r="AY810" s="827"/>
      <c r="BD810" s="577"/>
      <c r="BE810" s="578"/>
      <c r="BF810" s="578"/>
      <c r="BG810" s="578"/>
      <c r="BH810" s="578"/>
      <c r="BI810" s="578"/>
      <c r="BJ810" s="578"/>
      <c r="BK810" s="578"/>
      <c r="BL810" s="578"/>
      <c r="BM810" s="578"/>
      <c r="BN810" s="578"/>
      <c r="BO810" s="578"/>
      <c r="BP810" s="578"/>
      <c r="BQ810" s="578"/>
      <c r="BR810" s="578"/>
      <c r="BS810" s="578"/>
      <c r="BT810" s="578"/>
      <c r="BU810" s="578"/>
      <c r="BV810" s="578"/>
      <c r="BW810" s="578"/>
    </row>
    <row r="811" spans="2:75" ht="14.25" customHeight="1" x14ac:dyDescent="0.3">
      <c r="B811" s="823"/>
      <c r="D811" s="824"/>
      <c r="I811" s="825"/>
      <c r="AR811" s="826"/>
      <c r="AY811" s="827"/>
      <c r="BD811" s="577"/>
      <c r="BE811" s="578"/>
      <c r="BF811" s="578"/>
      <c r="BG811" s="578"/>
      <c r="BH811" s="578"/>
      <c r="BI811" s="578"/>
      <c r="BJ811" s="578"/>
      <c r="BK811" s="578"/>
      <c r="BL811" s="578"/>
      <c r="BM811" s="578"/>
      <c r="BN811" s="578"/>
      <c r="BO811" s="578"/>
      <c r="BP811" s="578"/>
      <c r="BQ811" s="578"/>
      <c r="BR811" s="578"/>
      <c r="BS811" s="578"/>
      <c r="BT811" s="578"/>
      <c r="BU811" s="578"/>
      <c r="BV811" s="578"/>
      <c r="BW811" s="578"/>
    </row>
    <row r="812" spans="2:75" ht="14.25" customHeight="1" x14ac:dyDescent="0.3">
      <c r="B812" s="823"/>
      <c r="D812" s="824"/>
      <c r="I812" s="825"/>
      <c r="AR812" s="826"/>
      <c r="AY812" s="827"/>
      <c r="BD812" s="577"/>
      <c r="BE812" s="578"/>
      <c r="BF812" s="578"/>
      <c r="BG812" s="578"/>
      <c r="BH812" s="578"/>
      <c r="BI812" s="578"/>
      <c r="BJ812" s="578"/>
      <c r="BK812" s="578"/>
      <c r="BL812" s="578"/>
      <c r="BM812" s="578"/>
      <c r="BN812" s="578"/>
      <c r="BO812" s="578"/>
      <c r="BP812" s="578"/>
      <c r="BQ812" s="578"/>
      <c r="BR812" s="578"/>
      <c r="BS812" s="578"/>
      <c r="BT812" s="578"/>
      <c r="BU812" s="578"/>
      <c r="BV812" s="578"/>
      <c r="BW812" s="578"/>
    </row>
    <row r="813" spans="2:75" ht="14.25" customHeight="1" x14ac:dyDescent="0.3">
      <c r="B813" s="823"/>
      <c r="D813" s="824"/>
      <c r="I813" s="825"/>
      <c r="AR813" s="826"/>
      <c r="AY813" s="827"/>
      <c r="BD813" s="577"/>
      <c r="BE813" s="578"/>
      <c r="BF813" s="578"/>
      <c r="BG813" s="578"/>
      <c r="BH813" s="578"/>
      <c r="BI813" s="578"/>
      <c r="BJ813" s="578"/>
      <c r="BK813" s="578"/>
      <c r="BL813" s="578"/>
      <c r="BM813" s="578"/>
      <c r="BN813" s="578"/>
      <c r="BO813" s="578"/>
      <c r="BP813" s="578"/>
      <c r="BQ813" s="578"/>
      <c r="BR813" s="578"/>
      <c r="BS813" s="578"/>
      <c r="BT813" s="578"/>
      <c r="BU813" s="578"/>
      <c r="BV813" s="578"/>
      <c r="BW813" s="578"/>
    </row>
    <row r="814" spans="2:75" ht="14.25" customHeight="1" x14ac:dyDescent="0.3">
      <c r="B814" s="823"/>
      <c r="D814" s="824"/>
      <c r="I814" s="825"/>
      <c r="AR814" s="826"/>
      <c r="AY814" s="827"/>
      <c r="BD814" s="577"/>
      <c r="BE814" s="578"/>
      <c r="BF814" s="578"/>
      <c r="BG814" s="578"/>
      <c r="BH814" s="578"/>
      <c r="BI814" s="578"/>
      <c r="BJ814" s="578"/>
      <c r="BK814" s="578"/>
      <c r="BL814" s="578"/>
      <c r="BM814" s="578"/>
      <c r="BN814" s="578"/>
      <c r="BO814" s="578"/>
      <c r="BP814" s="578"/>
      <c r="BQ814" s="578"/>
      <c r="BR814" s="578"/>
      <c r="BS814" s="578"/>
      <c r="BT814" s="578"/>
      <c r="BU814" s="578"/>
      <c r="BV814" s="578"/>
      <c r="BW814" s="578"/>
    </row>
    <row r="815" spans="2:75" ht="14.25" customHeight="1" x14ac:dyDescent="0.3">
      <c r="B815" s="823"/>
      <c r="D815" s="824"/>
      <c r="I815" s="825"/>
      <c r="AR815" s="826"/>
      <c r="AY815" s="827"/>
      <c r="BD815" s="577"/>
      <c r="BE815" s="578"/>
      <c r="BF815" s="578"/>
      <c r="BG815" s="578"/>
      <c r="BH815" s="578"/>
      <c r="BI815" s="578"/>
      <c r="BJ815" s="578"/>
      <c r="BK815" s="578"/>
      <c r="BL815" s="578"/>
      <c r="BM815" s="578"/>
      <c r="BN815" s="578"/>
      <c r="BO815" s="578"/>
      <c r="BP815" s="578"/>
      <c r="BQ815" s="578"/>
      <c r="BR815" s="578"/>
      <c r="BS815" s="578"/>
      <c r="BT815" s="578"/>
      <c r="BU815" s="578"/>
      <c r="BV815" s="578"/>
      <c r="BW815" s="578"/>
    </row>
    <row r="816" spans="2:75" ht="14.25" customHeight="1" x14ac:dyDescent="0.3">
      <c r="B816" s="823"/>
      <c r="D816" s="824"/>
      <c r="I816" s="825"/>
      <c r="AR816" s="826"/>
      <c r="AY816" s="827"/>
      <c r="BD816" s="577"/>
      <c r="BE816" s="578"/>
      <c r="BF816" s="578"/>
      <c r="BG816" s="578"/>
      <c r="BH816" s="578"/>
      <c r="BI816" s="578"/>
      <c r="BJ816" s="578"/>
      <c r="BK816" s="578"/>
      <c r="BL816" s="578"/>
      <c r="BM816" s="578"/>
      <c r="BN816" s="578"/>
      <c r="BO816" s="578"/>
      <c r="BP816" s="578"/>
      <c r="BQ816" s="578"/>
      <c r="BR816" s="578"/>
      <c r="BS816" s="578"/>
      <c r="BT816" s="578"/>
      <c r="BU816" s="578"/>
      <c r="BV816" s="578"/>
      <c r="BW816" s="578"/>
    </row>
    <row r="817" spans="2:75" ht="14.25" customHeight="1" x14ac:dyDescent="0.3">
      <c r="B817" s="823"/>
      <c r="D817" s="824"/>
      <c r="I817" s="825"/>
      <c r="AR817" s="826"/>
      <c r="AY817" s="827"/>
      <c r="BD817" s="577"/>
      <c r="BE817" s="578"/>
      <c r="BF817" s="578"/>
      <c r="BG817" s="578"/>
      <c r="BH817" s="578"/>
      <c r="BI817" s="578"/>
      <c r="BJ817" s="578"/>
      <c r="BK817" s="578"/>
      <c r="BL817" s="578"/>
      <c r="BM817" s="578"/>
      <c r="BN817" s="578"/>
      <c r="BO817" s="578"/>
      <c r="BP817" s="578"/>
      <c r="BQ817" s="578"/>
      <c r="BR817" s="578"/>
      <c r="BS817" s="578"/>
      <c r="BT817" s="578"/>
      <c r="BU817" s="578"/>
      <c r="BV817" s="578"/>
      <c r="BW817" s="578"/>
    </row>
    <row r="818" spans="2:75" ht="14.25" customHeight="1" x14ac:dyDescent="0.3">
      <c r="B818" s="823"/>
      <c r="D818" s="824"/>
      <c r="I818" s="825"/>
      <c r="AR818" s="826"/>
      <c r="AY818" s="827"/>
      <c r="BD818" s="577"/>
      <c r="BE818" s="578"/>
      <c r="BF818" s="578"/>
      <c r="BG818" s="578"/>
      <c r="BH818" s="578"/>
      <c r="BI818" s="578"/>
      <c r="BJ818" s="578"/>
      <c r="BK818" s="578"/>
      <c r="BL818" s="578"/>
      <c r="BM818" s="578"/>
      <c r="BN818" s="578"/>
      <c r="BO818" s="578"/>
      <c r="BP818" s="578"/>
      <c r="BQ818" s="578"/>
      <c r="BR818" s="578"/>
      <c r="BS818" s="578"/>
      <c r="BT818" s="578"/>
      <c r="BU818" s="578"/>
      <c r="BV818" s="578"/>
      <c r="BW818" s="578"/>
    </row>
    <row r="819" spans="2:75" ht="14.25" customHeight="1" x14ac:dyDescent="0.3">
      <c r="B819" s="823"/>
      <c r="D819" s="824"/>
      <c r="I819" s="825"/>
      <c r="AR819" s="826"/>
      <c r="AY819" s="827"/>
      <c r="BD819" s="577"/>
      <c r="BE819" s="578"/>
      <c r="BF819" s="578"/>
      <c r="BG819" s="578"/>
      <c r="BH819" s="578"/>
      <c r="BI819" s="578"/>
      <c r="BJ819" s="578"/>
      <c r="BK819" s="578"/>
      <c r="BL819" s="578"/>
      <c r="BM819" s="578"/>
      <c r="BN819" s="578"/>
      <c r="BO819" s="578"/>
      <c r="BP819" s="578"/>
      <c r="BQ819" s="578"/>
      <c r="BR819" s="578"/>
      <c r="BS819" s="578"/>
      <c r="BT819" s="578"/>
      <c r="BU819" s="578"/>
      <c r="BV819" s="578"/>
      <c r="BW819" s="578"/>
    </row>
    <row r="820" spans="2:75" ht="14.25" customHeight="1" x14ac:dyDescent="0.3">
      <c r="B820" s="823"/>
      <c r="D820" s="824"/>
      <c r="I820" s="825"/>
      <c r="AR820" s="826"/>
      <c r="AY820" s="827"/>
      <c r="BD820" s="577"/>
      <c r="BE820" s="578"/>
      <c r="BF820" s="578"/>
      <c r="BG820" s="578"/>
      <c r="BH820" s="578"/>
      <c r="BI820" s="578"/>
      <c r="BJ820" s="578"/>
      <c r="BK820" s="578"/>
      <c r="BL820" s="578"/>
      <c r="BM820" s="578"/>
      <c r="BN820" s="578"/>
      <c r="BO820" s="578"/>
      <c r="BP820" s="578"/>
      <c r="BQ820" s="578"/>
      <c r="BR820" s="578"/>
      <c r="BS820" s="578"/>
      <c r="BT820" s="578"/>
      <c r="BU820" s="578"/>
      <c r="BV820" s="578"/>
      <c r="BW820" s="578"/>
    </row>
    <row r="821" spans="2:75" ht="14.25" customHeight="1" x14ac:dyDescent="0.3">
      <c r="B821" s="823"/>
      <c r="D821" s="824"/>
      <c r="I821" s="825"/>
      <c r="AR821" s="826"/>
      <c r="AY821" s="827"/>
      <c r="BD821" s="577"/>
      <c r="BE821" s="578"/>
      <c r="BF821" s="578"/>
      <c r="BG821" s="578"/>
      <c r="BH821" s="578"/>
      <c r="BI821" s="578"/>
      <c r="BJ821" s="578"/>
      <c r="BK821" s="578"/>
      <c r="BL821" s="578"/>
      <c r="BM821" s="578"/>
      <c r="BN821" s="578"/>
      <c r="BO821" s="578"/>
      <c r="BP821" s="578"/>
      <c r="BQ821" s="578"/>
      <c r="BR821" s="578"/>
      <c r="BS821" s="578"/>
      <c r="BT821" s="578"/>
      <c r="BU821" s="578"/>
      <c r="BV821" s="578"/>
      <c r="BW821" s="578"/>
    </row>
    <row r="822" spans="2:75" ht="14.25" customHeight="1" x14ac:dyDescent="0.3">
      <c r="B822" s="823"/>
      <c r="D822" s="824"/>
      <c r="I822" s="825"/>
      <c r="AR822" s="826"/>
      <c r="AY822" s="827"/>
      <c r="BD822" s="577"/>
      <c r="BE822" s="578"/>
      <c r="BF822" s="578"/>
      <c r="BG822" s="578"/>
      <c r="BH822" s="578"/>
      <c r="BI822" s="578"/>
      <c r="BJ822" s="578"/>
      <c r="BK822" s="578"/>
      <c r="BL822" s="578"/>
      <c r="BM822" s="578"/>
      <c r="BN822" s="578"/>
      <c r="BO822" s="578"/>
      <c r="BP822" s="578"/>
      <c r="BQ822" s="578"/>
      <c r="BR822" s="578"/>
      <c r="BS822" s="578"/>
      <c r="BT822" s="578"/>
      <c r="BU822" s="578"/>
      <c r="BV822" s="578"/>
      <c r="BW822" s="578"/>
    </row>
    <row r="823" spans="2:75" ht="14.25" customHeight="1" x14ac:dyDescent="0.3">
      <c r="B823" s="823"/>
      <c r="D823" s="824"/>
      <c r="I823" s="825"/>
      <c r="AR823" s="826"/>
      <c r="AY823" s="827"/>
      <c r="BD823" s="577"/>
      <c r="BE823" s="578"/>
      <c r="BF823" s="578"/>
      <c r="BG823" s="578"/>
      <c r="BH823" s="578"/>
      <c r="BI823" s="578"/>
      <c r="BJ823" s="578"/>
      <c r="BK823" s="578"/>
      <c r="BL823" s="578"/>
      <c r="BM823" s="578"/>
      <c r="BN823" s="578"/>
      <c r="BO823" s="578"/>
      <c r="BP823" s="578"/>
      <c r="BQ823" s="578"/>
      <c r="BR823" s="578"/>
      <c r="BS823" s="578"/>
      <c r="BT823" s="578"/>
      <c r="BU823" s="578"/>
      <c r="BV823" s="578"/>
      <c r="BW823" s="578"/>
    </row>
    <row r="824" spans="2:75" ht="14.25" customHeight="1" x14ac:dyDescent="0.3">
      <c r="B824" s="823"/>
      <c r="D824" s="824"/>
      <c r="I824" s="825"/>
      <c r="AR824" s="826"/>
      <c r="AY824" s="827"/>
      <c r="BD824" s="577"/>
      <c r="BE824" s="578"/>
      <c r="BF824" s="578"/>
      <c r="BG824" s="578"/>
      <c r="BH824" s="578"/>
      <c r="BI824" s="578"/>
      <c r="BJ824" s="578"/>
      <c r="BK824" s="578"/>
      <c r="BL824" s="578"/>
      <c r="BM824" s="578"/>
      <c r="BN824" s="578"/>
      <c r="BO824" s="578"/>
      <c r="BP824" s="578"/>
      <c r="BQ824" s="578"/>
      <c r="BR824" s="578"/>
      <c r="BS824" s="578"/>
      <c r="BT824" s="578"/>
      <c r="BU824" s="578"/>
      <c r="BV824" s="578"/>
      <c r="BW824" s="578"/>
    </row>
    <row r="825" spans="2:75" ht="14.25" customHeight="1" x14ac:dyDescent="0.3">
      <c r="B825" s="823"/>
      <c r="D825" s="824"/>
      <c r="I825" s="825"/>
      <c r="AR825" s="826"/>
      <c r="AY825" s="827"/>
      <c r="BD825" s="577"/>
      <c r="BE825" s="578"/>
      <c r="BF825" s="578"/>
      <c r="BG825" s="578"/>
      <c r="BH825" s="578"/>
      <c r="BI825" s="578"/>
      <c r="BJ825" s="578"/>
      <c r="BK825" s="578"/>
      <c r="BL825" s="578"/>
      <c r="BM825" s="578"/>
      <c r="BN825" s="578"/>
      <c r="BO825" s="578"/>
      <c r="BP825" s="578"/>
      <c r="BQ825" s="578"/>
      <c r="BR825" s="578"/>
      <c r="BS825" s="578"/>
      <c r="BT825" s="578"/>
      <c r="BU825" s="578"/>
      <c r="BV825" s="578"/>
      <c r="BW825" s="578"/>
    </row>
    <row r="826" spans="2:75" ht="14.25" customHeight="1" x14ac:dyDescent="0.3">
      <c r="B826" s="823"/>
      <c r="D826" s="824"/>
      <c r="I826" s="825"/>
      <c r="AR826" s="826"/>
      <c r="AY826" s="827"/>
      <c r="BD826" s="577"/>
      <c r="BE826" s="578"/>
      <c r="BF826" s="578"/>
      <c r="BG826" s="578"/>
      <c r="BH826" s="578"/>
      <c r="BI826" s="578"/>
      <c r="BJ826" s="578"/>
      <c r="BK826" s="578"/>
      <c r="BL826" s="578"/>
      <c r="BM826" s="578"/>
      <c r="BN826" s="578"/>
      <c r="BO826" s="578"/>
      <c r="BP826" s="578"/>
      <c r="BQ826" s="578"/>
      <c r="BR826" s="578"/>
      <c r="BS826" s="578"/>
      <c r="BT826" s="578"/>
      <c r="BU826" s="578"/>
      <c r="BV826" s="578"/>
      <c r="BW826" s="578"/>
    </row>
    <row r="827" spans="2:75" ht="14.25" customHeight="1" x14ac:dyDescent="0.3">
      <c r="B827" s="823"/>
      <c r="D827" s="824"/>
      <c r="I827" s="825"/>
      <c r="AR827" s="826"/>
      <c r="AY827" s="827"/>
      <c r="BD827" s="577"/>
      <c r="BE827" s="578"/>
      <c r="BF827" s="578"/>
      <c r="BG827" s="578"/>
      <c r="BH827" s="578"/>
      <c r="BI827" s="578"/>
      <c r="BJ827" s="578"/>
      <c r="BK827" s="578"/>
      <c r="BL827" s="578"/>
      <c r="BM827" s="578"/>
      <c r="BN827" s="578"/>
      <c r="BO827" s="578"/>
      <c r="BP827" s="578"/>
      <c r="BQ827" s="578"/>
      <c r="BR827" s="578"/>
      <c r="BS827" s="578"/>
      <c r="BT827" s="578"/>
      <c r="BU827" s="578"/>
      <c r="BV827" s="578"/>
      <c r="BW827" s="578"/>
    </row>
    <row r="828" spans="2:75" ht="14.25" customHeight="1" x14ac:dyDescent="0.3">
      <c r="B828" s="823"/>
      <c r="D828" s="824"/>
      <c r="I828" s="825"/>
      <c r="AR828" s="826"/>
      <c r="AY828" s="827"/>
      <c r="BD828" s="577"/>
      <c r="BE828" s="578"/>
      <c r="BF828" s="578"/>
      <c r="BG828" s="578"/>
      <c r="BH828" s="578"/>
      <c r="BI828" s="578"/>
      <c r="BJ828" s="578"/>
      <c r="BK828" s="578"/>
      <c r="BL828" s="578"/>
      <c r="BM828" s="578"/>
      <c r="BN828" s="578"/>
      <c r="BO828" s="578"/>
      <c r="BP828" s="578"/>
      <c r="BQ828" s="578"/>
      <c r="BR828" s="578"/>
      <c r="BS828" s="578"/>
      <c r="BT828" s="578"/>
      <c r="BU828" s="578"/>
      <c r="BV828" s="578"/>
      <c r="BW828" s="578"/>
    </row>
    <row r="829" spans="2:75" ht="14.25" customHeight="1" x14ac:dyDescent="0.3">
      <c r="B829" s="823"/>
      <c r="D829" s="824"/>
      <c r="I829" s="825"/>
      <c r="AR829" s="826"/>
      <c r="AY829" s="827"/>
      <c r="BD829" s="577"/>
      <c r="BE829" s="578"/>
      <c r="BF829" s="578"/>
      <c r="BG829" s="578"/>
      <c r="BH829" s="578"/>
      <c r="BI829" s="578"/>
      <c r="BJ829" s="578"/>
      <c r="BK829" s="578"/>
      <c r="BL829" s="578"/>
      <c r="BM829" s="578"/>
      <c r="BN829" s="578"/>
      <c r="BO829" s="578"/>
      <c r="BP829" s="578"/>
      <c r="BQ829" s="578"/>
      <c r="BR829" s="578"/>
      <c r="BS829" s="578"/>
      <c r="BT829" s="578"/>
      <c r="BU829" s="578"/>
      <c r="BV829" s="578"/>
      <c r="BW829" s="578"/>
    </row>
    <row r="830" spans="2:75" ht="14.25" customHeight="1" x14ac:dyDescent="0.3">
      <c r="B830" s="823"/>
      <c r="D830" s="824"/>
      <c r="I830" s="825"/>
      <c r="AR830" s="826"/>
      <c r="AY830" s="827"/>
      <c r="BD830" s="577"/>
      <c r="BE830" s="578"/>
      <c r="BF830" s="578"/>
      <c r="BG830" s="578"/>
      <c r="BH830" s="578"/>
      <c r="BI830" s="578"/>
      <c r="BJ830" s="578"/>
      <c r="BK830" s="578"/>
      <c r="BL830" s="578"/>
      <c r="BM830" s="578"/>
      <c r="BN830" s="578"/>
      <c r="BO830" s="578"/>
      <c r="BP830" s="578"/>
      <c r="BQ830" s="578"/>
      <c r="BR830" s="578"/>
      <c r="BS830" s="578"/>
      <c r="BT830" s="578"/>
      <c r="BU830" s="578"/>
      <c r="BV830" s="578"/>
      <c r="BW830" s="578"/>
    </row>
    <row r="831" spans="2:75" ht="14.25" customHeight="1" x14ac:dyDescent="0.3">
      <c r="B831" s="823"/>
      <c r="D831" s="824"/>
      <c r="I831" s="825"/>
      <c r="AR831" s="826"/>
      <c r="AY831" s="827"/>
      <c r="BD831" s="577"/>
      <c r="BE831" s="578"/>
      <c r="BF831" s="578"/>
      <c r="BG831" s="578"/>
      <c r="BH831" s="578"/>
      <c r="BI831" s="578"/>
      <c r="BJ831" s="578"/>
      <c r="BK831" s="578"/>
      <c r="BL831" s="578"/>
      <c r="BM831" s="578"/>
      <c r="BN831" s="578"/>
      <c r="BO831" s="578"/>
      <c r="BP831" s="578"/>
      <c r="BQ831" s="578"/>
      <c r="BR831" s="578"/>
      <c r="BS831" s="578"/>
      <c r="BT831" s="578"/>
      <c r="BU831" s="578"/>
      <c r="BV831" s="578"/>
      <c r="BW831" s="578"/>
    </row>
    <row r="832" spans="2:75" ht="14.25" customHeight="1" x14ac:dyDescent="0.3">
      <c r="B832" s="823"/>
      <c r="D832" s="824"/>
      <c r="I832" s="825"/>
      <c r="AR832" s="826"/>
      <c r="AY832" s="827"/>
      <c r="BD832" s="577"/>
      <c r="BE832" s="578"/>
      <c r="BF832" s="578"/>
      <c r="BG832" s="578"/>
      <c r="BH832" s="578"/>
      <c r="BI832" s="578"/>
      <c r="BJ832" s="578"/>
      <c r="BK832" s="578"/>
      <c r="BL832" s="578"/>
      <c r="BM832" s="578"/>
      <c r="BN832" s="578"/>
      <c r="BO832" s="578"/>
      <c r="BP832" s="578"/>
      <c r="BQ832" s="578"/>
      <c r="BR832" s="578"/>
      <c r="BS832" s="578"/>
      <c r="BT832" s="578"/>
      <c r="BU832" s="578"/>
      <c r="BV832" s="578"/>
      <c r="BW832" s="578"/>
    </row>
    <row r="833" spans="2:75" ht="14.25" customHeight="1" x14ac:dyDescent="0.3">
      <c r="B833" s="823"/>
      <c r="D833" s="824"/>
      <c r="I833" s="825"/>
      <c r="AR833" s="826"/>
      <c r="AY833" s="827"/>
      <c r="BD833" s="577"/>
      <c r="BE833" s="578"/>
      <c r="BF833" s="578"/>
      <c r="BG833" s="578"/>
      <c r="BH833" s="578"/>
      <c r="BI833" s="578"/>
      <c r="BJ833" s="578"/>
      <c r="BK833" s="578"/>
      <c r="BL833" s="578"/>
      <c r="BM833" s="578"/>
      <c r="BN833" s="578"/>
      <c r="BO833" s="578"/>
      <c r="BP833" s="578"/>
      <c r="BQ833" s="578"/>
      <c r="BR833" s="578"/>
      <c r="BS833" s="578"/>
      <c r="BT833" s="578"/>
      <c r="BU833" s="578"/>
      <c r="BV833" s="578"/>
      <c r="BW833" s="578"/>
    </row>
    <row r="834" spans="2:75" ht="14.25" customHeight="1" x14ac:dyDescent="0.3">
      <c r="B834" s="823"/>
      <c r="D834" s="824"/>
      <c r="I834" s="825"/>
      <c r="AR834" s="826"/>
      <c r="AY834" s="827"/>
      <c r="BD834" s="577"/>
      <c r="BE834" s="578"/>
      <c r="BF834" s="578"/>
      <c r="BG834" s="578"/>
      <c r="BH834" s="578"/>
      <c r="BI834" s="578"/>
      <c r="BJ834" s="578"/>
      <c r="BK834" s="578"/>
      <c r="BL834" s="578"/>
      <c r="BM834" s="578"/>
      <c r="BN834" s="578"/>
      <c r="BO834" s="578"/>
      <c r="BP834" s="578"/>
      <c r="BQ834" s="578"/>
      <c r="BR834" s="578"/>
      <c r="BS834" s="578"/>
      <c r="BT834" s="578"/>
      <c r="BU834" s="578"/>
      <c r="BV834" s="578"/>
      <c r="BW834" s="578"/>
    </row>
    <row r="835" spans="2:75" ht="14.25" customHeight="1" x14ac:dyDescent="0.3">
      <c r="B835" s="823"/>
      <c r="D835" s="824"/>
      <c r="I835" s="825"/>
      <c r="AR835" s="826"/>
      <c r="AY835" s="827"/>
      <c r="BD835" s="577"/>
      <c r="BE835" s="578"/>
      <c r="BF835" s="578"/>
      <c r="BG835" s="578"/>
      <c r="BH835" s="578"/>
      <c r="BI835" s="578"/>
      <c r="BJ835" s="578"/>
      <c r="BK835" s="578"/>
      <c r="BL835" s="578"/>
      <c r="BM835" s="578"/>
      <c r="BN835" s="578"/>
      <c r="BO835" s="578"/>
      <c r="BP835" s="578"/>
      <c r="BQ835" s="578"/>
      <c r="BR835" s="578"/>
      <c r="BS835" s="578"/>
      <c r="BT835" s="578"/>
      <c r="BU835" s="578"/>
      <c r="BV835" s="578"/>
      <c r="BW835" s="578"/>
    </row>
    <row r="836" spans="2:75" ht="14.25" customHeight="1" x14ac:dyDescent="0.3">
      <c r="B836" s="823"/>
      <c r="D836" s="824"/>
      <c r="I836" s="825"/>
      <c r="AR836" s="826"/>
      <c r="AY836" s="827"/>
      <c r="BD836" s="577"/>
      <c r="BE836" s="578"/>
      <c r="BF836" s="578"/>
      <c r="BG836" s="578"/>
      <c r="BH836" s="578"/>
      <c r="BI836" s="578"/>
      <c r="BJ836" s="578"/>
      <c r="BK836" s="578"/>
      <c r="BL836" s="578"/>
      <c r="BM836" s="578"/>
      <c r="BN836" s="578"/>
      <c r="BO836" s="578"/>
      <c r="BP836" s="578"/>
      <c r="BQ836" s="578"/>
      <c r="BR836" s="578"/>
      <c r="BS836" s="578"/>
      <c r="BT836" s="578"/>
      <c r="BU836" s="578"/>
      <c r="BV836" s="578"/>
      <c r="BW836" s="578"/>
    </row>
    <row r="837" spans="2:75" ht="14.25" customHeight="1" x14ac:dyDescent="0.3">
      <c r="B837" s="823"/>
      <c r="D837" s="824"/>
      <c r="I837" s="825"/>
      <c r="AR837" s="826"/>
      <c r="AY837" s="827"/>
      <c r="BD837" s="577"/>
      <c r="BE837" s="578"/>
      <c r="BF837" s="578"/>
      <c r="BG837" s="578"/>
      <c r="BH837" s="578"/>
      <c r="BI837" s="578"/>
      <c r="BJ837" s="578"/>
      <c r="BK837" s="578"/>
      <c r="BL837" s="578"/>
      <c r="BM837" s="578"/>
      <c r="BN837" s="578"/>
      <c r="BO837" s="578"/>
      <c r="BP837" s="578"/>
      <c r="BQ837" s="578"/>
      <c r="BR837" s="578"/>
      <c r="BS837" s="578"/>
      <c r="BT837" s="578"/>
      <c r="BU837" s="578"/>
      <c r="BV837" s="578"/>
      <c r="BW837" s="578"/>
    </row>
    <row r="838" spans="2:75" ht="14.25" customHeight="1" x14ac:dyDescent="0.3">
      <c r="B838" s="823"/>
      <c r="D838" s="824"/>
      <c r="I838" s="825"/>
      <c r="AR838" s="826"/>
      <c r="AY838" s="827"/>
      <c r="BD838" s="577"/>
      <c r="BE838" s="578"/>
      <c r="BF838" s="578"/>
      <c r="BG838" s="578"/>
      <c r="BH838" s="578"/>
      <c r="BI838" s="578"/>
      <c r="BJ838" s="578"/>
      <c r="BK838" s="578"/>
      <c r="BL838" s="578"/>
      <c r="BM838" s="578"/>
      <c r="BN838" s="578"/>
      <c r="BO838" s="578"/>
      <c r="BP838" s="578"/>
      <c r="BQ838" s="578"/>
      <c r="BR838" s="578"/>
      <c r="BS838" s="578"/>
      <c r="BT838" s="578"/>
      <c r="BU838" s="578"/>
      <c r="BV838" s="578"/>
      <c r="BW838" s="578"/>
    </row>
    <row r="839" spans="2:75" ht="14.25" customHeight="1" x14ac:dyDescent="0.3">
      <c r="B839" s="823"/>
      <c r="D839" s="824"/>
      <c r="I839" s="825"/>
      <c r="AR839" s="826"/>
      <c r="AY839" s="827"/>
      <c r="BD839" s="577"/>
      <c r="BE839" s="578"/>
      <c r="BF839" s="578"/>
      <c r="BG839" s="578"/>
      <c r="BH839" s="578"/>
      <c r="BI839" s="578"/>
      <c r="BJ839" s="578"/>
      <c r="BK839" s="578"/>
      <c r="BL839" s="578"/>
      <c r="BM839" s="578"/>
      <c r="BN839" s="578"/>
      <c r="BO839" s="578"/>
      <c r="BP839" s="578"/>
      <c r="BQ839" s="578"/>
      <c r="BR839" s="578"/>
      <c r="BS839" s="578"/>
      <c r="BT839" s="578"/>
      <c r="BU839" s="578"/>
      <c r="BV839" s="578"/>
      <c r="BW839" s="578"/>
    </row>
    <row r="840" spans="2:75" ht="14.25" customHeight="1" x14ac:dyDescent="0.3">
      <c r="B840" s="823"/>
      <c r="D840" s="824"/>
      <c r="I840" s="825"/>
      <c r="AR840" s="826"/>
      <c r="AY840" s="827"/>
      <c r="BD840" s="577"/>
      <c r="BE840" s="578"/>
      <c r="BF840" s="578"/>
      <c r="BG840" s="578"/>
      <c r="BH840" s="578"/>
      <c r="BI840" s="578"/>
      <c r="BJ840" s="578"/>
      <c r="BK840" s="578"/>
      <c r="BL840" s="578"/>
      <c r="BM840" s="578"/>
      <c r="BN840" s="578"/>
      <c r="BO840" s="578"/>
      <c r="BP840" s="578"/>
      <c r="BQ840" s="578"/>
      <c r="BR840" s="578"/>
      <c r="BS840" s="578"/>
      <c r="BT840" s="578"/>
      <c r="BU840" s="578"/>
      <c r="BV840" s="578"/>
      <c r="BW840" s="578"/>
    </row>
    <row r="841" spans="2:75" ht="14.25" customHeight="1" x14ac:dyDescent="0.3">
      <c r="B841" s="823"/>
      <c r="D841" s="824"/>
      <c r="I841" s="825"/>
      <c r="AR841" s="826"/>
      <c r="AY841" s="827"/>
      <c r="BD841" s="577"/>
      <c r="BE841" s="578"/>
      <c r="BF841" s="578"/>
      <c r="BG841" s="578"/>
      <c r="BH841" s="578"/>
      <c r="BI841" s="578"/>
      <c r="BJ841" s="578"/>
      <c r="BK841" s="578"/>
      <c r="BL841" s="578"/>
      <c r="BM841" s="578"/>
      <c r="BN841" s="578"/>
      <c r="BO841" s="578"/>
      <c r="BP841" s="578"/>
      <c r="BQ841" s="578"/>
      <c r="BR841" s="578"/>
      <c r="BS841" s="578"/>
      <c r="BT841" s="578"/>
      <c r="BU841" s="578"/>
      <c r="BV841" s="578"/>
      <c r="BW841" s="578"/>
    </row>
    <row r="842" spans="2:75" ht="14.25" customHeight="1" x14ac:dyDescent="0.3">
      <c r="B842" s="823"/>
      <c r="D842" s="824"/>
      <c r="I842" s="825"/>
      <c r="AR842" s="826"/>
      <c r="AY842" s="827"/>
      <c r="BD842" s="577"/>
      <c r="BE842" s="578"/>
      <c r="BF842" s="578"/>
      <c r="BG842" s="578"/>
      <c r="BH842" s="578"/>
      <c r="BI842" s="578"/>
      <c r="BJ842" s="578"/>
      <c r="BK842" s="578"/>
      <c r="BL842" s="578"/>
      <c r="BM842" s="578"/>
      <c r="BN842" s="578"/>
      <c r="BO842" s="578"/>
      <c r="BP842" s="578"/>
      <c r="BQ842" s="578"/>
      <c r="BR842" s="578"/>
      <c r="BS842" s="578"/>
      <c r="BT842" s="578"/>
      <c r="BU842" s="578"/>
      <c r="BV842" s="578"/>
      <c r="BW842" s="578"/>
    </row>
    <row r="843" spans="2:75" ht="14.25" customHeight="1" x14ac:dyDescent="0.3">
      <c r="B843" s="823"/>
      <c r="D843" s="824"/>
      <c r="I843" s="825"/>
      <c r="AR843" s="826"/>
      <c r="AY843" s="827"/>
      <c r="BD843" s="577"/>
      <c r="BE843" s="578"/>
      <c r="BF843" s="578"/>
      <c r="BG843" s="578"/>
      <c r="BH843" s="578"/>
      <c r="BI843" s="578"/>
      <c r="BJ843" s="578"/>
      <c r="BK843" s="578"/>
      <c r="BL843" s="578"/>
      <c r="BM843" s="578"/>
      <c r="BN843" s="578"/>
      <c r="BO843" s="578"/>
      <c r="BP843" s="578"/>
      <c r="BQ843" s="578"/>
      <c r="BR843" s="578"/>
      <c r="BS843" s="578"/>
      <c r="BT843" s="578"/>
      <c r="BU843" s="578"/>
      <c r="BV843" s="578"/>
      <c r="BW843" s="578"/>
    </row>
    <row r="844" spans="2:75" ht="14.25" customHeight="1" x14ac:dyDescent="0.3">
      <c r="B844" s="823"/>
      <c r="D844" s="824"/>
      <c r="I844" s="825"/>
      <c r="AR844" s="826"/>
      <c r="AY844" s="827"/>
      <c r="BD844" s="577"/>
      <c r="BE844" s="578"/>
      <c r="BF844" s="578"/>
      <c r="BG844" s="578"/>
      <c r="BH844" s="578"/>
      <c r="BI844" s="578"/>
      <c r="BJ844" s="578"/>
      <c r="BK844" s="578"/>
      <c r="BL844" s="578"/>
      <c r="BM844" s="578"/>
      <c r="BN844" s="578"/>
      <c r="BO844" s="578"/>
      <c r="BP844" s="578"/>
      <c r="BQ844" s="578"/>
      <c r="BR844" s="578"/>
      <c r="BS844" s="578"/>
      <c r="BT844" s="578"/>
      <c r="BU844" s="578"/>
      <c r="BV844" s="578"/>
      <c r="BW844" s="578"/>
    </row>
    <row r="845" spans="2:75" ht="14.25" customHeight="1" x14ac:dyDescent="0.3">
      <c r="B845" s="823"/>
      <c r="D845" s="824"/>
      <c r="I845" s="825"/>
      <c r="AR845" s="826"/>
      <c r="AY845" s="827"/>
      <c r="BD845" s="577"/>
      <c r="BE845" s="578"/>
      <c r="BF845" s="578"/>
      <c r="BG845" s="578"/>
      <c r="BH845" s="578"/>
      <c r="BI845" s="578"/>
      <c r="BJ845" s="578"/>
      <c r="BK845" s="578"/>
      <c r="BL845" s="578"/>
      <c r="BM845" s="578"/>
      <c r="BN845" s="578"/>
      <c r="BO845" s="578"/>
      <c r="BP845" s="578"/>
      <c r="BQ845" s="578"/>
      <c r="BR845" s="578"/>
      <c r="BS845" s="578"/>
      <c r="BT845" s="578"/>
      <c r="BU845" s="578"/>
      <c r="BV845" s="578"/>
      <c r="BW845" s="578"/>
    </row>
    <row r="846" spans="2:75" ht="14.25" customHeight="1" x14ac:dyDescent="0.3">
      <c r="B846" s="823"/>
      <c r="D846" s="824"/>
      <c r="I846" s="825"/>
      <c r="AR846" s="826"/>
      <c r="AY846" s="827"/>
      <c r="BD846" s="577"/>
      <c r="BE846" s="578"/>
      <c r="BF846" s="578"/>
      <c r="BG846" s="578"/>
      <c r="BH846" s="578"/>
      <c r="BI846" s="578"/>
      <c r="BJ846" s="578"/>
      <c r="BK846" s="578"/>
      <c r="BL846" s="578"/>
      <c r="BM846" s="578"/>
      <c r="BN846" s="578"/>
      <c r="BO846" s="578"/>
      <c r="BP846" s="578"/>
      <c r="BQ846" s="578"/>
      <c r="BR846" s="578"/>
      <c r="BS846" s="578"/>
      <c r="BT846" s="578"/>
      <c r="BU846" s="578"/>
      <c r="BV846" s="578"/>
      <c r="BW846" s="578"/>
    </row>
    <row r="847" spans="2:75" ht="14.25" customHeight="1" x14ac:dyDescent="0.3">
      <c r="B847" s="823"/>
      <c r="D847" s="824"/>
      <c r="I847" s="825"/>
      <c r="AR847" s="826"/>
      <c r="AY847" s="827"/>
      <c r="BD847" s="577"/>
      <c r="BE847" s="578"/>
      <c r="BF847" s="578"/>
      <c r="BG847" s="578"/>
      <c r="BH847" s="578"/>
      <c r="BI847" s="578"/>
      <c r="BJ847" s="578"/>
      <c r="BK847" s="578"/>
      <c r="BL847" s="578"/>
      <c r="BM847" s="578"/>
      <c r="BN847" s="578"/>
      <c r="BO847" s="578"/>
      <c r="BP847" s="578"/>
      <c r="BQ847" s="578"/>
      <c r="BR847" s="578"/>
      <c r="BS847" s="578"/>
      <c r="BT847" s="578"/>
      <c r="BU847" s="578"/>
      <c r="BV847" s="578"/>
      <c r="BW847" s="578"/>
    </row>
    <row r="848" spans="2:75" ht="14.25" customHeight="1" x14ac:dyDescent="0.3">
      <c r="B848" s="823"/>
      <c r="D848" s="824"/>
      <c r="I848" s="825"/>
      <c r="AR848" s="826"/>
      <c r="AY848" s="827"/>
      <c r="BD848" s="577"/>
      <c r="BE848" s="578"/>
      <c r="BF848" s="578"/>
      <c r="BG848" s="578"/>
      <c r="BH848" s="578"/>
      <c r="BI848" s="578"/>
      <c r="BJ848" s="578"/>
      <c r="BK848" s="578"/>
      <c r="BL848" s="578"/>
      <c r="BM848" s="578"/>
      <c r="BN848" s="578"/>
      <c r="BO848" s="578"/>
      <c r="BP848" s="578"/>
      <c r="BQ848" s="578"/>
      <c r="BR848" s="578"/>
      <c r="BS848" s="578"/>
      <c r="BT848" s="578"/>
      <c r="BU848" s="578"/>
      <c r="BV848" s="578"/>
      <c r="BW848" s="578"/>
    </row>
    <row r="849" spans="2:75" ht="14.25" customHeight="1" x14ac:dyDescent="0.3">
      <c r="B849" s="823"/>
      <c r="D849" s="824"/>
      <c r="I849" s="825"/>
      <c r="AR849" s="826"/>
      <c r="AY849" s="827"/>
      <c r="BD849" s="577"/>
      <c r="BE849" s="578"/>
      <c r="BF849" s="578"/>
      <c r="BG849" s="578"/>
      <c r="BH849" s="578"/>
      <c r="BI849" s="578"/>
      <c r="BJ849" s="578"/>
      <c r="BK849" s="578"/>
      <c r="BL849" s="578"/>
      <c r="BM849" s="578"/>
      <c r="BN849" s="578"/>
      <c r="BO849" s="578"/>
      <c r="BP849" s="578"/>
      <c r="BQ849" s="578"/>
      <c r="BR849" s="578"/>
      <c r="BS849" s="578"/>
      <c r="BT849" s="578"/>
      <c r="BU849" s="578"/>
      <c r="BV849" s="578"/>
      <c r="BW849" s="578"/>
    </row>
    <row r="850" spans="2:75" ht="14.25" customHeight="1" x14ac:dyDescent="0.3">
      <c r="B850" s="823"/>
      <c r="D850" s="824"/>
      <c r="I850" s="825"/>
      <c r="AR850" s="826"/>
      <c r="AY850" s="827"/>
      <c r="BD850" s="577"/>
      <c r="BE850" s="578"/>
      <c r="BF850" s="578"/>
      <c r="BG850" s="578"/>
      <c r="BH850" s="578"/>
      <c r="BI850" s="578"/>
      <c r="BJ850" s="578"/>
      <c r="BK850" s="578"/>
      <c r="BL850" s="578"/>
      <c r="BM850" s="578"/>
      <c r="BN850" s="578"/>
      <c r="BO850" s="578"/>
      <c r="BP850" s="578"/>
      <c r="BQ850" s="578"/>
      <c r="BR850" s="578"/>
      <c r="BS850" s="578"/>
      <c r="BT850" s="578"/>
      <c r="BU850" s="578"/>
      <c r="BV850" s="578"/>
      <c r="BW850" s="578"/>
    </row>
    <row r="851" spans="2:75" ht="14.25" customHeight="1" x14ac:dyDescent="0.3">
      <c r="B851" s="823"/>
      <c r="D851" s="824"/>
      <c r="I851" s="825"/>
      <c r="AR851" s="826"/>
      <c r="AY851" s="827"/>
      <c r="BD851" s="577"/>
      <c r="BE851" s="578"/>
      <c r="BF851" s="578"/>
      <c r="BG851" s="578"/>
      <c r="BH851" s="578"/>
      <c r="BI851" s="578"/>
      <c r="BJ851" s="578"/>
      <c r="BK851" s="578"/>
      <c r="BL851" s="578"/>
      <c r="BM851" s="578"/>
      <c r="BN851" s="578"/>
      <c r="BO851" s="578"/>
      <c r="BP851" s="578"/>
      <c r="BQ851" s="578"/>
      <c r="BR851" s="578"/>
      <c r="BS851" s="578"/>
      <c r="BT851" s="578"/>
      <c r="BU851" s="578"/>
      <c r="BV851" s="578"/>
      <c r="BW851" s="578"/>
    </row>
    <row r="852" spans="2:75" ht="14.25" customHeight="1" x14ac:dyDescent="0.3">
      <c r="B852" s="823"/>
      <c r="D852" s="824"/>
      <c r="I852" s="825"/>
      <c r="AR852" s="826"/>
      <c r="AY852" s="827"/>
      <c r="BD852" s="577"/>
      <c r="BE852" s="578"/>
      <c r="BF852" s="578"/>
      <c r="BG852" s="578"/>
      <c r="BH852" s="578"/>
      <c r="BI852" s="578"/>
      <c r="BJ852" s="578"/>
      <c r="BK852" s="578"/>
      <c r="BL852" s="578"/>
      <c r="BM852" s="578"/>
      <c r="BN852" s="578"/>
      <c r="BO852" s="578"/>
      <c r="BP852" s="578"/>
      <c r="BQ852" s="578"/>
      <c r="BR852" s="578"/>
      <c r="BS852" s="578"/>
      <c r="BT852" s="578"/>
      <c r="BU852" s="578"/>
      <c r="BV852" s="578"/>
      <c r="BW852" s="578"/>
    </row>
    <row r="853" spans="2:75" ht="14.25" customHeight="1" x14ac:dyDescent="0.3">
      <c r="B853" s="823"/>
      <c r="D853" s="824"/>
      <c r="I853" s="825"/>
      <c r="AR853" s="826"/>
      <c r="AY853" s="827"/>
      <c r="BD853" s="577"/>
      <c r="BE853" s="578"/>
      <c r="BF853" s="578"/>
      <c r="BG853" s="578"/>
      <c r="BH853" s="578"/>
      <c r="BI853" s="578"/>
      <c r="BJ853" s="578"/>
      <c r="BK853" s="578"/>
      <c r="BL853" s="578"/>
      <c r="BM853" s="578"/>
      <c r="BN853" s="578"/>
      <c r="BO853" s="578"/>
      <c r="BP853" s="578"/>
      <c r="BQ853" s="578"/>
      <c r="BR853" s="578"/>
      <c r="BS853" s="578"/>
      <c r="BT853" s="578"/>
      <c r="BU853" s="578"/>
      <c r="BV853" s="578"/>
      <c r="BW853" s="578"/>
    </row>
    <row r="854" spans="2:75" ht="14.25" customHeight="1" x14ac:dyDescent="0.3">
      <c r="B854" s="823"/>
      <c r="D854" s="824"/>
      <c r="I854" s="825"/>
      <c r="AR854" s="826"/>
      <c r="AY854" s="827"/>
      <c r="BD854" s="577"/>
      <c r="BE854" s="578"/>
      <c r="BF854" s="578"/>
      <c r="BG854" s="578"/>
      <c r="BH854" s="578"/>
      <c r="BI854" s="578"/>
      <c r="BJ854" s="578"/>
      <c r="BK854" s="578"/>
      <c r="BL854" s="578"/>
      <c r="BM854" s="578"/>
      <c r="BN854" s="578"/>
      <c r="BO854" s="578"/>
      <c r="BP854" s="578"/>
      <c r="BQ854" s="578"/>
      <c r="BR854" s="578"/>
      <c r="BS854" s="578"/>
      <c r="BT854" s="578"/>
      <c r="BU854" s="578"/>
      <c r="BV854" s="578"/>
      <c r="BW854" s="578"/>
    </row>
    <row r="855" spans="2:75" ht="14.25" customHeight="1" x14ac:dyDescent="0.3">
      <c r="B855" s="823"/>
      <c r="D855" s="824"/>
      <c r="I855" s="825"/>
      <c r="AR855" s="826"/>
      <c r="AY855" s="827"/>
      <c r="BD855" s="577"/>
      <c r="BE855" s="578"/>
      <c r="BF855" s="578"/>
      <c r="BG855" s="578"/>
      <c r="BH855" s="578"/>
      <c r="BI855" s="578"/>
      <c r="BJ855" s="578"/>
      <c r="BK855" s="578"/>
      <c r="BL855" s="578"/>
      <c r="BM855" s="578"/>
      <c r="BN855" s="578"/>
      <c r="BO855" s="578"/>
      <c r="BP855" s="578"/>
      <c r="BQ855" s="578"/>
      <c r="BR855" s="578"/>
      <c r="BS855" s="578"/>
      <c r="BT855" s="578"/>
      <c r="BU855" s="578"/>
      <c r="BV855" s="578"/>
      <c r="BW855" s="578"/>
    </row>
    <row r="856" spans="2:75" ht="14.25" customHeight="1" x14ac:dyDescent="0.3">
      <c r="B856" s="823"/>
      <c r="D856" s="824"/>
      <c r="I856" s="825"/>
      <c r="AR856" s="826"/>
      <c r="AY856" s="827"/>
      <c r="BD856" s="577"/>
      <c r="BE856" s="578"/>
      <c r="BF856" s="578"/>
      <c r="BG856" s="578"/>
      <c r="BH856" s="578"/>
      <c r="BI856" s="578"/>
      <c r="BJ856" s="578"/>
      <c r="BK856" s="578"/>
      <c r="BL856" s="578"/>
      <c r="BM856" s="578"/>
      <c r="BN856" s="578"/>
      <c r="BO856" s="578"/>
      <c r="BP856" s="578"/>
      <c r="BQ856" s="578"/>
      <c r="BR856" s="578"/>
      <c r="BS856" s="578"/>
      <c r="BT856" s="578"/>
      <c r="BU856" s="578"/>
      <c r="BV856" s="578"/>
      <c r="BW856" s="578"/>
    </row>
    <row r="857" spans="2:75" ht="14.25" customHeight="1" x14ac:dyDescent="0.3">
      <c r="B857" s="823"/>
      <c r="D857" s="824"/>
      <c r="I857" s="825"/>
      <c r="AR857" s="826"/>
      <c r="AY857" s="827"/>
      <c r="BD857" s="577"/>
      <c r="BE857" s="578"/>
      <c r="BF857" s="578"/>
      <c r="BG857" s="578"/>
      <c r="BH857" s="578"/>
      <c r="BI857" s="578"/>
      <c r="BJ857" s="578"/>
      <c r="BK857" s="578"/>
      <c r="BL857" s="578"/>
      <c r="BM857" s="578"/>
      <c r="BN857" s="578"/>
      <c r="BO857" s="578"/>
      <c r="BP857" s="578"/>
      <c r="BQ857" s="578"/>
      <c r="BR857" s="578"/>
      <c r="BS857" s="578"/>
      <c r="BT857" s="578"/>
      <c r="BU857" s="578"/>
      <c r="BV857" s="578"/>
      <c r="BW857" s="578"/>
    </row>
    <row r="858" spans="2:75" ht="14.25" customHeight="1" x14ac:dyDescent="0.3">
      <c r="B858" s="823"/>
      <c r="D858" s="824"/>
      <c r="I858" s="825"/>
      <c r="AR858" s="826"/>
      <c r="AY858" s="827"/>
      <c r="BD858" s="577"/>
      <c r="BE858" s="578"/>
      <c r="BF858" s="578"/>
      <c r="BG858" s="578"/>
      <c r="BH858" s="578"/>
      <c r="BI858" s="578"/>
      <c r="BJ858" s="578"/>
      <c r="BK858" s="578"/>
      <c r="BL858" s="578"/>
      <c r="BM858" s="578"/>
      <c r="BN858" s="578"/>
      <c r="BO858" s="578"/>
      <c r="BP858" s="578"/>
      <c r="BQ858" s="578"/>
      <c r="BR858" s="578"/>
      <c r="BS858" s="578"/>
      <c r="BT858" s="578"/>
      <c r="BU858" s="578"/>
      <c r="BV858" s="578"/>
      <c r="BW858" s="578"/>
    </row>
    <row r="859" spans="2:75" ht="14.25" customHeight="1" x14ac:dyDescent="0.3">
      <c r="B859" s="823"/>
      <c r="D859" s="824"/>
      <c r="I859" s="825"/>
      <c r="AR859" s="826"/>
      <c r="AY859" s="827"/>
      <c r="BD859" s="577"/>
      <c r="BE859" s="578"/>
      <c r="BF859" s="578"/>
      <c r="BG859" s="578"/>
      <c r="BH859" s="578"/>
      <c r="BI859" s="578"/>
      <c r="BJ859" s="578"/>
      <c r="BK859" s="578"/>
      <c r="BL859" s="578"/>
      <c r="BM859" s="578"/>
      <c r="BN859" s="578"/>
      <c r="BO859" s="578"/>
      <c r="BP859" s="578"/>
      <c r="BQ859" s="578"/>
      <c r="BR859" s="578"/>
      <c r="BS859" s="578"/>
      <c r="BT859" s="578"/>
      <c r="BU859" s="578"/>
      <c r="BV859" s="578"/>
      <c r="BW859" s="578"/>
    </row>
    <row r="860" spans="2:75" ht="14.25" customHeight="1" x14ac:dyDescent="0.3">
      <c r="B860" s="823"/>
      <c r="D860" s="824"/>
      <c r="I860" s="825"/>
      <c r="AR860" s="826"/>
      <c r="AY860" s="827"/>
      <c r="BD860" s="577"/>
      <c r="BE860" s="578"/>
      <c r="BF860" s="578"/>
      <c r="BG860" s="578"/>
      <c r="BH860" s="578"/>
      <c r="BI860" s="578"/>
      <c r="BJ860" s="578"/>
      <c r="BK860" s="578"/>
      <c r="BL860" s="578"/>
      <c r="BM860" s="578"/>
      <c r="BN860" s="578"/>
      <c r="BO860" s="578"/>
      <c r="BP860" s="578"/>
      <c r="BQ860" s="578"/>
      <c r="BR860" s="578"/>
      <c r="BS860" s="578"/>
      <c r="BT860" s="578"/>
      <c r="BU860" s="578"/>
      <c r="BV860" s="578"/>
      <c r="BW860" s="578"/>
    </row>
    <row r="861" spans="2:75" ht="14.25" customHeight="1" x14ac:dyDescent="0.3">
      <c r="B861" s="823"/>
      <c r="D861" s="824"/>
      <c r="I861" s="825"/>
      <c r="AR861" s="826"/>
      <c r="AY861" s="827"/>
      <c r="BD861" s="577"/>
      <c r="BE861" s="578"/>
      <c r="BF861" s="578"/>
      <c r="BG861" s="578"/>
      <c r="BH861" s="578"/>
      <c r="BI861" s="578"/>
      <c r="BJ861" s="578"/>
      <c r="BK861" s="578"/>
      <c r="BL861" s="578"/>
      <c r="BM861" s="578"/>
      <c r="BN861" s="578"/>
      <c r="BO861" s="578"/>
      <c r="BP861" s="578"/>
      <c r="BQ861" s="578"/>
      <c r="BR861" s="578"/>
      <c r="BS861" s="578"/>
      <c r="BT861" s="578"/>
      <c r="BU861" s="578"/>
      <c r="BV861" s="578"/>
      <c r="BW861" s="578"/>
    </row>
    <row r="862" spans="2:75" ht="14.25" customHeight="1" x14ac:dyDescent="0.3">
      <c r="B862" s="823"/>
      <c r="D862" s="824"/>
      <c r="I862" s="825"/>
      <c r="AR862" s="826"/>
      <c r="AY862" s="827"/>
      <c r="BD862" s="577"/>
      <c r="BE862" s="578"/>
      <c r="BF862" s="578"/>
      <c r="BG862" s="578"/>
      <c r="BH862" s="578"/>
      <c r="BI862" s="578"/>
      <c r="BJ862" s="578"/>
      <c r="BK862" s="578"/>
      <c r="BL862" s="578"/>
      <c r="BM862" s="578"/>
      <c r="BN862" s="578"/>
      <c r="BO862" s="578"/>
      <c r="BP862" s="578"/>
      <c r="BQ862" s="578"/>
      <c r="BR862" s="578"/>
      <c r="BS862" s="578"/>
      <c r="BT862" s="578"/>
      <c r="BU862" s="578"/>
      <c r="BV862" s="578"/>
      <c r="BW862" s="578"/>
    </row>
    <row r="863" spans="2:75" ht="14.25" customHeight="1" x14ac:dyDescent="0.3">
      <c r="B863" s="823"/>
      <c r="D863" s="824"/>
      <c r="I863" s="825"/>
      <c r="AR863" s="826"/>
      <c r="AY863" s="827"/>
      <c r="BD863" s="577"/>
      <c r="BE863" s="578"/>
      <c r="BF863" s="578"/>
      <c r="BG863" s="578"/>
      <c r="BH863" s="578"/>
      <c r="BI863" s="578"/>
      <c r="BJ863" s="578"/>
      <c r="BK863" s="578"/>
      <c r="BL863" s="578"/>
      <c r="BM863" s="578"/>
      <c r="BN863" s="578"/>
      <c r="BO863" s="578"/>
      <c r="BP863" s="578"/>
      <c r="BQ863" s="578"/>
      <c r="BR863" s="578"/>
      <c r="BS863" s="578"/>
      <c r="BT863" s="578"/>
      <c r="BU863" s="578"/>
      <c r="BV863" s="578"/>
      <c r="BW863" s="578"/>
    </row>
    <row r="864" spans="2:75" ht="14.25" customHeight="1" x14ac:dyDescent="0.3">
      <c r="B864" s="823"/>
      <c r="D864" s="824"/>
      <c r="I864" s="825"/>
      <c r="AR864" s="826"/>
      <c r="AY864" s="827"/>
      <c r="BD864" s="577"/>
      <c r="BE864" s="578"/>
      <c r="BF864" s="578"/>
      <c r="BG864" s="578"/>
      <c r="BH864" s="578"/>
      <c r="BI864" s="578"/>
      <c r="BJ864" s="578"/>
      <c r="BK864" s="578"/>
      <c r="BL864" s="578"/>
      <c r="BM864" s="578"/>
      <c r="BN864" s="578"/>
      <c r="BO864" s="578"/>
      <c r="BP864" s="578"/>
      <c r="BQ864" s="578"/>
      <c r="BR864" s="578"/>
      <c r="BS864" s="578"/>
      <c r="BT864" s="578"/>
      <c r="BU864" s="578"/>
      <c r="BV864" s="578"/>
      <c r="BW864" s="578"/>
    </row>
    <row r="865" spans="2:75" ht="14.25" customHeight="1" x14ac:dyDescent="0.3">
      <c r="B865" s="823"/>
      <c r="D865" s="824"/>
      <c r="I865" s="825"/>
      <c r="AR865" s="826"/>
      <c r="AY865" s="827"/>
      <c r="BD865" s="577"/>
      <c r="BE865" s="578"/>
      <c r="BF865" s="578"/>
      <c r="BG865" s="578"/>
      <c r="BH865" s="578"/>
      <c r="BI865" s="578"/>
      <c r="BJ865" s="578"/>
      <c r="BK865" s="578"/>
      <c r="BL865" s="578"/>
      <c r="BM865" s="578"/>
      <c r="BN865" s="578"/>
      <c r="BO865" s="578"/>
      <c r="BP865" s="578"/>
      <c r="BQ865" s="578"/>
      <c r="BR865" s="578"/>
      <c r="BS865" s="578"/>
      <c r="BT865" s="578"/>
      <c r="BU865" s="578"/>
      <c r="BV865" s="578"/>
      <c r="BW865" s="578"/>
    </row>
    <row r="866" spans="2:75" ht="14.25" customHeight="1" x14ac:dyDescent="0.3">
      <c r="B866" s="823"/>
      <c r="D866" s="824"/>
      <c r="I866" s="825"/>
      <c r="AR866" s="826"/>
      <c r="AY866" s="827"/>
      <c r="BD866" s="577"/>
      <c r="BE866" s="578"/>
      <c r="BF866" s="578"/>
      <c r="BG866" s="578"/>
      <c r="BH866" s="578"/>
      <c r="BI866" s="578"/>
      <c r="BJ866" s="578"/>
      <c r="BK866" s="578"/>
      <c r="BL866" s="578"/>
      <c r="BM866" s="578"/>
      <c r="BN866" s="578"/>
      <c r="BO866" s="578"/>
      <c r="BP866" s="578"/>
      <c r="BQ866" s="578"/>
      <c r="BR866" s="578"/>
      <c r="BS866" s="578"/>
      <c r="BT866" s="578"/>
      <c r="BU866" s="578"/>
      <c r="BV866" s="578"/>
      <c r="BW866" s="578"/>
    </row>
    <row r="867" spans="2:75" ht="14.25" customHeight="1" x14ac:dyDescent="0.3">
      <c r="B867" s="823"/>
      <c r="D867" s="824"/>
      <c r="I867" s="825"/>
      <c r="AR867" s="826"/>
      <c r="AY867" s="827"/>
      <c r="BD867" s="577"/>
      <c r="BE867" s="578"/>
      <c r="BF867" s="578"/>
      <c r="BG867" s="578"/>
      <c r="BH867" s="578"/>
      <c r="BI867" s="578"/>
      <c r="BJ867" s="578"/>
      <c r="BK867" s="578"/>
      <c r="BL867" s="578"/>
      <c r="BM867" s="578"/>
      <c r="BN867" s="578"/>
      <c r="BO867" s="578"/>
      <c r="BP867" s="578"/>
      <c r="BQ867" s="578"/>
      <c r="BR867" s="578"/>
      <c r="BS867" s="578"/>
      <c r="BT867" s="578"/>
      <c r="BU867" s="578"/>
      <c r="BV867" s="578"/>
      <c r="BW867" s="578"/>
    </row>
    <row r="868" spans="2:75" ht="14.25" customHeight="1" x14ac:dyDescent="0.3">
      <c r="B868" s="823"/>
      <c r="D868" s="824"/>
      <c r="I868" s="825"/>
      <c r="AR868" s="826"/>
      <c r="AY868" s="827"/>
      <c r="BD868" s="577"/>
      <c r="BE868" s="578"/>
      <c r="BF868" s="578"/>
      <c r="BG868" s="578"/>
      <c r="BH868" s="578"/>
      <c r="BI868" s="578"/>
      <c r="BJ868" s="578"/>
      <c r="BK868" s="578"/>
      <c r="BL868" s="578"/>
      <c r="BM868" s="578"/>
      <c r="BN868" s="578"/>
      <c r="BO868" s="578"/>
      <c r="BP868" s="578"/>
      <c r="BQ868" s="578"/>
      <c r="BR868" s="578"/>
      <c r="BS868" s="578"/>
      <c r="BT868" s="578"/>
      <c r="BU868" s="578"/>
      <c r="BV868" s="578"/>
      <c r="BW868" s="578"/>
    </row>
    <row r="869" spans="2:75" ht="14.25" customHeight="1" x14ac:dyDescent="0.3">
      <c r="B869" s="823"/>
      <c r="D869" s="824"/>
      <c r="I869" s="825"/>
      <c r="AR869" s="826"/>
      <c r="AY869" s="827"/>
      <c r="BD869" s="577"/>
      <c r="BE869" s="578"/>
      <c r="BF869" s="578"/>
      <c r="BG869" s="578"/>
      <c r="BH869" s="578"/>
      <c r="BI869" s="578"/>
      <c r="BJ869" s="578"/>
      <c r="BK869" s="578"/>
      <c r="BL869" s="578"/>
      <c r="BM869" s="578"/>
      <c r="BN869" s="578"/>
      <c r="BO869" s="578"/>
      <c r="BP869" s="578"/>
      <c r="BQ869" s="578"/>
      <c r="BR869" s="578"/>
      <c r="BS869" s="578"/>
      <c r="BT869" s="578"/>
      <c r="BU869" s="578"/>
      <c r="BV869" s="578"/>
      <c r="BW869" s="578"/>
    </row>
    <row r="870" spans="2:75" ht="14.25" customHeight="1" x14ac:dyDescent="0.3">
      <c r="B870" s="823"/>
      <c r="D870" s="824"/>
      <c r="I870" s="825"/>
      <c r="AR870" s="826"/>
      <c r="AY870" s="827"/>
      <c r="BD870" s="577"/>
      <c r="BE870" s="578"/>
      <c r="BF870" s="578"/>
      <c r="BG870" s="578"/>
      <c r="BH870" s="578"/>
      <c r="BI870" s="578"/>
      <c r="BJ870" s="578"/>
      <c r="BK870" s="578"/>
      <c r="BL870" s="578"/>
      <c r="BM870" s="578"/>
      <c r="BN870" s="578"/>
      <c r="BO870" s="578"/>
      <c r="BP870" s="578"/>
      <c r="BQ870" s="578"/>
      <c r="BR870" s="578"/>
      <c r="BS870" s="578"/>
      <c r="BT870" s="578"/>
      <c r="BU870" s="578"/>
      <c r="BV870" s="578"/>
      <c r="BW870" s="578"/>
    </row>
    <row r="871" spans="2:75" ht="14.25" customHeight="1" x14ac:dyDescent="0.3">
      <c r="B871" s="823"/>
      <c r="D871" s="824"/>
      <c r="I871" s="825"/>
      <c r="AR871" s="826"/>
      <c r="AY871" s="827"/>
      <c r="BD871" s="577"/>
      <c r="BE871" s="578"/>
      <c r="BF871" s="578"/>
      <c r="BG871" s="578"/>
      <c r="BH871" s="578"/>
      <c r="BI871" s="578"/>
      <c r="BJ871" s="578"/>
      <c r="BK871" s="578"/>
      <c r="BL871" s="578"/>
      <c r="BM871" s="578"/>
      <c r="BN871" s="578"/>
      <c r="BO871" s="578"/>
      <c r="BP871" s="578"/>
      <c r="BQ871" s="578"/>
      <c r="BR871" s="578"/>
      <c r="BS871" s="578"/>
      <c r="BT871" s="578"/>
      <c r="BU871" s="578"/>
      <c r="BV871" s="578"/>
      <c r="BW871" s="578"/>
    </row>
    <row r="872" spans="2:75" ht="14.25" customHeight="1" x14ac:dyDescent="0.3">
      <c r="B872" s="823"/>
      <c r="D872" s="824"/>
      <c r="I872" s="825"/>
      <c r="AR872" s="826"/>
      <c r="AY872" s="827"/>
      <c r="BD872" s="577"/>
      <c r="BE872" s="578"/>
      <c r="BF872" s="578"/>
      <c r="BG872" s="578"/>
      <c r="BH872" s="578"/>
      <c r="BI872" s="578"/>
      <c r="BJ872" s="578"/>
      <c r="BK872" s="578"/>
      <c r="BL872" s="578"/>
      <c r="BM872" s="578"/>
      <c r="BN872" s="578"/>
      <c r="BO872" s="578"/>
      <c r="BP872" s="578"/>
      <c r="BQ872" s="578"/>
      <c r="BR872" s="578"/>
      <c r="BS872" s="578"/>
      <c r="BT872" s="578"/>
      <c r="BU872" s="578"/>
      <c r="BV872" s="578"/>
      <c r="BW872" s="578"/>
    </row>
    <row r="873" spans="2:75" ht="14.25" customHeight="1" x14ac:dyDescent="0.3">
      <c r="B873" s="823"/>
      <c r="D873" s="824"/>
      <c r="I873" s="825"/>
      <c r="AR873" s="826"/>
      <c r="AY873" s="827"/>
      <c r="BD873" s="577"/>
      <c r="BE873" s="578"/>
      <c r="BF873" s="578"/>
      <c r="BG873" s="578"/>
      <c r="BH873" s="578"/>
      <c r="BI873" s="578"/>
      <c r="BJ873" s="578"/>
      <c r="BK873" s="578"/>
      <c r="BL873" s="578"/>
      <c r="BM873" s="578"/>
      <c r="BN873" s="578"/>
      <c r="BO873" s="578"/>
      <c r="BP873" s="578"/>
      <c r="BQ873" s="578"/>
      <c r="BR873" s="578"/>
      <c r="BS873" s="578"/>
      <c r="BT873" s="578"/>
      <c r="BU873" s="578"/>
      <c r="BV873" s="578"/>
      <c r="BW873" s="578"/>
    </row>
    <row r="874" spans="2:75" ht="14.25" customHeight="1" x14ac:dyDescent="0.3">
      <c r="B874" s="823"/>
      <c r="D874" s="824"/>
      <c r="I874" s="825"/>
      <c r="AR874" s="826"/>
      <c r="AY874" s="827"/>
      <c r="BD874" s="577"/>
      <c r="BE874" s="578"/>
      <c r="BF874" s="578"/>
      <c r="BG874" s="578"/>
      <c r="BH874" s="578"/>
      <c r="BI874" s="578"/>
      <c r="BJ874" s="578"/>
      <c r="BK874" s="578"/>
      <c r="BL874" s="578"/>
      <c r="BM874" s="578"/>
      <c r="BN874" s="578"/>
      <c r="BO874" s="578"/>
      <c r="BP874" s="578"/>
      <c r="BQ874" s="578"/>
      <c r="BR874" s="578"/>
      <c r="BS874" s="578"/>
      <c r="BT874" s="578"/>
      <c r="BU874" s="578"/>
      <c r="BV874" s="578"/>
      <c r="BW874" s="578"/>
    </row>
    <row r="875" spans="2:75" ht="14.25" customHeight="1" x14ac:dyDescent="0.3">
      <c r="B875" s="823"/>
      <c r="D875" s="824"/>
      <c r="I875" s="825"/>
      <c r="AR875" s="826"/>
      <c r="AY875" s="827"/>
      <c r="BD875" s="577"/>
      <c r="BE875" s="578"/>
      <c r="BF875" s="578"/>
      <c r="BG875" s="578"/>
      <c r="BH875" s="578"/>
      <c r="BI875" s="578"/>
      <c r="BJ875" s="578"/>
      <c r="BK875" s="578"/>
      <c r="BL875" s="578"/>
      <c r="BM875" s="578"/>
      <c r="BN875" s="578"/>
      <c r="BO875" s="578"/>
      <c r="BP875" s="578"/>
      <c r="BQ875" s="578"/>
      <c r="BR875" s="578"/>
      <c r="BS875" s="578"/>
      <c r="BT875" s="578"/>
      <c r="BU875" s="578"/>
      <c r="BV875" s="578"/>
      <c r="BW875" s="578"/>
    </row>
    <row r="876" spans="2:75" ht="14.25" customHeight="1" x14ac:dyDescent="0.3">
      <c r="B876" s="823"/>
      <c r="D876" s="824"/>
      <c r="I876" s="825"/>
      <c r="AR876" s="826"/>
      <c r="AY876" s="827"/>
      <c r="BD876" s="577"/>
      <c r="BE876" s="578"/>
      <c r="BF876" s="578"/>
      <c r="BG876" s="578"/>
      <c r="BH876" s="578"/>
      <c r="BI876" s="578"/>
      <c r="BJ876" s="578"/>
      <c r="BK876" s="578"/>
      <c r="BL876" s="578"/>
      <c r="BM876" s="578"/>
      <c r="BN876" s="578"/>
      <c r="BO876" s="578"/>
      <c r="BP876" s="578"/>
      <c r="BQ876" s="578"/>
      <c r="BR876" s="578"/>
      <c r="BS876" s="578"/>
      <c r="BT876" s="578"/>
      <c r="BU876" s="578"/>
      <c r="BV876" s="578"/>
      <c r="BW876" s="578"/>
    </row>
    <row r="877" spans="2:75" ht="14.25" customHeight="1" x14ac:dyDescent="0.3">
      <c r="B877" s="823"/>
      <c r="D877" s="824"/>
      <c r="I877" s="825"/>
      <c r="AR877" s="826"/>
      <c r="AY877" s="827"/>
      <c r="BD877" s="577"/>
      <c r="BE877" s="578"/>
      <c r="BF877" s="578"/>
      <c r="BG877" s="578"/>
      <c r="BH877" s="578"/>
      <c r="BI877" s="578"/>
      <c r="BJ877" s="578"/>
      <c r="BK877" s="578"/>
      <c r="BL877" s="578"/>
      <c r="BM877" s="578"/>
      <c r="BN877" s="578"/>
      <c r="BO877" s="578"/>
      <c r="BP877" s="578"/>
      <c r="BQ877" s="578"/>
      <c r="BR877" s="578"/>
      <c r="BS877" s="578"/>
      <c r="BT877" s="578"/>
      <c r="BU877" s="578"/>
      <c r="BV877" s="578"/>
      <c r="BW877" s="578"/>
    </row>
    <row r="878" spans="2:75" ht="14.25" customHeight="1" x14ac:dyDescent="0.3">
      <c r="B878" s="823"/>
      <c r="D878" s="824"/>
      <c r="I878" s="825"/>
      <c r="AR878" s="826"/>
      <c r="AY878" s="827"/>
      <c r="BD878" s="577"/>
      <c r="BE878" s="578"/>
      <c r="BF878" s="578"/>
      <c r="BG878" s="578"/>
      <c r="BH878" s="578"/>
      <c r="BI878" s="578"/>
      <c r="BJ878" s="578"/>
      <c r="BK878" s="578"/>
      <c r="BL878" s="578"/>
      <c r="BM878" s="578"/>
      <c r="BN878" s="578"/>
      <c r="BO878" s="578"/>
      <c r="BP878" s="578"/>
      <c r="BQ878" s="578"/>
      <c r="BR878" s="578"/>
      <c r="BS878" s="578"/>
      <c r="BT878" s="578"/>
      <c r="BU878" s="578"/>
      <c r="BV878" s="578"/>
      <c r="BW878" s="578"/>
    </row>
    <row r="879" spans="2:75" ht="14.25" customHeight="1" x14ac:dyDescent="0.3">
      <c r="B879" s="823"/>
      <c r="D879" s="824"/>
      <c r="I879" s="825"/>
      <c r="AR879" s="826"/>
      <c r="AY879" s="827"/>
      <c r="BD879" s="577"/>
      <c r="BE879" s="578"/>
      <c r="BF879" s="578"/>
      <c r="BG879" s="578"/>
      <c r="BH879" s="578"/>
      <c r="BI879" s="578"/>
      <c r="BJ879" s="578"/>
      <c r="BK879" s="578"/>
      <c r="BL879" s="578"/>
      <c r="BM879" s="578"/>
      <c r="BN879" s="578"/>
      <c r="BO879" s="578"/>
      <c r="BP879" s="578"/>
      <c r="BQ879" s="578"/>
      <c r="BR879" s="578"/>
      <c r="BS879" s="578"/>
      <c r="BT879" s="578"/>
      <c r="BU879" s="578"/>
      <c r="BV879" s="578"/>
      <c r="BW879" s="578"/>
    </row>
    <row r="880" spans="2:75" ht="14.25" customHeight="1" x14ac:dyDescent="0.3">
      <c r="B880" s="823"/>
      <c r="D880" s="824"/>
      <c r="I880" s="825"/>
      <c r="AR880" s="826"/>
      <c r="AY880" s="827"/>
      <c r="BD880" s="577"/>
      <c r="BE880" s="578"/>
      <c r="BF880" s="578"/>
      <c r="BG880" s="578"/>
      <c r="BH880" s="578"/>
      <c r="BI880" s="578"/>
      <c r="BJ880" s="578"/>
      <c r="BK880" s="578"/>
      <c r="BL880" s="578"/>
      <c r="BM880" s="578"/>
      <c r="BN880" s="578"/>
      <c r="BO880" s="578"/>
      <c r="BP880" s="578"/>
      <c r="BQ880" s="578"/>
      <c r="BR880" s="578"/>
      <c r="BS880" s="578"/>
      <c r="BT880" s="578"/>
      <c r="BU880" s="578"/>
      <c r="BV880" s="578"/>
      <c r="BW880" s="578"/>
    </row>
    <row r="881" spans="2:75" ht="14.25" customHeight="1" x14ac:dyDescent="0.3">
      <c r="B881" s="823"/>
      <c r="D881" s="824"/>
      <c r="I881" s="825"/>
      <c r="AR881" s="826"/>
      <c r="AY881" s="827"/>
      <c r="BD881" s="577"/>
      <c r="BE881" s="578"/>
      <c r="BF881" s="578"/>
      <c r="BG881" s="578"/>
      <c r="BH881" s="578"/>
      <c r="BI881" s="578"/>
      <c r="BJ881" s="578"/>
      <c r="BK881" s="578"/>
      <c r="BL881" s="578"/>
      <c r="BM881" s="578"/>
      <c r="BN881" s="578"/>
      <c r="BO881" s="578"/>
      <c r="BP881" s="578"/>
      <c r="BQ881" s="578"/>
      <c r="BR881" s="578"/>
      <c r="BS881" s="578"/>
      <c r="BT881" s="578"/>
      <c r="BU881" s="578"/>
      <c r="BV881" s="578"/>
      <c r="BW881" s="578"/>
    </row>
    <row r="882" spans="2:75" ht="14.25" customHeight="1" x14ac:dyDescent="0.3">
      <c r="B882" s="823"/>
      <c r="D882" s="824"/>
      <c r="I882" s="825"/>
      <c r="AR882" s="826"/>
      <c r="AY882" s="827"/>
      <c r="BD882" s="577"/>
      <c r="BE882" s="578"/>
      <c r="BF882" s="578"/>
      <c r="BG882" s="578"/>
      <c r="BH882" s="578"/>
      <c r="BI882" s="578"/>
      <c r="BJ882" s="578"/>
      <c r="BK882" s="578"/>
      <c r="BL882" s="578"/>
      <c r="BM882" s="578"/>
      <c r="BN882" s="578"/>
      <c r="BO882" s="578"/>
      <c r="BP882" s="578"/>
      <c r="BQ882" s="578"/>
      <c r="BR882" s="578"/>
      <c r="BS882" s="578"/>
      <c r="BT882" s="578"/>
      <c r="BU882" s="578"/>
      <c r="BV882" s="578"/>
      <c r="BW882" s="578"/>
    </row>
    <row r="883" spans="2:75" ht="14.25" customHeight="1" x14ac:dyDescent="0.3">
      <c r="B883" s="823"/>
      <c r="D883" s="824"/>
      <c r="I883" s="825"/>
      <c r="AR883" s="826"/>
      <c r="AY883" s="827"/>
      <c r="BD883" s="577"/>
      <c r="BE883" s="578"/>
      <c r="BF883" s="578"/>
      <c r="BG883" s="578"/>
      <c r="BH883" s="578"/>
      <c r="BI883" s="578"/>
      <c r="BJ883" s="578"/>
      <c r="BK883" s="578"/>
      <c r="BL883" s="578"/>
      <c r="BM883" s="578"/>
      <c r="BN883" s="578"/>
      <c r="BO883" s="578"/>
      <c r="BP883" s="578"/>
      <c r="BQ883" s="578"/>
      <c r="BR883" s="578"/>
      <c r="BS883" s="578"/>
      <c r="BT883" s="578"/>
      <c r="BU883" s="578"/>
      <c r="BV883" s="578"/>
      <c r="BW883" s="578"/>
    </row>
    <row r="884" spans="2:75" ht="14.25" customHeight="1" x14ac:dyDescent="0.3">
      <c r="B884" s="823"/>
      <c r="D884" s="824"/>
      <c r="I884" s="825"/>
      <c r="AR884" s="826"/>
      <c r="AY884" s="827"/>
      <c r="BD884" s="577"/>
      <c r="BE884" s="578"/>
      <c r="BF884" s="578"/>
      <c r="BG884" s="578"/>
      <c r="BH884" s="578"/>
      <c r="BI884" s="578"/>
      <c r="BJ884" s="578"/>
      <c r="BK884" s="578"/>
      <c r="BL884" s="578"/>
      <c r="BM884" s="578"/>
      <c r="BN884" s="578"/>
      <c r="BO884" s="578"/>
      <c r="BP884" s="578"/>
      <c r="BQ884" s="578"/>
      <c r="BR884" s="578"/>
      <c r="BS884" s="578"/>
      <c r="BT884" s="578"/>
      <c r="BU884" s="578"/>
      <c r="BV884" s="578"/>
      <c r="BW884" s="578"/>
    </row>
    <row r="885" spans="2:75" ht="14.25" customHeight="1" x14ac:dyDescent="0.3">
      <c r="B885" s="823"/>
      <c r="D885" s="824"/>
      <c r="I885" s="825"/>
      <c r="AR885" s="826"/>
      <c r="AY885" s="827"/>
      <c r="BD885" s="577"/>
      <c r="BE885" s="578"/>
      <c r="BF885" s="578"/>
      <c r="BG885" s="578"/>
      <c r="BH885" s="578"/>
      <c r="BI885" s="578"/>
      <c r="BJ885" s="578"/>
      <c r="BK885" s="578"/>
      <c r="BL885" s="578"/>
      <c r="BM885" s="578"/>
      <c r="BN885" s="578"/>
      <c r="BO885" s="578"/>
      <c r="BP885" s="578"/>
      <c r="BQ885" s="578"/>
      <c r="BR885" s="578"/>
      <c r="BS885" s="578"/>
      <c r="BT885" s="578"/>
      <c r="BU885" s="578"/>
      <c r="BV885" s="578"/>
      <c r="BW885" s="578"/>
    </row>
    <row r="886" spans="2:75" ht="14.25" customHeight="1" x14ac:dyDescent="0.3">
      <c r="B886" s="823"/>
      <c r="D886" s="824"/>
      <c r="I886" s="825"/>
      <c r="AR886" s="826"/>
      <c r="AY886" s="827"/>
      <c r="BD886" s="577"/>
      <c r="BE886" s="578"/>
      <c r="BF886" s="578"/>
      <c r="BG886" s="578"/>
      <c r="BH886" s="578"/>
      <c r="BI886" s="578"/>
      <c r="BJ886" s="578"/>
      <c r="BK886" s="578"/>
      <c r="BL886" s="578"/>
      <c r="BM886" s="578"/>
      <c r="BN886" s="578"/>
      <c r="BO886" s="578"/>
      <c r="BP886" s="578"/>
      <c r="BQ886" s="578"/>
      <c r="BR886" s="578"/>
      <c r="BS886" s="578"/>
      <c r="BT886" s="578"/>
      <c r="BU886" s="578"/>
      <c r="BV886" s="578"/>
      <c r="BW886" s="578"/>
    </row>
    <row r="887" spans="2:75" ht="14.25" customHeight="1" x14ac:dyDescent="0.3">
      <c r="B887" s="823"/>
      <c r="D887" s="824"/>
      <c r="I887" s="825"/>
      <c r="AR887" s="826"/>
      <c r="AY887" s="827"/>
      <c r="BD887" s="577"/>
      <c r="BE887" s="578"/>
      <c r="BF887" s="578"/>
      <c r="BG887" s="578"/>
      <c r="BH887" s="578"/>
      <c r="BI887" s="578"/>
      <c r="BJ887" s="578"/>
      <c r="BK887" s="578"/>
      <c r="BL887" s="578"/>
      <c r="BM887" s="578"/>
      <c r="BN887" s="578"/>
      <c r="BO887" s="578"/>
      <c r="BP887" s="578"/>
      <c r="BQ887" s="578"/>
      <c r="BR887" s="578"/>
      <c r="BS887" s="578"/>
      <c r="BT887" s="578"/>
      <c r="BU887" s="578"/>
      <c r="BV887" s="578"/>
      <c r="BW887" s="578"/>
    </row>
    <row r="888" spans="2:75" ht="14.25" customHeight="1" x14ac:dyDescent="0.3">
      <c r="B888" s="823"/>
      <c r="D888" s="824"/>
      <c r="I888" s="825"/>
      <c r="AR888" s="826"/>
      <c r="AY888" s="827"/>
      <c r="BD888" s="577"/>
      <c r="BE888" s="578"/>
      <c r="BF888" s="578"/>
      <c r="BG888" s="578"/>
      <c r="BH888" s="578"/>
      <c r="BI888" s="578"/>
      <c r="BJ888" s="578"/>
      <c r="BK888" s="578"/>
      <c r="BL888" s="578"/>
      <c r="BM888" s="578"/>
      <c r="BN888" s="578"/>
      <c r="BO888" s="578"/>
      <c r="BP888" s="578"/>
      <c r="BQ888" s="578"/>
      <c r="BR888" s="578"/>
      <c r="BS888" s="578"/>
      <c r="BT888" s="578"/>
      <c r="BU888" s="578"/>
      <c r="BV888" s="578"/>
      <c r="BW888" s="578"/>
    </row>
    <row r="889" spans="2:75" ht="14.25" customHeight="1" x14ac:dyDescent="0.3">
      <c r="B889" s="823"/>
      <c r="D889" s="824"/>
      <c r="I889" s="825"/>
      <c r="AR889" s="826"/>
      <c r="AY889" s="827"/>
      <c r="BD889" s="577"/>
      <c r="BE889" s="578"/>
      <c r="BF889" s="578"/>
      <c r="BG889" s="578"/>
      <c r="BH889" s="578"/>
      <c r="BI889" s="578"/>
      <c r="BJ889" s="578"/>
      <c r="BK889" s="578"/>
      <c r="BL889" s="578"/>
      <c r="BM889" s="578"/>
      <c r="BN889" s="578"/>
      <c r="BO889" s="578"/>
      <c r="BP889" s="578"/>
      <c r="BQ889" s="578"/>
      <c r="BR889" s="578"/>
      <c r="BS889" s="578"/>
      <c r="BT889" s="578"/>
      <c r="BU889" s="578"/>
      <c r="BV889" s="578"/>
      <c r="BW889" s="578"/>
    </row>
    <row r="890" spans="2:75" ht="14.25" customHeight="1" x14ac:dyDescent="0.3">
      <c r="B890" s="823"/>
      <c r="D890" s="824"/>
      <c r="I890" s="825"/>
      <c r="AR890" s="826"/>
      <c r="AY890" s="827"/>
      <c r="BD890" s="577"/>
      <c r="BE890" s="578"/>
      <c r="BF890" s="578"/>
      <c r="BG890" s="578"/>
      <c r="BH890" s="578"/>
      <c r="BI890" s="578"/>
      <c r="BJ890" s="578"/>
      <c r="BK890" s="578"/>
      <c r="BL890" s="578"/>
      <c r="BM890" s="578"/>
      <c r="BN890" s="578"/>
      <c r="BO890" s="578"/>
      <c r="BP890" s="578"/>
      <c r="BQ890" s="578"/>
      <c r="BR890" s="578"/>
      <c r="BS890" s="578"/>
      <c r="BT890" s="578"/>
      <c r="BU890" s="578"/>
      <c r="BV890" s="578"/>
      <c r="BW890" s="578"/>
    </row>
    <row r="891" spans="2:75" ht="14.25" customHeight="1" x14ac:dyDescent="0.3">
      <c r="B891" s="823"/>
      <c r="D891" s="824"/>
      <c r="I891" s="825"/>
      <c r="AR891" s="826"/>
      <c r="AY891" s="827"/>
      <c r="BD891" s="577"/>
      <c r="BE891" s="578"/>
      <c r="BF891" s="578"/>
      <c r="BG891" s="578"/>
      <c r="BH891" s="578"/>
      <c r="BI891" s="578"/>
      <c r="BJ891" s="578"/>
      <c r="BK891" s="578"/>
      <c r="BL891" s="578"/>
      <c r="BM891" s="578"/>
      <c r="BN891" s="578"/>
      <c r="BO891" s="578"/>
      <c r="BP891" s="578"/>
      <c r="BQ891" s="578"/>
      <c r="BR891" s="578"/>
      <c r="BS891" s="578"/>
      <c r="BT891" s="578"/>
      <c r="BU891" s="578"/>
      <c r="BV891" s="578"/>
      <c r="BW891" s="578"/>
    </row>
    <row r="892" spans="2:75" ht="14.25" customHeight="1" x14ac:dyDescent="0.3">
      <c r="B892" s="823"/>
      <c r="D892" s="824"/>
      <c r="I892" s="825"/>
      <c r="AR892" s="826"/>
      <c r="AY892" s="827"/>
      <c r="BD892" s="577"/>
      <c r="BE892" s="578"/>
      <c r="BF892" s="578"/>
      <c r="BG892" s="578"/>
      <c r="BH892" s="578"/>
      <c r="BI892" s="578"/>
      <c r="BJ892" s="578"/>
      <c r="BK892" s="578"/>
      <c r="BL892" s="578"/>
      <c r="BM892" s="578"/>
      <c r="BN892" s="578"/>
      <c r="BO892" s="578"/>
      <c r="BP892" s="578"/>
      <c r="BQ892" s="578"/>
      <c r="BR892" s="578"/>
      <c r="BS892" s="578"/>
      <c r="BT892" s="578"/>
      <c r="BU892" s="578"/>
      <c r="BV892" s="578"/>
      <c r="BW892" s="578"/>
    </row>
    <row r="893" spans="2:75" ht="14.25" customHeight="1" x14ac:dyDescent="0.3">
      <c r="B893" s="823"/>
      <c r="D893" s="824"/>
      <c r="I893" s="825"/>
      <c r="AR893" s="826"/>
      <c r="AY893" s="827"/>
      <c r="BD893" s="577"/>
      <c r="BE893" s="578"/>
      <c r="BF893" s="578"/>
      <c r="BG893" s="578"/>
      <c r="BH893" s="578"/>
      <c r="BI893" s="578"/>
      <c r="BJ893" s="578"/>
      <c r="BK893" s="578"/>
      <c r="BL893" s="578"/>
      <c r="BM893" s="578"/>
      <c r="BN893" s="578"/>
      <c r="BO893" s="578"/>
      <c r="BP893" s="578"/>
      <c r="BQ893" s="578"/>
      <c r="BR893" s="578"/>
      <c r="BS893" s="578"/>
      <c r="BT893" s="578"/>
      <c r="BU893" s="578"/>
      <c r="BV893" s="578"/>
      <c r="BW893" s="578"/>
    </row>
    <row r="894" spans="2:75" ht="14.25" customHeight="1" x14ac:dyDescent="0.3">
      <c r="B894" s="823"/>
      <c r="D894" s="824"/>
      <c r="I894" s="825"/>
      <c r="AR894" s="826"/>
      <c r="AY894" s="827"/>
      <c r="BD894" s="577"/>
      <c r="BE894" s="578"/>
      <c r="BF894" s="578"/>
      <c r="BG894" s="578"/>
      <c r="BH894" s="578"/>
      <c r="BI894" s="578"/>
      <c r="BJ894" s="578"/>
      <c r="BK894" s="578"/>
      <c r="BL894" s="578"/>
      <c r="BM894" s="578"/>
      <c r="BN894" s="578"/>
      <c r="BO894" s="578"/>
      <c r="BP894" s="578"/>
      <c r="BQ894" s="578"/>
      <c r="BR894" s="578"/>
      <c r="BS894" s="578"/>
      <c r="BT894" s="578"/>
      <c r="BU894" s="578"/>
      <c r="BV894" s="578"/>
      <c r="BW894" s="578"/>
    </row>
    <row r="895" spans="2:75" ht="14.25" customHeight="1" x14ac:dyDescent="0.3">
      <c r="B895" s="823"/>
      <c r="D895" s="824"/>
      <c r="I895" s="825"/>
      <c r="AR895" s="826"/>
      <c r="AY895" s="827"/>
      <c r="BD895" s="577"/>
      <c r="BE895" s="578"/>
      <c r="BF895" s="578"/>
      <c r="BG895" s="578"/>
      <c r="BH895" s="578"/>
      <c r="BI895" s="578"/>
      <c r="BJ895" s="578"/>
      <c r="BK895" s="578"/>
      <c r="BL895" s="578"/>
      <c r="BM895" s="578"/>
      <c r="BN895" s="578"/>
      <c r="BO895" s="578"/>
      <c r="BP895" s="578"/>
      <c r="BQ895" s="578"/>
      <c r="BR895" s="578"/>
      <c r="BS895" s="578"/>
      <c r="BT895" s="578"/>
      <c r="BU895" s="578"/>
      <c r="BV895" s="578"/>
      <c r="BW895" s="578"/>
    </row>
    <row r="896" spans="2:75" ht="14.25" customHeight="1" x14ac:dyDescent="0.3">
      <c r="B896" s="823"/>
      <c r="D896" s="824"/>
      <c r="I896" s="825"/>
      <c r="AR896" s="826"/>
      <c r="AY896" s="827"/>
      <c r="BD896" s="577"/>
      <c r="BE896" s="578"/>
      <c r="BF896" s="578"/>
      <c r="BG896" s="578"/>
      <c r="BH896" s="578"/>
      <c r="BI896" s="578"/>
      <c r="BJ896" s="578"/>
      <c r="BK896" s="578"/>
      <c r="BL896" s="578"/>
      <c r="BM896" s="578"/>
      <c r="BN896" s="578"/>
      <c r="BO896" s="578"/>
      <c r="BP896" s="578"/>
      <c r="BQ896" s="578"/>
      <c r="BR896" s="578"/>
      <c r="BS896" s="578"/>
      <c r="BT896" s="578"/>
      <c r="BU896" s="578"/>
      <c r="BV896" s="578"/>
      <c r="BW896" s="578"/>
    </row>
    <row r="897" spans="2:75" ht="14.25" customHeight="1" x14ac:dyDescent="0.3">
      <c r="B897" s="823"/>
      <c r="D897" s="824"/>
      <c r="I897" s="825"/>
      <c r="AR897" s="826"/>
      <c r="AY897" s="827"/>
      <c r="BD897" s="577"/>
      <c r="BE897" s="578"/>
      <c r="BF897" s="578"/>
      <c r="BG897" s="578"/>
      <c r="BH897" s="578"/>
      <c r="BI897" s="578"/>
      <c r="BJ897" s="578"/>
      <c r="BK897" s="578"/>
      <c r="BL897" s="578"/>
      <c r="BM897" s="578"/>
      <c r="BN897" s="578"/>
      <c r="BO897" s="578"/>
      <c r="BP897" s="578"/>
      <c r="BQ897" s="578"/>
      <c r="BR897" s="578"/>
      <c r="BS897" s="578"/>
      <c r="BT897" s="578"/>
      <c r="BU897" s="578"/>
      <c r="BV897" s="578"/>
      <c r="BW897" s="578"/>
    </row>
    <row r="898" spans="2:75" ht="14.25" customHeight="1" x14ac:dyDescent="0.3">
      <c r="B898" s="823"/>
      <c r="D898" s="824"/>
      <c r="I898" s="825"/>
      <c r="AR898" s="826"/>
      <c r="AY898" s="827"/>
      <c r="BD898" s="577"/>
      <c r="BE898" s="578"/>
      <c r="BF898" s="578"/>
      <c r="BG898" s="578"/>
      <c r="BH898" s="578"/>
      <c r="BI898" s="578"/>
      <c r="BJ898" s="578"/>
      <c r="BK898" s="578"/>
      <c r="BL898" s="578"/>
      <c r="BM898" s="578"/>
      <c r="BN898" s="578"/>
      <c r="BO898" s="578"/>
      <c r="BP898" s="578"/>
      <c r="BQ898" s="578"/>
      <c r="BR898" s="578"/>
      <c r="BS898" s="578"/>
      <c r="BT898" s="578"/>
      <c r="BU898" s="578"/>
      <c r="BV898" s="578"/>
      <c r="BW898" s="578"/>
    </row>
    <row r="899" spans="2:75" ht="14.25" customHeight="1" x14ac:dyDescent="0.3">
      <c r="B899" s="823"/>
      <c r="D899" s="824"/>
      <c r="I899" s="825"/>
      <c r="AR899" s="826"/>
      <c r="AY899" s="827"/>
      <c r="BD899" s="577"/>
      <c r="BE899" s="578"/>
      <c r="BF899" s="578"/>
      <c r="BG899" s="578"/>
      <c r="BH899" s="578"/>
      <c r="BI899" s="578"/>
      <c r="BJ899" s="578"/>
      <c r="BK899" s="578"/>
      <c r="BL899" s="578"/>
      <c r="BM899" s="578"/>
      <c r="BN899" s="578"/>
      <c r="BO899" s="578"/>
      <c r="BP899" s="578"/>
      <c r="BQ899" s="578"/>
      <c r="BR899" s="578"/>
      <c r="BS899" s="578"/>
      <c r="BT899" s="578"/>
      <c r="BU899" s="578"/>
      <c r="BV899" s="578"/>
      <c r="BW899" s="578"/>
    </row>
    <row r="900" spans="2:75" ht="14.25" customHeight="1" x14ac:dyDescent="0.3">
      <c r="B900" s="823"/>
      <c r="D900" s="824"/>
      <c r="I900" s="825"/>
      <c r="AR900" s="826"/>
      <c r="AY900" s="827"/>
      <c r="BD900" s="577"/>
      <c r="BE900" s="578"/>
      <c r="BF900" s="578"/>
      <c r="BG900" s="578"/>
      <c r="BH900" s="578"/>
      <c r="BI900" s="578"/>
      <c r="BJ900" s="578"/>
      <c r="BK900" s="578"/>
      <c r="BL900" s="578"/>
      <c r="BM900" s="578"/>
      <c r="BN900" s="578"/>
      <c r="BO900" s="578"/>
      <c r="BP900" s="578"/>
      <c r="BQ900" s="578"/>
      <c r="BR900" s="578"/>
      <c r="BS900" s="578"/>
      <c r="BT900" s="578"/>
      <c r="BU900" s="578"/>
      <c r="BV900" s="578"/>
      <c r="BW900" s="578"/>
    </row>
    <row r="901" spans="2:75" ht="14.25" customHeight="1" x14ac:dyDescent="0.3">
      <c r="B901" s="823"/>
      <c r="D901" s="824"/>
      <c r="I901" s="825"/>
      <c r="AR901" s="826"/>
      <c r="AY901" s="827"/>
      <c r="BD901" s="577"/>
      <c r="BE901" s="578"/>
      <c r="BF901" s="578"/>
      <c r="BG901" s="578"/>
      <c r="BH901" s="578"/>
      <c r="BI901" s="578"/>
      <c r="BJ901" s="578"/>
      <c r="BK901" s="578"/>
      <c r="BL901" s="578"/>
      <c r="BM901" s="578"/>
      <c r="BN901" s="578"/>
      <c r="BO901" s="578"/>
      <c r="BP901" s="578"/>
      <c r="BQ901" s="578"/>
      <c r="BR901" s="578"/>
      <c r="BS901" s="578"/>
      <c r="BT901" s="578"/>
      <c r="BU901" s="578"/>
      <c r="BV901" s="578"/>
      <c r="BW901" s="578"/>
    </row>
    <row r="902" spans="2:75" ht="14.25" customHeight="1" x14ac:dyDescent="0.3">
      <c r="B902" s="823"/>
      <c r="D902" s="824"/>
      <c r="I902" s="825"/>
      <c r="AR902" s="826"/>
      <c r="AY902" s="827"/>
      <c r="BD902" s="577"/>
      <c r="BE902" s="578"/>
      <c r="BF902" s="578"/>
      <c r="BG902" s="578"/>
      <c r="BH902" s="578"/>
      <c r="BI902" s="578"/>
      <c r="BJ902" s="578"/>
      <c r="BK902" s="578"/>
      <c r="BL902" s="578"/>
      <c r="BM902" s="578"/>
      <c r="BN902" s="578"/>
      <c r="BO902" s="578"/>
      <c r="BP902" s="578"/>
      <c r="BQ902" s="578"/>
      <c r="BR902" s="578"/>
      <c r="BS902" s="578"/>
      <c r="BT902" s="578"/>
      <c r="BU902" s="578"/>
      <c r="BV902" s="578"/>
      <c r="BW902" s="578"/>
    </row>
    <row r="903" spans="2:75" ht="14.25" customHeight="1" x14ac:dyDescent="0.3">
      <c r="B903" s="823"/>
      <c r="D903" s="824"/>
      <c r="I903" s="825"/>
      <c r="AR903" s="826"/>
      <c r="AY903" s="827"/>
      <c r="BD903" s="577"/>
      <c r="BE903" s="578"/>
      <c r="BF903" s="578"/>
      <c r="BG903" s="578"/>
      <c r="BH903" s="578"/>
      <c r="BI903" s="578"/>
      <c r="BJ903" s="578"/>
      <c r="BK903" s="578"/>
      <c r="BL903" s="578"/>
      <c r="BM903" s="578"/>
      <c r="BN903" s="578"/>
      <c r="BO903" s="578"/>
      <c r="BP903" s="578"/>
      <c r="BQ903" s="578"/>
      <c r="BR903" s="578"/>
      <c r="BS903" s="578"/>
      <c r="BT903" s="578"/>
      <c r="BU903" s="578"/>
      <c r="BV903" s="578"/>
      <c r="BW903" s="578"/>
    </row>
    <row r="904" spans="2:75" ht="14.25" customHeight="1" x14ac:dyDescent="0.3">
      <c r="B904" s="823"/>
      <c r="D904" s="824"/>
      <c r="I904" s="825"/>
      <c r="AR904" s="826"/>
      <c r="AY904" s="827"/>
      <c r="BD904" s="577"/>
      <c r="BE904" s="578"/>
      <c r="BF904" s="578"/>
      <c r="BG904" s="578"/>
      <c r="BH904" s="578"/>
      <c r="BI904" s="578"/>
      <c r="BJ904" s="578"/>
      <c r="BK904" s="578"/>
      <c r="BL904" s="578"/>
      <c r="BM904" s="578"/>
      <c r="BN904" s="578"/>
      <c r="BO904" s="578"/>
      <c r="BP904" s="578"/>
      <c r="BQ904" s="578"/>
      <c r="BR904" s="578"/>
      <c r="BS904" s="578"/>
      <c r="BT904" s="578"/>
      <c r="BU904" s="578"/>
      <c r="BV904" s="578"/>
      <c r="BW904" s="578"/>
    </row>
    <row r="905" spans="2:75" ht="14.25" customHeight="1" x14ac:dyDescent="0.3">
      <c r="B905" s="823"/>
      <c r="D905" s="824"/>
      <c r="I905" s="825"/>
      <c r="AR905" s="826"/>
      <c r="AY905" s="827"/>
      <c r="BD905" s="577"/>
      <c r="BE905" s="578"/>
      <c r="BF905" s="578"/>
      <c r="BG905" s="578"/>
      <c r="BH905" s="578"/>
      <c r="BI905" s="578"/>
      <c r="BJ905" s="578"/>
      <c r="BK905" s="578"/>
      <c r="BL905" s="578"/>
      <c r="BM905" s="578"/>
      <c r="BN905" s="578"/>
      <c r="BO905" s="578"/>
      <c r="BP905" s="578"/>
      <c r="BQ905" s="578"/>
      <c r="BR905" s="578"/>
      <c r="BS905" s="578"/>
      <c r="BT905" s="578"/>
      <c r="BU905" s="578"/>
      <c r="BV905" s="578"/>
      <c r="BW905" s="578"/>
    </row>
    <row r="906" spans="2:75" ht="14.25" customHeight="1" x14ac:dyDescent="0.3">
      <c r="B906" s="823"/>
      <c r="D906" s="824"/>
      <c r="I906" s="825"/>
      <c r="AR906" s="826"/>
      <c r="AY906" s="827"/>
      <c r="BD906" s="577"/>
      <c r="BE906" s="578"/>
      <c r="BF906" s="578"/>
      <c r="BG906" s="578"/>
      <c r="BH906" s="578"/>
      <c r="BI906" s="578"/>
      <c r="BJ906" s="578"/>
      <c r="BK906" s="578"/>
      <c r="BL906" s="578"/>
      <c r="BM906" s="578"/>
      <c r="BN906" s="578"/>
      <c r="BO906" s="578"/>
      <c r="BP906" s="578"/>
      <c r="BQ906" s="578"/>
      <c r="BR906" s="578"/>
      <c r="BS906" s="578"/>
      <c r="BT906" s="578"/>
      <c r="BU906" s="578"/>
      <c r="BV906" s="578"/>
      <c r="BW906" s="578"/>
    </row>
    <row r="907" spans="2:75" ht="14.25" customHeight="1" x14ac:dyDescent="0.3">
      <c r="B907" s="823"/>
      <c r="D907" s="824"/>
      <c r="I907" s="825"/>
      <c r="AR907" s="826"/>
      <c r="AY907" s="827"/>
      <c r="BD907" s="577"/>
      <c r="BE907" s="578"/>
      <c r="BF907" s="578"/>
      <c r="BG907" s="578"/>
      <c r="BH907" s="578"/>
      <c r="BI907" s="578"/>
      <c r="BJ907" s="578"/>
      <c r="BK907" s="578"/>
      <c r="BL907" s="578"/>
      <c r="BM907" s="578"/>
      <c r="BN907" s="578"/>
      <c r="BO907" s="578"/>
      <c r="BP907" s="578"/>
      <c r="BQ907" s="578"/>
      <c r="BR907" s="578"/>
      <c r="BS907" s="578"/>
      <c r="BT907" s="578"/>
      <c r="BU907" s="578"/>
      <c r="BV907" s="578"/>
      <c r="BW907" s="578"/>
    </row>
    <row r="908" spans="2:75" ht="14.25" customHeight="1" x14ac:dyDescent="0.3">
      <c r="B908" s="823"/>
      <c r="D908" s="824"/>
      <c r="I908" s="825"/>
      <c r="AR908" s="826"/>
      <c r="AY908" s="827"/>
      <c r="BD908" s="577"/>
      <c r="BE908" s="578"/>
      <c r="BF908" s="578"/>
      <c r="BG908" s="578"/>
      <c r="BH908" s="578"/>
      <c r="BI908" s="578"/>
      <c r="BJ908" s="578"/>
      <c r="BK908" s="578"/>
      <c r="BL908" s="578"/>
      <c r="BM908" s="578"/>
      <c r="BN908" s="578"/>
      <c r="BO908" s="578"/>
      <c r="BP908" s="578"/>
      <c r="BQ908" s="578"/>
      <c r="BR908" s="578"/>
      <c r="BS908" s="578"/>
      <c r="BT908" s="578"/>
      <c r="BU908" s="578"/>
      <c r="BV908" s="578"/>
      <c r="BW908" s="578"/>
    </row>
    <row r="909" spans="2:75" ht="14.25" customHeight="1" x14ac:dyDescent="0.3">
      <c r="B909" s="823"/>
      <c r="D909" s="824"/>
      <c r="I909" s="825"/>
      <c r="AR909" s="826"/>
      <c r="AY909" s="827"/>
      <c r="BD909" s="577"/>
      <c r="BE909" s="578"/>
      <c r="BF909" s="578"/>
      <c r="BG909" s="578"/>
      <c r="BH909" s="578"/>
      <c r="BI909" s="578"/>
      <c r="BJ909" s="578"/>
      <c r="BK909" s="578"/>
      <c r="BL909" s="578"/>
      <c r="BM909" s="578"/>
      <c r="BN909" s="578"/>
      <c r="BO909" s="578"/>
      <c r="BP909" s="578"/>
      <c r="BQ909" s="578"/>
      <c r="BR909" s="578"/>
      <c r="BS909" s="578"/>
      <c r="BT909" s="578"/>
      <c r="BU909" s="578"/>
      <c r="BV909" s="578"/>
      <c r="BW909" s="578"/>
    </row>
    <row r="910" spans="2:75" ht="14.25" customHeight="1" x14ac:dyDescent="0.3">
      <c r="B910" s="823"/>
      <c r="D910" s="824"/>
      <c r="I910" s="825"/>
      <c r="AR910" s="826"/>
      <c r="AY910" s="827"/>
      <c r="BD910" s="577"/>
      <c r="BE910" s="578"/>
      <c r="BF910" s="578"/>
      <c r="BG910" s="578"/>
      <c r="BH910" s="578"/>
      <c r="BI910" s="578"/>
      <c r="BJ910" s="578"/>
      <c r="BK910" s="578"/>
      <c r="BL910" s="578"/>
      <c r="BM910" s="578"/>
      <c r="BN910" s="578"/>
      <c r="BO910" s="578"/>
      <c r="BP910" s="578"/>
      <c r="BQ910" s="578"/>
      <c r="BR910" s="578"/>
      <c r="BS910" s="578"/>
      <c r="BT910" s="578"/>
      <c r="BU910" s="578"/>
      <c r="BV910" s="578"/>
      <c r="BW910" s="578"/>
    </row>
    <row r="911" spans="2:75" ht="14.25" customHeight="1" x14ac:dyDescent="0.3">
      <c r="B911" s="823"/>
      <c r="D911" s="824"/>
      <c r="I911" s="825"/>
      <c r="AR911" s="826"/>
      <c r="AY911" s="827"/>
      <c r="BD911" s="577"/>
      <c r="BE911" s="578"/>
      <c r="BF911" s="578"/>
      <c r="BG911" s="578"/>
      <c r="BH911" s="578"/>
      <c r="BI911" s="578"/>
      <c r="BJ911" s="578"/>
      <c r="BK911" s="578"/>
      <c r="BL911" s="578"/>
      <c r="BM911" s="578"/>
      <c r="BN911" s="578"/>
      <c r="BO911" s="578"/>
      <c r="BP911" s="578"/>
      <c r="BQ911" s="578"/>
      <c r="BR911" s="578"/>
      <c r="BS911" s="578"/>
      <c r="BT911" s="578"/>
      <c r="BU911" s="578"/>
      <c r="BV911" s="578"/>
      <c r="BW911" s="578"/>
    </row>
    <row r="912" spans="2:75" ht="14.25" customHeight="1" x14ac:dyDescent="0.3">
      <c r="B912" s="823"/>
      <c r="D912" s="824"/>
      <c r="I912" s="825"/>
      <c r="AR912" s="826"/>
      <c r="AY912" s="827"/>
      <c r="BD912" s="577"/>
      <c r="BE912" s="578"/>
      <c r="BF912" s="578"/>
      <c r="BG912" s="578"/>
      <c r="BH912" s="578"/>
      <c r="BI912" s="578"/>
      <c r="BJ912" s="578"/>
      <c r="BK912" s="578"/>
      <c r="BL912" s="578"/>
      <c r="BM912" s="578"/>
      <c r="BN912" s="578"/>
      <c r="BO912" s="578"/>
      <c r="BP912" s="578"/>
      <c r="BQ912" s="578"/>
      <c r="BR912" s="578"/>
      <c r="BS912" s="578"/>
      <c r="BT912" s="578"/>
      <c r="BU912" s="578"/>
      <c r="BV912" s="578"/>
      <c r="BW912" s="578"/>
    </row>
    <row r="913" spans="2:75" ht="14.25" customHeight="1" x14ac:dyDescent="0.3">
      <c r="B913" s="823"/>
      <c r="D913" s="824"/>
      <c r="I913" s="825"/>
      <c r="AR913" s="826"/>
      <c r="AY913" s="827"/>
      <c r="BD913" s="577"/>
      <c r="BE913" s="578"/>
      <c r="BF913" s="578"/>
      <c r="BG913" s="578"/>
      <c r="BH913" s="578"/>
      <c r="BI913" s="578"/>
      <c r="BJ913" s="578"/>
      <c r="BK913" s="578"/>
      <c r="BL913" s="578"/>
      <c r="BM913" s="578"/>
      <c r="BN913" s="578"/>
      <c r="BO913" s="578"/>
      <c r="BP913" s="578"/>
      <c r="BQ913" s="578"/>
      <c r="BR913" s="578"/>
      <c r="BS913" s="578"/>
      <c r="BT913" s="578"/>
      <c r="BU913" s="578"/>
      <c r="BV913" s="578"/>
      <c r="BW913" s="578"/>
    </row>
    <row r="914" spans="2:75" ht="14.25" customHeight="1" x14ac:dyDescent="0.3">
      <c r="B914" s="823"/>
      <c r="D914" s="824"/>
      <c r="I914" s="825"/>
      <c r="AR914" s="826"/>
      <c r="AY914" s="827"/>
      <c r="BD914" s="577"/>
      <c r="BE914" s="578"/>
      <c r="BF914" s="578"/>
      <c r="BG914" s="578"/>
      <c r="BH914" s="578"/>
      <c r="BI914" s="578"/>
      <c r="BJ914" s="578"/>
      <c r="BK914" s="578"/>
      <c r="BL914" s="578"/>
      <c r="BM914" s="578"/>
      <c r="BN914" s="578"/>
      <c r="BO914" s="578"/>
      <c r="BP914" s="578"/>
      <c r="BQ914" s="578"/>
      <c r="BR914" s="578"/>
      <c r="BS914" s="578"/>
      <c r="BT914" s="578"/>
      <c r="BU914" s="578"/>
      <c r="BV914" s="578"/>
      <c r="BW914" s="578"/>
    </row>
    <row r="915" spans="2:75" ht="14.25" customHeight="1" x14ac:dyDescent="0.3">
      <c r="B915" s="823"/>
      <c r="D915" s="824"/>
      <c r="I915" s="825"/>
      <c r="AR915" s="826"/>
      <c r="AY915" s="827"/>
      <c r="BD915" s="577"/>
      <c r="BE915" s="578"/>
      <c r="BF915" s="578"/>
      <c r="BG915" s="578"/>
      <c r="BH915" s="578"/>
      <c r="BI915" s="578"/>
      <c r="BJ915" s="578"/>
      <c r="BK915" s="578"/>
      <c r="BL915" s="578"/>
      <c r="BM915" s="578"/>
      <c r="BN915" s="578"/>
      <c r="BO915" s="578"/>
      <c r="BP915" s="578"/>
      <c r="BQ915" s="578"/>
      <c r="BR915" s="578"/>
      <c r="BS915" s="578"/>
      <c r="BT915" s="578"/>
      <c r="BU915" s="578"/>
      <c r="BV915" s="578"/>
      <c r="BW915" s="578"/>
    </row>
    <row r="916" spans="2:75" ht="14.25" customHeight="1" x14ac:dyDescent="0.3">
      <c r="B916" s="823"/>
      <c r="D916" s="824"/>
      <c r="I916" s="825"/>
      <c r="AR916" s="826"/>
      <c r="AY916" s="827"/>
      <c r="BD916" s="577"/>
      <c r="BE916" s="578"/>
      <c r="BF916" s="578"/>
      <c r="BG916" s="578"/>
      <c r="BH916" s="578"/>
      <c r="BI916" s="578"/>
      <c r="BJ916" s="578"/>
      <c r="BK916" s="578"/>
      <c r="BL916" s="578"/>
      <c r="BM916" s="578"/>
      <c r="BN916" s="578"/>
      <c r="BO916" s="578"/>
      <c r="BP916" s="578"/>
      <c r="BQ916" s="578"/>
      <c r="BR916" s="578"/>
      <c r="BS916" s="578"/>
      <c r="BT916" s="578"/>
      <c r="BU916" s="578"/>
      <c r="BV916" s="578"/>
      <c r="BW916" s="578"/>
    </row>
    <row r="917" spans="2:75" ht="14.25" customHeight="1" x14ac:dyDescent="0.3">
      <c r="B917" s="823"/>
      <c r="D917" s="824"/>
      <c r="I917" s="825"/>
      <c r="AR917" s="826"/>
      <c r="AY917" s="827"/>
      <c r="BD917" s="577"/>
      <c r="BE917" s="578"/>
      <c r="BF917" s="578"/>
      <c r="BG917" s="578"/>
      <c r="BH917" s="578"/>
      <c r="BI917" s="578"/>
      <c r="BJ917" s="578"/>
      <c r="BK917" s="578"/>
      <c r="BL917" s="578"/>
      <c r="BM917" s="578"/>
      <c r="BN917" s="578"/>
      <c r="BO917" s="578"/>
      <c r="BP917" s="578"/>
      <c r="BQ917" s="578"/>
      <c r="BR917" s="578"/>
      <c r="BS917" s="578"/>
      <c r="BT917" s="578"/>
      <c r="BU917" s="578"/>
      <c r="BV917" s="578"/>
      <c r="BW917" s="578"/>
    </row>
    <row r="918" spans="2:75" ht="14.25" customHeight="1" x14ac:dyDescent="0.3">
      <c r="B918" s="823"/>
      <c r="D918" s="824"/>
      <c r="I918" s="825"/>
      <c r="AR918" s="826"/>
      <c r="AY918" s="827"/>
      <c r="BD918" s="577"/>
      <c r="BE918" s="578"/>
      <c r="BF918" s="578"/>
      <c r="BG918" s="578"/>
      <c r="BH918" s="578"/>
      <c r="BI918" s="578"/>
      <c r="BJ918" s="578"/>
      <c r="BK918" s="578"/>
      <c r="BL918" s="578"/>
      <c r="BM918" s="578"/>
      <c r="BN918" s="578"/>
      <c r="BO918" s="578"/>
      <c r="BP918" s="578"/>
      <c r="BQ918" s="578"/>
      <c r="BR918" s="578"/>
      <c r="BS918" s="578"/>
      <c r="BT918" s="578"/>
      <c r="BU918" s="578"/>
      <c r="BV918" s="578"/>
      <c r="BW918" s="578"/>
    </row>
    <row r="919" spans="2:75" ht="14.25" customHeight="1" x14ac:dyDescent="0.3">
      <c r="B919" s="823"/>
      <c r="D919" s="824"/>
      <c r="I919" s="825"/>
      <c r="AR919" s="826"/>
      <c r="AY919" s="827"/>
      <c r="BD919" s="577"/>
      <c r="BE919" s="578"/>
      <c r="BF919" s="578"/>
      <c r="BG919" s="578"/>
      <c r="BH919" s="578"/>
      <c r="BI919" s="578"/>
      <c r="BJ919" s="578"/>
      <c r="BK919" s="578"/>
      <c r="BL919" s="578"/>
      <c r="BM919" s="578"/>
      <c r="BN919" s="578"/>
      <c r="BO919" s="578"/>
      <c r="BP919" s="578"/>
      <c r="BQ919" s="578"/>
      <c r="BR919" s="578"/>
      <c r="BS919" s="578"/>
      <c r="BT919" s="578"/>
      <c r="BU919" s="578"/>
      <c r="BV919" s="578"/>
      <c r="BW919" s="578"/>
    </row>
    <row r="920" spans="2:75" ht="14.25" customHeight="1" x14ac:dyDescent="0.3">
      <c r="B920" s="823"/>
      <c r="D920" s="824"/>
      <c r="I920" s="825"/>
      <c r="AR920" s="826"/>
      <c r="AY920" s="827"/>
      <c r="BD920" s="577"/>
      <c r="BE920" s="578"/>
      <c r="BF920" s="578"/>
      <c r="BG920" s="578"/>
      <c r="BH920" s="578"/>
      <c r="BI920" s="578"/>
      <c r="BJ920" s="578"/>
      <c r="BK920" s="578"/>
      <c r="BL920" s="578"/>
      <c r="BM920" s="578"/>
      <c r="BN920" s="578"/>
      <c r="BO920" s="578"/>
      <c r="BP920" s="578"/>
      <c r="BQ920" s="578"/>
      <c r="BR920" s="578"/>
      <c r="BS920" s="578"/>
      <c r="BT920" s="578"/>
      <c r="BU920" s="578"/>
      <c r="BV920" s="578"/>
      <c r="BW920" s="578"/>
    </row>
    <row r="921" spans="2:75" ht="14.25" customHeight="1" x14ac:dyDescent="0.3">
      <c r="B921" s="823"/>
      <c r="D921" s="824"/>
      <c r="I921" s="825"/>
      <c r="AR921" s="826"/>
      <c r="AY921" s="827"/>
      <c r="BD921" s="577"/>
      <c r="BE921" s="578"/>
      <c r="BF921" s="578"/>
      <c r="BG921" s="578"/>
      <c r="BH921" s="578"/>
      <c r="BI921" s="578"/>
      <c r="BJ921" s="578"/>
      <c r="BK921" s="578"/>
      <c r="BL921" s="578"/>
      <c r="BM921" s="578"/>
      <c r="BN921" s="578"/>
      <c r="BO921" s="578"/>
      <c r="BP921" s="578"/>
      <c r="BQ921" s="578"/>
      <c r="BR921" s="578"/>
      <c r="BS921" s="578"/>
      <c r="BT921" s="578"/>
      <c r="BU921" s="578"/>
      <c r="BV921" s="578"/>
      <c r="BW921" s="578"/>
    </row>
    <row r="922" spans="2:75" ht="14.25" customHeight="1" x14ac:dyDescent="0.3">
      <c r="B922" s="823"/>
      <c r="D922" s="824"/>
      <c r="I922" s="825"/>
      <c r="AR922" s="826"/>
      <c r="AY922" s="827"/>
      <c r="BD922" s="577"/>
      <c r="BE922" s="578"/>
      <c r="BF922" s="578"/>
      <c r="BG922" s="578"/>
      <c r="BH922" s="578"/>
      <c r="BI922" s="578"/>
      <c r="BJ922" s="578"/>
      <c r="BK922" s="578"/>
      <c r="BL922" s="578"/>
      <c r="BM922" s="578"/>
      <c r="BN922" s="578"/>
      <c r="BO922" s="578"/>
      <c r="BP922" s="578"/>
      <c r="BQ922" s="578"/>
      <c r="BR922" s="578"/>
      <c r="BS922" s="578"/>
      <c r="BT922" s="578"/>
      <c r="BU922" s="578"/>
      <c r="BV922" s="578"/>
      <c r="BW922" s="578"/>
    </row>
    <row r="923" spans="2:75" ht="14.25" customHeight="1" x14ac:dyDescent="0.3">
      <c r="B923" s="823"/>
      <c r="D923" s="824"/>
      <c r="I923" s="825"/>
      <c r="AR923" s="826"/>
      <c r="AY923" s="827"/>
      <c r="BD923" s="577"/>
      <c r="BE923" s="578"/>
      <c r="BF923" s="578"/>
      <c r="BG923" s="578"/>
      <c r="BH923" s="578"/>
      <c r="BI923" s="578"/>
      <c r="BJ923" s="578"/>
      <c r="BK923" s="578"/>
      <c r="BL923" s="578"/>
      <c r="BM923" s="578"/>
      <c r="BN923" s="578"/>
      <c r="BO923" s="578"/>
      <c r="BP923" s="578"/>
      <c r="BQ923" s="578"/>
      <c r="BR923" s="578"/>
      <c r="BS923" s="578"/>
      <c r="BT923" s="578"/>
      <c r="BU923" s="578"/>
      <c r="BV923" s="578"/>
      <c r="BW923" s="578"/>
    </row>
    <row r="924" spans="2:75" ht="14.25" customHeight="1" x14ac:dyDescent="0.3">
      <c r="B924" s="823"/>
      <c r="D924" s="824"/>
      <c r="I924" s="825"/>
      <c r="AR924" s="826"/>
      <c r="AY924" s="827"/>
      <c r="BD924" s="577"/>
      <c r="BE924" s="578"/>
      <c r="BF924" s="578"/>
      <c r="BG924" s="578"/>
      <c r="BH924" s="578"/>
      <c r="BI924" s="578"/>
      <c r="BJ924" s="578"/>
      <c r="BK924" s="578"/>
      <c r="BL924" s="578"/>
      <c r="BM924" s="578"/>
      <c r="BN924" s="578"/>
      <c r="BO924" s="578"/>
      <c r="BP924" s="578"/>
      <c r="BQ924" s="578"/>
      <c r="BR924" s="578"/>
      <c r="BS924" s="578"/>
      <c r="BT924" s="578"/>
      <c r="BU924" s="578"/>
      <c r="BV924" s="578"/>
      <c r="BW924" s="578"/>
    </row>
    <row r="925" spans="2:75" ht="14.25" customHeight="1" x14ac:dyDescent="0.3">
      <c r="B925" s="823"/>
      <c r="D925" s="824"/>
      <c r="I925" s="825"/>
      <c r="AR925" s="826"/>
      <c r="AY925" s="827"/>
      <c r="BD925" s="577"/>
      <c r="BE925" s="578"/>
      <c r="BF925" s="578"/>
      <c r="BG925" s="578"/>
      <c r="BH925" s="578"/>
      <c r="BI925" s="578"/>
      <c r="BJ925" s="578"/>
      <c r="BK925" s="578"/>
      <c r="BL925" s="578"/>
      <c r="BM925" s="578"/>
      <c r="BN925" s="578"/>
      <c r="BO925" s="578"/>
      <c r="BP925" s="578"/>
      <c r="BQ925" s="578"/>
      <c r="BR925" s="578"/>
      <c r="BS925" s="578"/>
      <c r="BT925" s="578"/>
      <c r="BU925" s="578"/>
      <c r="BV925" s="578"/>
      <c r="BW925" s="578"/>
    </row>
    <row r="926" spans="2:75" ht="14.25" customHeight="1" x14ac:dyDescent="0.3">
      <c r="B926" s="823"/>
      <c r="D926" s="824"/>
      <c r="I926" s="825"/>
      <c r="AR926" s="826"/>
      <c r="AY926" s="827"/>
      <c r="BD926" s="577"/>
      <c r="BE926" s="578"/>
      <c r="BF926" s="578"/>
      <c r="BG926" s="578"/>
      <c r="BH926" s="578"/>
      <c r="BI926" s="578"/>
      <c r="BJ926" s="578"/>
      <c r="BK926" s="578"/>
      <c r="BL926" s="578"/>
      <c r="BM926" s="578"/>
      <c r="BN926" s="578"/>
      <c r="BO926" s="578"/>
      <c r="BP926" s="578"/>
      <c r="BQ926" s="578"/>
      <c r="BR926" s="578"/>
      <c r="BS926" s="578"/>
      <c r="BT926" s="578"/>
      <c r="BU926" s="578"/>
      <c r="BV926" s="578"/>
      <c r="BW926" s="578"/>
    </row>
    <row r="927" spans="2:75" ht="14.25" customHeight="1" x14ac:dyDescent="0.3">
      <c r="B927" s="823"/>
      <c r="D927" s="824"/>
      <c r="I927" s="825"/>
      <c r="AR927" s="826"/>
      <c r="AY927" s="827"/>
      <c r="BD927" s="577"/>
      <c r="BE927" s="578"/>
      <c r="BF927" s="578"/>
      <c r="BG927" s="578"/>
      <c r="BH927" s="578"/>
      <c r="BI927" s="578"/>
      <c r="BJ927" s="578"/>
      <c r="BK927" s="578"/>
      <c r="BL927" s="578"/>
      <c r="BM927" s="578"/>
      <c r="BN927" s="578"/>
      <c r="BO927" s="578"/>
      <c r="BP927" s="578"/>
      <c r="BQ927" s="578"/>
      <c r="BR927" s="578"/>
      <c r="BS927" s="578"/>
      <c r="BT927" s="578"/>
      <c r="BU927" s="578"/>
      <c r="BV927" s="578"/>
      <c r="BW927" s="578"/>
    </row>
    <row r="928" spans="2:75" ht="14.25" customHeight="1" x14ac:dyDescent="0.3">
      <c r="B928" s="823"/>
      <c r="D928" s="824"/>
      <c r="I928" s="825"/>
      <c r="AR928" s="826"/>
      <c r="AY928" s="827"/>
      <c r="BD928" s="577"/>
      <c r="BE928" s="578"/>
      <c r="BF928" s="578"/>
      <c r="BG928" s="578"/>
      <c r="BH928" s="578"/>
      <c r="BI928" s="578"/>
      <c r="BJ928" s="578"/>
      <c r="BK928" s="578"/>
      <c r="BL928" s="578"/>
      <c r="BM928" s="578"/>
      <c r="BN928" s="578"/>
      <c r="BO928" s="578"/>
      <c r="BP928" s="578"/>
      <c r="BQ928" s="578"/>
      <c r="BR928" s="578"/>
      <c r="BS928" s="578"/>
      <c r="BT928" s="578"/>
      <c r="BU928" s="578"/>
      <c r="BV928" s="578"/>
      <c r="BW928" s="578"/>
    </row>
    <row r="929" spans="2:75" ht="14.25" customHeight="1" x14ac:dyDescent="0.3">
      <c r="B929" s="823"/>
      <c r="D929" s="824"/>
      <c r="I929" s="825"/>
      <c r="AR929" s="826"/>
      <c r="AY929" s="827"/>
      <c r="BD929" s="577"/>
      <c r="BE929" s="578"/>
      <c r="BF929" s="578"/>
      <c r="BG929" s="578"/>
      <c r="BH929" s="578"/>
      <c r="BI929" s="578"/>
      <c r="BJ929" s="578"/>
      <c r="BK929" s="578"/>
      <c r="BL929" s="578"/>
      <c r="BM929" s="578"/>
      <c r="BN929" s="578"/>
      <c r="BO929" s="578"/>
      <c r="BP929" s="578"/>
      <c r="BQ929" s="578"/>
      <c r="BR929" s="578"/>
      <c r="BS929" s="578"/>
      <c r="BT929" s="578"/>
      <c r="BU929" s="578"/>
      <c r="BV929" s="578"/>
      <c r="BW929" s="578"/>
    </row>
    <row r="930" spans="2:75" ht="14.25" customHeight="1" x14ac:dyDescent="0.3">
      <c r="B930" s="823"/>
      <c r="D930" s="824"/>
      <c r="I930" s="825"/>
      <c r="AR930" s="826"/>
      <c r="AY930" s="827"/>
      <c r="BD930" s="577"/>
      <c r="BE930" s="578"/>
      <c r="BF930" s="578"/>
      <c r="BG930" s="578"/>
      <c r="BH930" s="578"/>
      <c r="BI930" s="578"/>
      <c r="BJ930" s="578"/>
      <c r="BK930" s="578"/>
      <c r="BL930" s="578"/>
      <c r="BM930" s="578"/>
      <c r="BN930" s="578"/>
      <c r="BO930" s="578"/>
      <c r="BP930" s="578"/>
      <c r="BQ930" s="578"/>
      <c r="BR930" s="578"/>
      <c r="BS930" s="578"/>
      <c r="BT930" s="578"/>
      <c r="BU930" s="578"/>
      <c r="BV930" s="578"/>
      <c r="BW930" s="578"/>
    </row>
    <row r="931" spans="2:75" ht="14.25" customHeight="1" x14ac:dyDescent="0.3">
      <c r="B931" s="823"/>
      <c r="D931" s="824"/>
      <c r="I931" s="825"/>
      <c r="AR931" s="826"/>
      <c r="AY931" s="827"/>
      <c r="BD931" s="577"/>
      <c r="BE931" s="578"/>
      <c r="BF931" s="578"/>
      <c r="BG931" s="578"/>
      <c r="BH931" s="578"/>
      <c r="BI931" s="578"/>
      <c r="BJ931" s="578"/>
      <c r="BK931" s="578"/>
      <c r="BL931" s="578"/>
      <c r="BM931" s="578"/>
      <c r="BN931" s="578"/>
      <c r="BO931" s="578"/>
      <c r="BP931" s="578"/>
      <c r="BQ931" s="578"/>
      <c r="BR931" s="578"/>
      <c r="BS931" s="578"/>
      <c r="BT931" s="578"/>
      <c r="BU931" s="578"/>
      <c r="BV931" s="578"/>
      <c r="BW931" s="578"/>
    </row>
    <row r="932" spans="2:75" ht="14.25" customHeight="1" x14ac:dyDescent="0.3">
      <c r="B932" s="823"/>
      <c r="D932" s="824"/>
      <c r="I932" s="825"/>
      <c r="AR932" s="826"/>
      <c r="AY932" s="827"/>
      <c r="BD932" s="577"/>
      <c r="BE932" s="578"/>
      <c r="BF932" s="578"/>
      <c r="BG932" s="578"/>
      <c r="BH932" s="578"/>
      <c r="BI932" s="578"/>
      <c r="BJ932" s="578"/>
      <c r="BK932" s="578"/>
      <c r="BL932" s="578"/>
      <c r="BM932" s="578"/>
      <c r="BN932" s="578"/>
      <c r="BO932" s="578"/>
      <c r="BP932" s="578"/>
      <c r="BQ932" s="578"/>
      <c r="BR932" s="578"/>
      <c r="BS932" s="578"/>
      <c r="BT932" s="578"/>
      <c r="BU932" s="578"/>
      <c r="BV932" s="578"/>
      <c r="BW932" s="578"/>
    </row>
    <row r="933" spans="2:75" ht="14.25" customHeight="1" x14ac:dyDescent="0.3">
      <c r="B933" s="823"/>
      <c r="D933" s="824"/>
      <c r="I933" s="825"/>
      <c r="AR933" s="826"/>
      <c r="AY933" s="827"/>
      <c r="BD933" s="577"/>
      <c r="BE933" s="578"/>
      <c r="BF933" s="578"/>
      <c r="BG933" s="578"/>
      <c r="BH933" s="578"/>
      <c r="BI933" s="578"/>
      <c r="BJ933" s="578"/>
      <c r="BK933" s="578"/>
      <c r="BL933" s="578"/>
      <c r="BM933" s="578"/>
      <c r="BN933" s="578"/>
      <c r="BO933" s="578"/>
      <c r="BP933" s="578"/>
      <c r="BQ933" s="578"/>
      <c r="BR933" s="578"/>
      <c r="BS933" s="578"/>
      <c r="BT933" s="578"/>
      <c r="BU933" s="578"/>
      <c r="BV933" s="578"/>
      <c r="BW933" s="578"/>
    </row>
    <row r="934" spans="2:75" ht="14.25" customHeight="1" x14ac:dyDescent="0.3">
      <c r="B934" s="823"/>
      <c r="D934" s="824"/>
      <c r="I934" s="825"/>
      <c r="AR934" s="826"/>
      <c r="AY934" s="827"/>
      <c r="BD934" s="577"/>
      <c r="BE934" s="578"/>
      <c r="BF934" s="578"/>
      <c r="BG934" s="578"/>
      <c r="BH934" s="578"/>
      <c r="BI934" s="578"/>
      <c r="BJ934" s="578"/>
      <c r="BK934" s="578"/>
      <c r="BL934" s="578"/>
      <c r="BM934" s="578"/>
      <c r="BN934" s="578"/>
      <c r="BO934" s="578"/>
      <c r="BP934" s="578"/>
      <c r="BQ934" s="578"/>
      <c r="BR934" s="578"/>
      <c r="BS934" s="578"/>
      <c r="BT934" s="578"/>
      <c r="BU934" s="578"/>
      <c r="BV934" s="578"/>
      <c r="BW934" s="578"/>
    </row>
    <row r="935" spans="2:75" ht="14.25" customHeight="1" x14ac:dyDescent="0.3">
      <c r="B935" s="823"/>
      <c r="D935" s="824"/>
      <c r="I935" s="825"/>
      <c r="AR935" s="826"/>
      <c r="AY935" s="827"/>
      <c r="BD935" s="577"/>
      <c r="BE935" s="578"/>
      <c r="BF935" s="578"/>
      <c r="BG935" s="578"/>
      <c r="BH935" s="578"/>
      <c r="BI935" s="578"/>
      <c r="BJ935" s="578"/>
      <c r="BK935" s="578"/>
      <c r="BL935" s="578"/>
      <c r="BM935" s="578"/>
      <c r="BN935" s="578"/>
      <c r="BO935" s="578"/>
      <c r="BP935" s="578"/>
      <c r="BQ935" s="578"/>
      <c r="BR935" s="578"/>
      <c r="BS935" s="578"/>
      <c r="BT935" s="578"/>
      <c r="BU935" s="578"/>
      <c r="BV935" s="578"/>
      <c r="BW935" s="578"/>
    </row>
    <row r="936" spans="2:75" ht="14.25" customHeight="1" x14ac:dyDescent="0.3">
      <c r="B936" s="823"/>
      <c r="D936" s="824"/>
      <c r="I936" s="825"/>
      <c r="AR936" s="826"/>
      <c r="AY936" s="827"/>
      <c r="BD936" s="577"/>
      <c r="BE936" s="578"/>
      <c r="BF936" s="578"/>
      <c r="BG936" s="578"/>
      <c r="BH936" s="578"/>
      <c r="BI936" s="578"/>
      <c r="BJ936" s="578"/>
      <c r="BK936" s="578"/>
      <c r="BL936" s="578"/>
      <c r="BM936" s="578"/>
      <c r="BN936" s="578"/>
      <c r="BO936" s="578"/>
      <c r="BP936" s="578"/>
      <c r="BQ936" s="578"/>
      <c r="BR936" s="578"/>
      <c r="BS936" s="578"/>
      <c r="BT936" s="578"/>
      <c r="BU936" s="578"/>
      <c r="BV936" s="578"/>
      <c r="BW936" s="578"/>
    </row>
    <row r="937" spans="2:75" ht="14.25" customHeight="1" x14ac:dyDescent="0.3">
      <c r="B937" s="823"/>
      <c r="D937" s="824"/>
      <c r="I937" s="825"/>
      <c r="AR937" s="826"/>
      <c r="AY937" s="827"/>
      <c r="BD937" s="577"/>
      <c r="BE937" s="578"/>
      <c r="BF937" s="578"/>
      <c r="BG937" s="578"/>
      <c r="BH937" s="578"/>
      <c r="BI937" s="578"/>
      <c r="BJ937" s="578"/>
      <c r="BK937" s="578"/>
      <c r="BL937" s="578"/>
      <c r="BM937" s="578"/>
      <c r="BN937" s="578"/>
      <c r="BO937" s="578"/>
      <c r="BP937" s="578"/>
      <c r="BQ937" s="578"/>
      <c r="BR937" s="578"/>
      <c r="BS937" s="578"/>
      <c r="BT937" s="578"/>
      <c r="BU937" s="578"/>
      <c r="BV937" s="578"/>
      <c r="BW937" s="578"/>
    </row>
    <row r="938" spans="2:75" ht="14.25" customHeight="1" x14ac:dyDescent="0.3">
      <c r="B938" s="823"/>
      <c r="D938" s="824"/>
      <c r="I938" s="825"/>
      <c r="AR938" s="826"/>
      <c r="AY938" s="827"/>
      <c r="BD938" s="577"/>
      <c r="BE938" s="578"/>
      <c r="BF938" s="578"/>
      <c r="BG938" s="578"/>
      <c r="BH938" s="578"/>
      <c r="BI938" s="578"/>
      <c r="BJ938" s="578"/>
      <c r="BK938" s="578"/>
      <c r="BL938" s="578"/>
      <c r="BM938" s="578"/>
      <c r="BN938" s="578"/>
      <c r="BO938" s="578"/>
      <c r="BP938" s="578"/>
      <c r="BQ938" s="578"/>
      <c r="BR938" s="578"/>
      <c r="BS938" s="578"/>
      <c r="BT938" s="578"/>
      <c r="BU938" s="578"/>
      <c r="BV938" s="578"/>
      <c r="BW938" s="578"/>
    </row>
    <row r="939" spans="2:75" ht="14.25" customHeight="1" x14ac:dyDescent="0.3">
      <c r="B939" s="823"/>
      <c r="D939" s="824"/>
      <c r="I939" s="825"/>
      <c r="AR939" s="826"/>
      <c r="AY939" s="827"/>
      <c r="BD939" s="577"/>
      <c r="BE939" s="578"/>
      <c r="BF939" s="578"/>
      <c r="BG939" s="578"/>
      <c r="BH939" s="578"/>
      <c r="BI939" s="578"/>
      <c r="BJ939" s="578"/>
      <c r="BK939" s="578"/>
      <c r="BL939" s="578"/>
      <c r="BM939" s="578"/>
      <c r="BN939" s="578"/>
      <c r="BO939" s="578"/>
      <c r="BP939" s="578"/>
      <c r="BQ939" s="578"/>
      <c r="BR939" s="578"/>
      <c r="BS939" s="578"/>
      <c r="BT939" s="578"/>
      <c r="BU939" s="578"/>
      <c r="BV939" s="578"/>
      <c r="BW939" s="578"/>
    </row>
    <row r="940" spans="2:75" ht="14.25" customHeight="1" x14ac:dyDescent="0.3">
      <c r="B940" s="823"/>
      <c r="D940" s="824"/>
      <c r="I940" s="825"/>
      <c r="AR940" s="826"/>
      <c r="AY940" s="827"/>
      <c r="BD940" s="577"/>
      <c r="BE940" s="578"/>
      <c r="BF940" s="578"/>
      <c r="BG940" s="578"/>
      <c r="BH940" s="578"/>
      <c r="BI940" s="578"/>
      <c r="BJ940" s="578"/>
      <c r="BK940" s="578"/>
      <c r="BL940" s="578"/>
      <c r="BM940" s="578"/>
      <c r="BN940" s="578"/>
      <c r="BO940" s="578"/>
      <c r="BP940" s="578"/>
      <c r="BQ940" s="578"/>
      <c r="BR940" s="578"/>
      <c r="BS940" s="578"/>
      <c r="BT940" s="578"/>
      <c r="BU940" s="578"/>
      <c r="BV940" s="578"/>
      <c r="BW940" s="578"/>
    </row>
    <row r="941" spans="2:75" ht="14.25" customHeight="1" x14ac:dyDescent="0.3">
      <c r="B941" s="823"/>
      <c r="D941" s="824"/>
      <c r="I941" s="825"/>
      <c r="AR941" s="826"/>
      <c r="AY941" s="827"/>
      <c r="BD941" s="577"/>
      <c r="BE941" s="578"/>
      <c r="BF941" s="578"/>
      <c r="BG941" s="578"/>
      <c r="BH941" s="578"/>
      <c r="BI941" s="578"/>
      <c r="BJ941" s="578"/>
      <c r="BK941" s="578"/>
      <c r="BL941" s="578"/>
      <c r="BM941" s="578"/>
      <c r="BN941" s="578"/>
      <c r="BO941" s="578"/>
      <c r="BP941" s="578"/>
      <c r="BQ941" s="578"/>
      <c r="BR941" s="578"/>
      <c r="BS941" s="578"/>
      <c r="BT941" s="578"/>
      <c r="BU941" s="578"/>
      <c r="BV941" s="578"/>
      <c r="BW941" s="578"/>
    </row>
    <row r="942" spans="2:75" ht="14.25" customHeight="1" x14ac:dyDescent="0.3">
      <c r="B942" s="823"/>
      <c r="D942" s="824"/>
      <c r="I942" s="825"/>
      <c r="AR942" s="826"/>
      <c r="AY942" s="827"/>
      <c r="BD942" s="577"/>
      <c r="BE942" s="578"/>
      <c r="BF942" s="578"/>
      <c r="BG942" s="578"/>
      <c r="BH942" s="578"/>
      <c r="BI942" s="578"/>
      <c r="BJ942" s="578"/>
      <c r="BK942" s="578"/>
      <c r="BL942" s="578"/>
      <c r="BM942" s="578"/>
      <c r="BN942" s="578"/>
      <c r="BO942" s="578"/>
      <c r="BP942" s="578"/>
      <c r="BQ942" s="578"/>
      <c r="BR942" s="578"/>
      <c r="BS942" s="578"/>
      <c r="BT942" s="578"/>
      <c r="BU942" s="578"/>
      <c r="BV942" s="578"/>
      <c r="BW942" s="578"/>
    </row>
    <row r="943" spans="2:75" ht="14.25" customHeight="1" x14ac:dyDescent="0.3">
      <c r="B943" s="823"/>
      <c r="D943" s="824"/>
      <c r="I943" s="825"/>
      <c r="AR943" s="826"/>
      <c r="AY943" s="827"/>
      <c r="BD943" s="577"/>
      <c r="BE943" s="578"/>
      <c r="BF943" s="578"/>
      <c r="BG943" s="578"/>
      <c r="BH943" s="578"/>
      <c r="BI943" s="578"/>
      <c r="BJ943" s="578"/>
      <c r="BK943" s="578"/>
      <c r="BL943" s="578"/>
      <c r="BM943" s="578"/>
      <c r="BN943" s="578"/>
      <c r="BO943" s="578"/>
      <c r="BP943" s="578"/>
      <c r="BQ943" s="578"/>
      <c r="BR943" s="578"/>
      <c r="BS943" s="578"/>
      <c r="BT943" s="578"/>
      <c r="BU943" s="578"/>
      <c r="BV943" s="578"/>
      <c r="BW943" s="578"/>
    </row>
    <row r="944" spans="2:75" ht="14.25" customHeight="1" x14ac:dyDescent="0.3">
      <c r="B944" s="823"/>
      <c r="D944" s="824"/>
      <c r="I944" s="825"/>
      <c r="AR944" s="826"/>
      <c r="AY944" s="827"/>
      <c r="BD944" s="577"/>
      <c r="BE944" s="578"/>
      <c r="BF944" s="578"/>
      <c r="BG944" s="578"/>
      <c r="BH944" s="578"/>
      <c r="BI944" s="578"/>
      <c r="BJ944" s="578"/>
      <c r="BK944" s="578"/>
      <c r="BL944" s="578"/>
      <c r="BM944" s="578"/>
      <c r="BN944" s="578"/>
      <c r="BO944" s="578"/>
      <c r="BP944" s="578"/>
      <c r="BQ944" s="578"/>
      <c r="BR944" s="578"/>
      <c r="BS944" s="578"/>
      <c r="BT944" s="578"/>
      <c r="BU944" s="578"/>
      <c r="BV944" s="578"/>
      <c r="BW944" s="578"/>
    </row>
    <row r="945" spans="2:75" ht="14.25" customHeight="1" x14ac:dyDescent="0.3">
      <c r="B945" s="823"/>
      <c r="D945" s="824"/>
      <c r="I945" s="825"/>
      <c r="AR945" s="826"/>
      <c r="AY945" s="827"/>
      <c r="BD945" s="577"/>
      <c r="BE945" s="578"/>
      <c r="BF945" s="578"/>
      <c r="BG945" s="578"/>
      <c r="BH945" s="578"/>
      <c r="BI945" s="578"/>
      <c r="BJ945" s="578"/>
      <c r="BK945" s="578"/>
      <c r="BL945" s="578"/>
      <c r="BM945" s="578"/>
      <c r="BN945" s="578"/>
      <c r="BO945" s="578"/>
      <c r="BP945" s="578"/>
      <c r="BQ945" s="578"/>
      <c r="BR945" s="578"/>
      <c r="BS945" s="578"/>
      <c r="BT945" s="578"/>
      <c r="BU945" s="578"/>
      <c r="BV945" s="578"/>
      <c r="BW945" s="578"/>
    </row>
    <row r="946" spans="2:75" ht="14.25" customHeight="1" x14ac:dyDescent="0.3">
      <c r="B946" s="823"/>
      <c r="D946" s="824"/>
      <c r="I946" s="825"/>
      <c r="AR946" s="826"/>
      <c r="AY946" s="827"/>
      <c r="BD946" s="577"/>
      <c r="BE946" s="578"/>
      <c r="BF946" s="578"/>
      <c r="BG946" s="578"/>
      <c r="BH946" s="578"/>
      <c r="BI946" s="578"/>
      <c r="BJ946" s="578"/>
      <c r="BK946" s="578"/>
      <c r="BL946" s="578"/>
      <c r="BM946" s="578"/>
      <c r="BN946" s="578"/>
      <c r="BO946" s="578"/>
      <c r="BP946" s="578"/>
      <c r="BQ946" s="578"/>
      <c r="BR946" s="578"/>
      <c r="BS946" s="578"/>
      <c r="BT946" s="578"/>
      <c r="BU946" s="578"/>
      <c r="BV946" s="578"/>
      <c r="BW946" s="578"/>
    </row>
    <row r="947" spans="2:75" ht="14.25" customHeight="1" x14ac:dyDescent="0.3">
      <c r="B947" s="823"/>
      <c r="D947" s="824"/>
      <c r="I947" s="825"/>
      <c r="AR947" s="826"/>
      <c r="AY947" s="827"/>
      <c r="BD947" s="577"/>
      <c r="BE947" s="578"/>
      <c r="BF947" s="578"/>
      <c r="BG947" s="578"/>
      <c r="BH947" s="578"/>
      <c r="BI947" s="578"/>
      <c r="BJ947" s="578"/>
      <c r="BK947" s="578"/>
      <c r="BL947" s="578"/>
      <c r="BM947" s="578"/>
      <c r="BN947" s="578"/>
      <c r="BO947" s="578"/>
      <c r="BP947" s="578"/>
      <c r="BQ947" s="578"/>
      <c r="BR947" s="578"/>
      <c r="BS947" s="578"/>
      <c r="BT947" s="578"/>
      <c r="BU947" s="578"/>
      <c r="BV947" s="578"/>
      <c r="BW947" s="578"/>
    </row>
    <row r="948" spans="2:75" ht="14.25" customHeight="1" x14ac:dyDescent="0.3">
      <c r="B948" s="823"/>
      <c r="D948" s="824"/>
      <c r="I948" s="825"/>
      <c r="AR948" s="826"/>
      <c r="AY948" s="827"/>
      <c r="BD948" s="577"/>
      <c r="BE948" s="578"/>
      <c r="BF948" s="578"/>
      <c r="BG948" s="578"/>
      <c r="BH948" s="578"/>
      <c r="BI948" s="578"/>
      <c r="BJ948" s="578"/>
      <c r="BK948" s="578"/>
      <c r="BL948" s="578"/>
      <c r="BM948" s="578"/>
      <c r="BN948" s="578"/>
      <c r="BO948" s="578"/>
      <c r="BP948" s="578"/>
      <c r="BQ948" s="578"/>
      <c r="BR948" s="578"/>
      <c r="BS948" s="578"/>
      <c r="BT948" s="578"/>
      <c r="BU948" s="578"/>
      <c r="BV948" s="578"/>
      <c r="BW948" s="578"/>
    </row>
    <row r="949" spans="2:75" ht="14.25" customHeight="1" x14ac:dyDescent="0.3">
      <c r="B949" s="823"/>
      <c r="D949" s="824"/>
      <c r="I949" s="825"/>
      <c r="AR949" s="826"/>
      <c r="AY949" s="827"/>
      <c r="BD949" s="577"/>
      <c r="BE949" s="578"/>
      <c r="BF949" s="578"/>
      <c r="BG949" s="578"/>
      <c r="BH949" s="578"/>
      <c r="BI949" s="578"/>
      <c r="BJ949" s="578"/>
      <c r="BK949" s="578"/>
      <c r="BL949" s="578"/>
      <c r="BM949" s="578"/>
      <c r="BN949" s="578"/>
      <c r="BO949" s="578"/>
      <c r="BP949" s="578"/>
      <c r="BQ949" s="578"/>
      <c r="BR949" s="578"/>
      <c r="BS949" s="578"/>
      <c r="BT949" s="578"/>
      <c r="BU949" s="578"/>
      <c r="BV949" s="578"/>
      <c r="BW949" s="578"/>
    </row>
    <row r="950" spans="2:75" ht="14.25" customHeight="1" x14ac:dyDescent="0.3">
      <c r="B950" s="823"/>
      <c r="D950" s="824"/>
      <c r="I950" s="825"/>
      <c r="AR950" s="826"/>
      <c r="AY950" s="827"/>
      <c r="BD950" s="577"/>
      <c r="BE950" s="578"/>
      <c r="BF950" s="578"/>
      <c r="BG950" s="578"/>
      <c r="BH950" s="578"/>
      <c r="BI950" s="578"/>
      <c r="BJ950" s="578"/>
      <c r="BK950" s="578"/>
      <c r="BL950" s="578"/>
      <c r="BM950" s="578"/>
      <c r="BN950" s="578"/>
      <c r="BO950" s="578"/>
      <c r="BP950" s="578"/>
      <c r="BQ950" s="578"/>
      <c r="BR950" s="578"/>
      <c r="BS950" s="578"/>
      <c r="BT950" s="578"/>
      <c r="BU950" s="578"/>
      <c r="BV950" s="578"/>
      <c r="BW950" s="578"/>
    </row>
    <row r="951" spans="2:75" ht="14.25" customHeight="1" x14ac:dyDescent="0.3">
      <c r="B951" s="823"/>
      <c r="D951" s="824"/>
      <c r="I951" s="825"/>
      <c r="AR951" s="826"/>
      <c r="AY951" s="827"/>
      <c r="BD951" s="577"/>
      <c r="BE951" s="578"/>
      <c r="BF951" s="578"/>
      <c r="BG951" s="578"/>
      <c r="BH951" s="578"/>
      <c r="BI951" s="578"/>
      <c r="BJ951" s="578"/>
      <c r="BK951" s="578"/>
      <c r="BL951" s="578"/>
      <c r="BM951" s="578"/>
      <c r="BN951" s="578"/>
      <c r="BO951" s="578"/>
      <c r="BP951" s="578"/>
      <c r="BQ951" s="578"/>
      <c r="BR951" s="578"/>
      <c r="BS951" s="578"/>
      <c r="BT951" s="578"/>
      <c r="BU951" s="578"/>
      <c r="BV951" s="578"/>
      <c r="BW951" s="578"/>
    </row>
    <row r="952" spans="2:75" ht="14.25" customHeight="1" x14ac:dyDescent="0.3">
      <c r="B952" s="823"/>
      <c r="D952" s="824"/>
      <c r="I952" s="825"/>
      <c r="AR952" s="826"/>
      <c r="AY952" s="827"/>
      <c r="BD952" s="577"/>
      <c r="BE952" s="578"/>
      <c r="BF952" s="578"/>
      <c r="BG952" s="578"/>
      <c r="BH952" s="578"/>
      <c r="BI952" s="578"/>
      <c r="BJ952" s="578"/>
      <c r="BK952" s="578"/>
      <c r="BL952" s="578"/>
      <c r="BM952" s="578"/>
      <c r="BN952" s="578"/>
      <c r="BO952" s="578"/>
      <c r="BP952" s="578"/>
      <c r="BQ952" s="578"/>
      <c r="BR952" s="578"/>
      <c r="BS952" s="578"/>
      <c r="BT952" s="578"/>
      <c r="BU952" s="578"/>
      <c r="BV952" s="578"/>
      <c r="BW952" s="578"/>
    </row>
    <row r="953" spans="2:75" ht="14.25" customHeight="1" x14ac:dyDescent="0.3">
      <c r="B953" s="823"/>
      <c r="D953" s="824"/>
      <c r="I953" s="825"/>
      <c r="AR953" s="826"/>
      <c r="AY953" s="827"/>
      <c r="BD953" s="577"/>
      <c r="BE953" s="578"/>
      <c r="BF953" s="578"/>
      <c r="BG953" s="578"/>
      <c r="BH953" s="578"/>
      <c r="BI953" s="578"/>
      <c r="BJ953" s="578"/>
      <c r="BK953" s="578"/>
      <c r="BL953" s="578"/>
      <c r="BM953" s="578"/>
      <c r="BN953" s="578"/>
      <c r="BO953" s="578"/>
      <c r="BP953" s="578"/>
      <c r="BQ953" s="578"/>
      <c r="BR953" s="578"/>
      <c r="BS953" s="578"/>
      <c r="BT953" s="578"/>
      <c r="BU953" s="578"/>
      <c r="BV953" s="578"/>
      <c r="BW953" s="578"/>
    </row>
    <row r="954" spans="2:75" ht="14.25" customHeight="1" x14ac:dyDescent="0.3">
      <c r="B954" s="823"/>
      <c r="D954" s="824"/>
      <c r="I954" s="825"/>
      <c r="AR954" s="826"/>
      <c r="AY954" s="827"/>
      <c r="BD954" s="577"/>
      <c r="BE954" s="578"/>
      <c r="BF954" s="578"/>
      <c r="BG954" s="578"/>
      <c r="BH954" s="578"/>
      <c r="BI954" s="578"/>
      <c r="BJ954" s="578"/>
      <c r="BK954" s="578"/>
      <c r="BL954" s="578"/>
      <c r="BM954" s="578"/>
      <c r="BN954" s="578"/>
      <c r="BO954" s="578"/>
      <c r="BP954" s="578"/>
      <c r="BQ954" s="578"/>
      <c r="BR954" s="578"/>
      <c r="BS954" s="578"/>
      <c r="BT954" s="578"/>
      <c r="BU954" s="578"/>
      <c r="BV954" s="578"/>
      <c r="BW954" s="578"/>
    </row>
    <row r="955" spans="2:75" ht="14.25" customHeight="1" x14ac:dyDescent="0.3">
      <c r="B955" s="823"/>
      <c r="D955" s="824"/>
      <c r="I955" s="825"/>
      <c r="AR955" s="826"/>
      <c r="AY955" s="827"/>
      <c r="BD955" s="577"/>
      <c r="BE955" s="578"/>
      <c r="BF955" s="578"/>
      <c r="BG955" s="578"/>
      <c r="BH955" s="578"/>
      <c r="BI955" s="578"/>
      <c r="BJ955" s="578"/>
      <c r="BK955" s="578"/>
      <c r="BL955" s="578"/>
      <c r="BM955" s="578"/>
      <c r="BN955" s="578"/>
      <c r="BO955" s="578"/>
      <c r="BP955" s="578"/>
      <c r="BQ955" s="578"/>
      <c r="BR955" s="578"/>
      <c r="BS955" s="578"/>
      <c r="BT955" s="578"/>
      <c r="BU955" s="578"/>
      <c r="BV955" s="578"/>
      <c r="BW955" s="578"/>
    </row>
    <row r="956" spans="2:75" ht="14.25" customHeight="1" x14ac:dyDescent="0.3">
      <c r="B956" s="823"/>
      <c r="D956" s="824"/>
      <c r="I956" s="825"/>
      <c r="AR956" s="826"/>
      <c r="AY956" s="827"/>
      <c r="BD956" s="577"/>
      <c r="BE956" s="578"/>
      <c r="BF956" s="578"/>
      <c r="BG956" s="578"/>
      <c r="BH956" s="578"/>
      <c r="BI956" s="578"/>
      <c r="BJ956" s="578"/>
      <c r="BK956" s="578"/>
      <c r="BL956" s="578"/>
      <c r="BM956" s="578"/>
      <c r="BN956" s="578"/>
      <c r="BO956" s="578"/>
      <c r="BP956" s="578"/>
      <c r="BQ956" s="578"/>
      <c r="BR956" s="578"/>
      <c r="BS956" s="578"/>
      <c r="BT956" s="578"/>
      <c r="BU956" s="578"/>
      <c r="BV956" s="578"/>
      <c r="BW956" s="578"/>
    </row>
    <row r="957" spans="2:75" ht="14.25" customHeight="1" x14ac:dyDescent="0.3">
      <c r="B957" s="823"/>
      <c r="D957" s="824"/>
      <c r="I957" s="825"/>
      <c r="AR957" s="826"/>
      <c r="AY957" s="827"/>
      <c r="BD957" s="577"/>
      <c r="BE957" s="578"/>
      <c r="BF957" s="578"/>
      <c r="BG957" s="578"/>
      <c r="BH957" s="578"/>
      <c r="BI957" s="578"/>
      <c r="BJ957" s="578"/>
      <c r="BK957" s="578"/>
      <c r="BL957" s="578"/>
      <c r="BM957" s="578"/>
      <c r="BN957" s="578"/>
      <c r="BO957" s="578"/>
      <c r="BP957" s="578"/>
      <c r="BQ957" s="578"/>
      <c r="BR957" s="578"/>
      <c r="BS957" s="578"/>
      <c r="BT957" s="578"/>
      <c r="BU957" s="578"/>
      <c r="BV957" s="578"/>
      <c r="BW957" s="578"/>
    </row>
    <row r="958" spans="2:75" ht="14.25" customHeight="1" x14ac:dyDescent="0.3">
      <c r="B958" s="823"/>
      <c r="D958" s="824"/>
      <c r="I958" s="825"/>
      <c r="AR958" s="826"/>
      <c r="AY958" s="827"/>
      <c r="BD958" s="577"/>
      <c r="BE958" s="578"/>
      <c r="BF958" s="578"/>
      <c r="BG958" s="578"/>
      <c r="BH958" s="578"/>
      <c r="BI958" s="578"/>
      <c r="BJ958" s="578"/>
      <c r="BK958" s="578"/>
      <c r="BL958" s="578"/>
      <c r="BM958" s="578"/>
      <c r="BN958" s="578"/>
      <c r="BO958" s="578"/>
      <c r="BP958" s="578"/>
      <c r="BQ958" s="578"/>
      <c r="BR958" s="578"/>
      <c r="BS958" s="578"/>
      <c r="BT958" s="578"/>
      <c r="BU958" s="578"/>
      <c r="BV958" s="578"/>
      <c r="BW958" s="578"/>
    </row>
    <row r="959" spans="2:75" ht="14.25" customHeight="1" x14ac:dyDescent="0.3">
      <c r="B959" s="823"/>
      <c r="D959" s="824"/>
      <c r="I959" s="825"/>
      <c r="AR959" s="826"/>
      <c r="AY959" s="827"/>
      <c r="BD959" s="577"/>
      <c r="BE959" s="578"/>
      <c r="BF959" s="578"/>
      <c r="BG959" s="578"/>
      <c r="BH959" s="578"/>
      <c r="BI959" s="578"/>
      <c r="BJ959" s="578"/>
      <c r="BK959" s="578"/>
      <c r="BL959" s="578"/>
      <c r="BM959" s="578"/>
      <c r="BN959" s="578"/>
      <c r="BO959" s="578"/>
      <c r="BP959" s="578"/>
      <c r="BQ959" s="578"/>
      <c r="BR959" s="578"/>
      <c r="BS959" s="578"/>
      <c r="BT959" s="578"/>
      <c r="BU959" s="578"/>
      <c r="BV959" s="578"/>
      <c r="BW959" s="578"/>
    </row>
    <row r="960" spans="2:75" ht="14.25" customHeight="1" x14ac:dyDescent="0.3">
      <c r="B960" s="823"/>
      <c r="D960" s="824"/>
      <c r="I960" s="825"/>
      <c r="AR960" s="826"/>
      <c r="AY960" s="827"/>
      <c r="BD960" s="577"/>
      <c r="BE960" s="578"/>
      <c r="BF960" s="578"/>
      <c r="BG960" s="578"/>
      <c r="BH960" s="578"/>
      <c r="BI960" s="578"/>
      <c r="BJ960" s="578"/>
      <c r="BK960" s="578"/>
      <c r="BL960" s="578"/>
      <c r="BM960" s="578"/>
      <c r="BN960" s="578"/>
      <c r="BO960" s="578"/>
      <c r="BP960" s="578"/>
      <c r="BQ960" s="578"/>
      <c r="BR960" s="578"/>
      <c r="BS960" s="578"/>
      <c r="BT960" s="578"/>
      <c r="BU960" s="578"/>
      <c r="BV960" s="578"/>
      <c r="BW960" s="578"/>
    </row>
    <row r="961" spans="2:75" ht="14.25" customHeight="1" x14ac:dyDescent="0.3">
      <c r="B961" s="823"/>
      <c r="D961" s="824"/>
      <c r="I961" s="825"/>
      <c r="AR961" s="826"/>
      <c r="AY961" s="827"/>
      <c r="BD961" s="577"/>
      <c r="BE961" s="578"/>
      <c r="BF961" s="578"/>
      <c r="BG961" s="578"/>
      <c r="BH961" s="578"/>
      <c r="BI961" s="578"/>
      <c r="BJ961" s="578"/>
      <c r="BK961" s="578"/>
      <c r="BL961" s="578"/>
      <c r="BM961" s="578"/>
      <c r="BN961" s="578"/>
      <c r="BO961" s="578"/>
      <c r="BP961" s="578"/>
      <c r="BQ961" s="578"/>
      <c r="BR961" s="578"/>
      <c r="BS961" s="578"/>
      <c r="BT961" s="578"/>
      <c r="BU961" s="578"/>
      <c r="BV961" s="578"/>
      <c r="BW961" s="578"/>
    </row>
    <row r="962" spans="2:75" ht="14.25" customHeight="1" x14ac:dyDescent="0.3">
      <c r="B962" s="823"/>
      <c r="D962" s="824"/>
      <c r="I962" s="825"/>
      <c r="AR962" s="826"/>
      <c r="AY962" s="827"/>
      <c r="BD962" s="577"/>
      <c r="BE962" s="578"/>
      <c r="BF962" s="578"/>
      <c r="BG962" s="578"/>
      <c r="BH962" s="578"/>
      <c r="BI962" s="578"/>
      <c r="BJ962" s="578"/>
      <c r="BK962" s="578"/>
      <c r="BL962" s="578"/>
      <c r="BM962" s="578"/>
      <c r="BN962" s="578"/>
      <c r="BO962" s="578"/>
      <c r="BP962" s="578"/>
      <c r="BQ962" s="578"/>
      <c r="BR962" s="578"/>
      <c r="BS962" s="578"/>
      <c r="BT962" s="578"/>
      <c r="BU962" s="578"/>
      <c r="BV962" s="578"/>
      <c r="BW962" s="578"/>
    </row>
    <row r="963" spans="2:75" ht="14.25" customHeight="1" x14ac:dyDescent="0.3">
      <c r="B963" s="823"/>
      <c r="D963" s="824"/>
      <c r="I963" s="825"/>
      <c r="AR963" s="826"/>
      <c r="AY963" s="827"/>
      <c r="BD963" s="577"/>
      <c r="BE963" s="578"/>
      <c r="BF963" s="578"/>
      <c r="BG963" s="578"/>
      <c r="BH963" s="578"/>
      <c r="BI963" s="578"/>
      <c r="BJ963" s="578"/>
      <c r="BK963" s="578"/>
      <c r="BL963" s="578"/>
      <c r="BM963" s="578"/>
      <c r="BN963" s="578"/>
      <c r="BO963" s="578"/>
      <c r="BP963" s="578"/>
      <c r="BQ963" s="578"/>
      <c r="BR963" s="578"/>
      <c r="BS963" s="578"/>
      <c r="BT963" s="578"/>
      <c r="BU963" s="578"/>
      <c r="BV963" s="578"/>
      <c r="BW963" s="578"/>
    </row>
    <row r="964" spans="2:75" ht="14.25" customHeight="1" x14ac:dyDescent="0.3">
      <c r="B964" s="823"/>
      <c r="D964" s="824"/>
      <c r="I964" s="825"/>
      <c r="AR964" s="826"/>
      <c r="AY964" s="827"/>
      <c r="BD964" s="577"/>
      <c r="BE964" s="578"/>
      <c r="BF964" s="578"/>
      <c r="BG964" s="578"/>
      <c r="BH964" s="578"/>
      <c r="BI964" s="578"/>
      <c r="BJ964" s="578"/>
      <c r="BK964" s="578"/>
      <c r="BL964" s="578"/>
      <c r="BM964" s="578"/>
      <c r="BN964" s="578"/>
      <c r="BO964" s="578"/>
      <c r="BP964" s="578"/>
      <c r="BQ964" s="578"/>
      <c r="BR964" s="578"/>
      <c r="BS964" s="578"/>
      <c r="BT964" s="578"/>
      <c r="BU964" s="578"/>
      <c r="BV964" s="578"/>
      <c r="BW964" s="578"/>
    </row>
    <row r="965" spans="2:75" ht="14.25" customHeight="1" x14ac:dyDescent="0.3">
      <c r="B965" s="823"/>
      <c r="D965" s="824"/>
      <c r="I965" s="825"/>
      <c r="AR965" s="826"/>
      <c r="AY965" s="827"/>
      <c r="BD965" s="577"/>
      <c r="BE965" s="578"/>
      <c r="BF965" s="578"/>
      <c r="BG965" s="578"/>
      <c r="BH965" s="578"/>
      <c r="BI965" s="578"/>
      <c r="BJ965" s="578"/>
      <c r="BK965" s="578"/>
      <c r="BL965" s="578"/>
      <c r="BM965" s="578"/>
      <c r="BN965" s="578"/>
      <c r="BO965" s="578"/>
      <c r="BP965" s="578"/>
      <c r="BQ965" s="578"/>
      <c r="BR965" s="578"/>
      <c r="BS965" s="578"/>
      <c r="BT965" s="578"/>
      <c r="BU965" s="578"/>
      <c r="BV965" s="578"/>
      <c r="BW965" s="578"/>
    </row>
    <row r="966" spans="2:75" ht="14.25" customHeight="1" x14ac:dyDescent="0.3">
      <c r="B966" s="823"/>
      <c r="D966" s="824"/>
      <c r="I966" s="825"/>
      <c r="AR966" s="826"/>
      <c r="AY966" s="827"/>
      <c r="BD966" s="577"/>
      <c r="BE966" s="578"/>
      <c r="BF966" s="578"/>
      <c r="BG966" s="578"/>
      <c r="BH966" s="578"/>
      <c r="BI966" s="578"/>
      <c r="BJ966" s="578"/>
      <c r="BK966" s="578"/>
      <c r="BL966" s="578"/>
      <c r="BM966" s="578"/>
      <c r="BN966" s="578"/>
      <c r="BO966" s="578"/>
      <c r="BP966" s="578"/>
      <c r="BQ966" s="578"/>
      <c r="BR966" s="578"/>
      <c r="BS966" s="578"/>
      <c r="BT966" s="578"/>
      <c r="BU966" s="578"/>
      <c r="BV966" s="578"/>
      <c r="BW966" s="578"/>
    </row>
    <row r="967" spans="2:75" ht="14.25" customHeight="1" x14ac:dyDescent="0.3">
      <c r="B967" s="823"/>
      <c r="D967" s="824"/>
      <c r="I967" s="825"/>
      <c r="AR967" s="826"/>
      <c r="AY967" s="827"/>
      <c r="BD967" s="577"/>
      <c r="BE967" s="578"/>
      <c r="BF967" s="578"/>
      <c r="BG967" s="578"/>
      <c r="BH967" s="578"/>
      <c r="BI967" s="578"/>
      <c r="BJ967" s="578"/>
      <c r="BK967" s="578"/>
      <c r="BL967" s="578"/>
      <c r="BM967" s="578"/>
      <c r="BN967" s="578"/>
      <c r="BO967" s="578"/>
      <c r="BP967" s="578"/>
      <c r="BQ967" s="578"/>
      <c r="BR967" s="578"/>
      <c r="BS967" s="578"/>
      <c r="BT967" s="578"/>
      <c r="BU967" s="578"/>
      <c r="BV967" s="578"/>
      <c r="BW967" s="578"/>
    </row>
    <row r="968" spans="2:75" ht="14.25" customHeight="1" x14ac:dyDescent="0.3">
      <c r="B968" s="823"/>
      <c r="D968" s="824"/>
      <c r="I968" s="825"/>
      <c r="AR968" s="826"/>
      <c r="AY968" s="827"/>
      <c r="BD968" s="577"/>
      <c r="BE968" s="578"/>
      <c r="BF968" s="578"/>
      <c r="BG968" s="578"/>
      <c r="BH968" s="578"/>
      <c r="BI968" s="578"/>
      <c r="BJ968" s="578"/>
      <c r="BK968" s="578"/>
      <c r="BL968" s="578"/>
      <c r="BM968" s="578"/>
      <c r="BN968" s="578"/>
      <c r="BO968" s="578"/>
      <c r="BP968" s="578"/>
      <c r="BQ968" s="578"/>
      <c r="BR968" s="578"/>
      <c r="BS968" s="578"/>
      <c r="BT968" s="578"/>
      <c r="BU968" s="578"/>
      <c r="BV968" s="578"/>
      <c r="BW968" s="578"/>
    </row>
    <row r="969" spans="2:75" ht="14.25" customHeight="1" x14ac:dyDescent="0.3">
      <c r="B969" s="823"/>
      <c r="D969" s="824"/>
      <c r="I969" s="825"/>
      <c r="AR969" s="826"/>
      <c r="AY969" s="827"/>
      <c r="BD969" s="577"/>
      <c r="BE969" s="578"/>
      <c r="BF969" s="578"/>
      <c r="BG969" s="578"/>
      <c r="BH969" s="578"/>
      <c r="BI969" s="578"/>
      <c r="BJ969" s="578"/>
      <c r="BK969" s="578"/>
      <c r="BL969" s="578"/>
      <c r="BM969" s="578"/>
      <c r="BN969" s="578"/>
      <c r="BO969" s="578"/>
      <c r="BP969" s="578"/>
      <c r="BQ969" s="578"/>
      <c r="BR969" s="578"/>
      <c r="BS969" s="578"/>
      <c r="BT969" s="578"/>
      <c r="BU969" s="578"/>
      <c r="BV969" s="578"/>
      <c r="BW969" s="578"/>
    </row>
    <row r="970" spans="2:75" ht="14.25" customHeight="1" x14ac:dyDescent="0.3">
      <c r="B970" s="823"/>
      <c r="D970" s="824"/>
      <c r="I970" s="825"/>
      <c r="AR970" s="826"/>
      <c r="AY970" s="827"/>
      <c r="BD970" s="577"/>
      <c r="BE970" s="578"/>
      <c r="BF970" s="578"/>
      <c r="BG970" s="578"/>
      <c r="BH970" s="578"/>
      <c r="BI970" s="578"/>
      <c r="BJ970" s="578"/>
      <c r="BK970" s="578"/>
      <c r="BL970" s="578"/>
      <c r="BM970" s="578"/>
      <c r="BN970" s="578"/>
      <c r="BO970" s="578"/>
      <c r="BP970" s="578"/>
      <c r="BQ970" s="578"/>
      <c r="BR970" s="578"/>
      <c r="BS970" s="578"/>
      <c r="BT970" s="578"/>
      <c r="BU970" s="578"/>
      <c r="BV970" s="578"/>
      <c r="BW970" s="578"/>
    </row>
    <row r="971" spans="2:75" ht="14.25" customHeight="1" x14ac:dyDescent="0.3">
      <c r="B971" s="823"/>
      <c r="D971" s="824"/>
      <c r="I971" s="825"/>
      <c r="AR971" s="826"/>
      <c r="AY971" s="827"/>
      <c r="BD971" s="577"/>
      <c r="BE971" s="578"/>
      <c r="BF971" s="578"/>
      <c r="BG971" s="578"/>
      <c r="BH971" s="578"/>
      <c r="BI971" s="578"/>
      <c r="BJ971" s="578"/>
      <c r="BK971" s="578"/>
      <c r="BL971" s="578"/>
      <c r="BM971" s="578"/>
      <c r="BN971" s="578"/>
      <c r="BO971" s="578"/>
      <c r="BP971" s="578"/>
      <c r="BQ971" s="578"/>
      <c r="BR971" s="578"/>
      <c r="BS971" s="578"/>
      <c r="BT971" s="578"/>
      <c r="BU971" s="578"/>
      <c r="BV971" s="578"/>
      <c r="BW971" s="578"/>
    </row>
    <row r="972" spans="2:75" ht="14.25" customHeight="1" x14ac:dyDescent="0.3">
      <c r="B972" s="823"/>
      <c r="D972" s="824"/>
      <c r="I972" s="825"/>
      <c r="AR972" s="826"/>
      <c r="AY972" s="827"/>
      <c r="BD972" s="577"/>
      <c r="BE972" s="578"/>
      <c r="BF972" s="578"/>
      <c r="BG972" s="578"/>
      <c r="BH972" s="578"/>
      <c r="BI972" s="578"/>
      <c r="BJ972" s="578"/>
      <c r="BK972" s="578"/>
      <c r="BL972" s="578"/>
      <c r="BM972" s="578"/>
      <c r="BN972" s="578"/>
      <c r="BO972" s="578"/>
      <c r="BP972" s="578"/>
      <c r="BQ972" s="578"/>
      <c r="BR972" s="578"/>
      <c r="BS972" s="578"/>
      <c r="BT972" s="578"/>
      <c r="BU972" s="578"/>
      <c r="BV972" s="578"/>
      <c r="BW972" s="578"/>
    </row>
    <row r="973" spans="2:75" ht="14.25" customHeight="1" x14ac:dyDescent="0.3">
      <c r="B973" s="823"/>
      <c r="D973" s="824"/>
      <c r="I973" s="825"/>
      <c r="AR973" s="826"/>
      <c r="AY973" s="827"/>
      <c r="BD973" s="577"/>
      <c r="BE973" s="578"/>
      <c r="BF973" s="578"/>
      <c r="BG973" s="578"/>
      <c r="BH973" s="578"/>
      <c r="BI973" s="578"/>
      <c r="BJ973" s="578"/>
      <c r="BK973" s="578"/>
      <c r="BL973" s="578"/>
      <c r="BM973" s="578"/>
      <c r="BN973" s="578"/>
      <c r="BO973" s="578"/>
      <c r="BP973" s="578"/>
      <c r="BQ973" s="578"/>
      <c r="BR973" s="578"/>
      <c r="BS973" s="578"/>
      <c r="BT973" s="578"/>
      <c r="BU973" s="578"/>
      <c r="BV973" s="578"/>
      <c r="BW973" s="578"/>
    </row>
    <row r="974" spans="2:75" ht="14.25" customHeight="1" x14ac:dyDescent="0.3">
      <c r="B974" s="823"/>
      <c r="D974" s="824"/>
      <c r="I974" s="825"/>
      <c r="AR974" s="826"/>
      <c r="AY974" s="827"/>
      <c r="BD974" s="577"/>
      <c r="BE974" s="578"/>
      <c r="BF974" s="578"/>
      <c r="BG974" s="578"/>
      <c r="BH974" s="578"/>
      <c r="BI974" s="578"/>
      <c r="BJ974" s="578"/>
      <c r="BK974" s="578"/>
      <c r="BL974" s="578"/>
      <c r="BM974" s="578"/>
      <c r="BN974" s="578"/>
      <c r="BO974" s="578"/>
      <c r="BP974" s="578"/>
      <c r="BQ974" s="578"/>
      <c r="BR974" s="578"/>
      <c r="BS974" s="578"/>
      <c r="BT974" s="578"/>
      <c r="BU974" s="578"/>
      <c r="BV974" s="578"/>
      <c r="BW974" s="578"/>
    </row>
    <row r="975" spans="2:75" ht="14.25" customHeight="1" x14ac:dyDescent="0.3">
      <c r="B975" s="823"/>
      <c r="D975" s="824"/>
      <c r="I975" s="825"/>
      <c r="AR975" s="826"/>
      <c r="AY975" s="827"/>
      <c r="BD975" s="577"/>
      <c r="BE975" s="578"/>
      <c r="BF975" s="578"/>
      <c r="BG975" s="578"/>
      <c r="BH975" s="578"/>
      <c r="BI975" s="578"/>
      <c r="BJ975" s="578"/>
      <c r="BK975" s="578"/>
      <c r="BL975" s="578"/>
      <c r="BM975" s="578"/>
      <c r="BN975" s="578"/>
      <c r="BO975" s="578"/>
      <c r="BP975" s="578"/>
      <c r="BQ975" s="578"/>
      <c r="BR975" s="578"/>
      <c r="BS975" s="578"/>
      <c r="BT975" s="578"/>
      <c r="BU975" s="578"/>
      <c r="BV975" s="578"/>
      <c r="BW975" s="578"/>
    </row>
    <row r="976" spans="2:75" ht="14.25" customHeight="1" x14ac:dyDescent="0.3">
      <c r="B976" s="823"/>
      <c r="D976" s="824"/>
      <c r="I976" s="825"/>
      <c r="AR976" s="826"/>
      <c r="AY976" s="827"/>
      <c r="BD976" s="577"/>
      <c r="BE976" s="578"/>
      <c r="BF976" s="578"/>
      <c r="BG976" s="578"/>
      <c r="BH976" s="578"/>
      <c r="BI976" s="578"/>
      <c r="BJ976" s="578"/>
      <c r="BK976" s="578"/>
      <c r="BL976" s="578"/>
      <c r="BM976" s="578"/>
      <c r="BN976" s="578"/>
      <c r="BO976" s="578"/>
      <c r="BP976" s="578"/>
      <c r="BQ976" s="578"/>
      <c r="BR976" s="578"/>
      <c r="BS976" s="578"/>
      <c r="BT976" s="578"/>
      <c r="BU976" s="578"/>
      <c r="BV976" s="578"/>
      <c r="BW976" s="578"/>
    </row>
    <row r="977" spans="2:75" ht="14.25" customHeight="1" x14ac:dyDescent="0.3">
      <c r="B977" s="823"/>
      <c r="D977" s="824"/>
      <c r="I977" s="825"/>
      <c r="AR977" s="826"/>
      <c r="AY977" s="827"/>
      <c r="BD977" s="577"/>
      <c r="BE977" s="578"/>
      <c r="BF977" s="578"/>
      <c r="BG977" s="578"/>
      <c r="BH977" s="578"/>
      <c r="BI977" s="578"/>
      <c r="BJ977" s="578"/>
      <c r="BK977" s="578"/>
      <c r="BL977" s="578"/>
      <c r="BM977" s="578"/>
      <c r="BN977" s="578"/>
      <c r="BO977" s="578"/>
      <c r="BP977" s="578"/>
      <c r="BQ977" s="578"/>
      <c r="BR977" s="578"/>
      <c r="BS977" s="578"/>
      <c r="BT977" s="578"/>
      <c r="BU977" s="578"/>
      <c r="BV977" s="578"/>
      <c r="BW977" s="578"/>
    </row>
    <row r="978" spans="2:75" ht="14.25" customHeight="1" x14ac:dyDescent="0.3">
      <c r="B978" s="823"/>
      <c r="D978" s="824"/>
      <c r="I978" s="825"/>
      <c r="AR978" s="826"/>
      <c r="AY978" s="827"/>
      <c r="BD978" s="577"/>
      <c r="BE978" s="578"/>
      <c r="BF978" s="578"/>
      <c r="BG978" s="578"/>
      <c r="BH978" s="578"/>
      <c r="BI978" s="578"/>
      <c r="BJ978" s="578"/>
      <c r="BK978" s="578"/>
      <c r="BL978" s="578"/>
      <c r="BM978" s="578"/>
      <c r="BN978" s="578"/>
      <c r="BO978" s="578"/>
      <c r="BP978" s="578"/>
      <c r="BQ978" s="578"/>
      <c r="BR978" s="578"/>
      <c r="BS978" s="578"/>
      <c r="BT978" s="578"/>
      <c r="BU978" s="578"/>
      <c r="BV978" s="578"/>
      <c r="BW978" s="578"/>
    </row>
    <row r="979" spans="2:75" ht="14.25" customHeight="1" x14ac:dyDescent="0.3">
      <c r="B979" s="823"/>
      <c r="D979" s="824"/>
      <c r="I979" s="825"/>
      <c r="AR979" s="826"/>
      <c r="AY979" s="827"/>
      <c r="BD979" s="577"/>
      <c r="BE979" s="578"/>
      <c r="BF979" s="578"/>
      <c r="BG979" s="578"/>
      <c r="BH979" s="578"/>
      <c r="BI979" s="578"/>
      <c r="BJ979" s="578"/>
      <c r="BK979" s="578"/>
      <c r="BL979" s="578"/>
      <c r="BM979" s="578"/>
      <c r="BN979" s="578"/>
      <c r="BO979" s="578"/>
      <c r="BP979" s="578"/>
      <c r="BQ979" s="578"/>
      <c r="BR979" s="578"/>
      <c r="BS979" s="578"/>
      <c r="BT979" s="578"/>
      <c r="BU979" s="578"/>
      <c r="BV979" s="578"/>
      <c r="BW979" s="578"/>
    </row>
    <row r="980" spans="2:75" ht="14.25" customHeight="1" x14ac:dyDescent="0.3">
      <c r="B980" s="823"/>
      <c r="D980" s="824"/>
      <c r="I980" s="825"/>
      <c r="AR980" s="826"/>
      <c r="AY980" s="827"/>
      <c r="BD980" s="577"/>
      <c r="BE980" s="578"/>
      <c r="BF980" s="578"/>
      <c r="BG980" s="578"/>
      <c r="BH980" s="578"/>
      <c r="BI980" s="578"/>
      <c r="BJ980" s="578"/>
      <c r="BK980" s="578"/>
      <c r="BL980" s="578"/>
      <c r="BM980" s="578"/>
      <c r="BN980" s="578"/>
      <c r="BO980" s="578"/>
      <c r="BP980" s="578"/>
      <c r="BQ980" s="578"/>
      <c r="BR980" s="578"/>
      <c r="BS980" s="578"/>
      <c r="BT980" s="578"/>
      <c r="BU980" s="578"/>
      <c r="BV980" s="578"/>
      <c r="BW980" s="578"/>
    </row>
    <row r="981" spans="2:75" ht="14.25" customHeight="1" x14ac:dyDescent="0.3">
      <c r="B981" s="823"/>
      <c r="D981" s="824"/>
      <c r="I981" s="825"/>
      <c r="AR981" s="826"/>
      <c r="AY981" s="827"/>
      <c r="BD981" s="577"/>
      <c r="BE981" s="578"/>
      <c r="BF981" s="578"/>
      <c r="BG981" s="578"/>
      <c r="BH981" s="578"/>
      <c r="BI981" s="578"/>
      <c r="BJ981" s="578"/>
      <c r="BK981" s="578"/>
      <c r="BL981" s="578"/>
      <c r="BM981" s="578"/>
      <c r="BN981" s="578"/>
      <c r="BO981" s="578"/>
      <c r="BP981" s="578"/>
      <c r="BQ981" s="578"/>
      <c r="BR981" s="578"/>
      <c r="BS981" s="578"/>
      <c r="BT981" s="578"/>
      <c r="BU981" s="578"/>
      <c r="BV981" s="578"/>
      <c r="BW981" s="578"/>
    </row>
    <row r="982" spans="2:75" ht="14.25" customHeight="1" x14ac:dyDescent="0.3">
      <c r="B982" s="823"/>
      <c r="D982" s="824"/>
      <c r="I982" s="825"/>
      <c r="AR982" s="826"/>
      <c r="AY982" s="827"/>
      <c r="BD982" s="577"/>
      <c r="BE982" s="578"/>
      <c r="BF982" s="578"/>
      <c r="BG982" s="578"/>
      <c r="BH982" s="578"/>
      <c r="BI982" s="578"/>
      <c r="BJ982" s="578"/>
      <c r="BK982" s="578"/>
      <c r="BL982" s="578"/>
      <c r="BM982" s="578"/>
      <c r="BN982" s="578"/>
      <c r="BO982" s="578"/>
      <c r="BP982" s="578"/>
      <c r="BQ982" s="578"/>
      <c r="BR982" s="578"/>
      <c r="BS982" s="578"/>
      <c r="BT982" s="578"/>
      <c r="BU982" s="578"/>
      <c r="BV982" s="578"/>
      <c r="BW982" s="578"/>
    </row>
    <row r="983" spans="2:75" ht="14.25" customHeight="1" x14ac:dyDescent="0.3">
      <c r="B983" s="823"/>
      <c r="D983" s="824"/>
      <c r="I983" s="825"/>
      <c r="AR983" s="826"/>
      <c r="AY983" s="827"/>
      <c r="BD983" s="577"/>
      <c r="BE983" s="578"/>
      <c r="BF983" s="578"/>
      <c r="BG983" s="578"/>
      <c r="BH983" s="578"/>
      <c r="BI983" s="578"/>
      <c r="BJ983" s="578"/>
      <c r="BK983" s="578"/>
      <c r="BL983" s="578"/>
      <c r="BM983" s="578"/>
      <c r="BN983" s="578"/>
      <c r="BO983" s="578"/>
      <c r="BP983" s="578"/>
      <c r="BQ983" s="578"/>
      <c r="BR983" s="578"/>
      <c r="BS983" s="578"/>
      <c r="BT983" s="578"/>
      <c r="BU983" s="578"/>
      <c r="BV983" s="578"/>
      <c r="BW983" s="578"/>
    </row>
    <row r="984" spans="2:75" ht="14.25" customHeight="1" x14ac:dyDescent="0.3">
      <c r="B984" s="823"/>
      <c r="D984" s="824"/>
      <c r="I984" s="825"/>
      <c r="AR984" s="826"/>
      <c r="AY984" s="827"/>
      <c r="BD984" s="577"/>
      <c r="BE984" s="578"/>
      <c r="BF984" s="578"/>
      <c r="BG984" s="578"/>
      <c r="BH984" s="578"/>
      <c r="BI984" s="578"/>
      <c r="BJ984" s="578"/>
      <c r="BK984" s="578"/>
      <c r="BL984" s="578"/>
      <c r="BM984" s="578"/>
      <c r="BN984" s="578"/>
      <c r="BO984" s="578"/>
      <c r="BP984" s="578"/>
      <c r="BQ984" s="578"/>
      <c r="BR984" s="578"/>
      <c r="BS984" s="578"/>
      <c r="BT984" s="578"/>
      <c r="BU984" s="578"/>
      <c r="BV984" s="578"/>
      <c r="BW984" s="578"/>
    </row>
    <row r="985" spans="2:75" ht="14.25" customHeight="1" x14ac:dyDescent="0.3">
      <c r="B985" s="823"/>
      <c r="D985" s="824"/>
      <c r="I985" s="825"/>
      <c r="AR985" s="826"/>
      <c r="AY985" s="827"/>
      <c r="BD985" s="577"/>
      <c r="BE985" s="578"/>
      <c r="BF985" s="578"/>
      <c r="BG985" s="578"/>
      <c r="BH985" s="578"/>
      <c r="BI985" s="578"/>
      <c r="BJ985" s="578"/>
      <c r="BK985" s="578"/>
      <c r="BL985" s="578"/>
      <c r="BM985" s="578"/>
      <c r="BN985" s="578"/>
      <c r="BO985" s="578"/>
      <c r="BP985" s="578"/>
      <c r="BQ985" s="578"/>
      <c r="BR985" s="578"/>
      <c r="BS985" s="578"/>
      <c r="BT985" s="578"/>
      <c r="BU985" s="578"/>
      <c r="BV985" s="578"/>
      <c r="BW985" s="578"/>
    </row>
    <row r="986" spans="2:75" ht="14.25" customHeight="1" x14ac:dyDescent="0.3">
      <c r="B986" s="823"/>
      <c r="D986" s="824"/>
      <c r="I986" s="825"/>
      <c r="AR986" s="826"/>
      <c r="AY986" s="827"/>
      <c r="BD986" s="577"/>
      <c r="BE986" s="578"/>
      <c r="BF986" s="578"/>
      <c r="BG986" s="578"/>
      <c r="BH986" s="578"/>
      <c r="BI986" s="578"/>
      <c r="BJ986" s="578"/>
      <c r="BK986" s="578"/>
      <c r="BL986" s="578"/>
      <c r="BM986" s="578"/>
      <c r="BN986" s="578"/>
      <c r="BO986" s="578"/>
      <c r="BP986" s="578"/>
      <c r="BQ986" s="578"/>
      <c r="BR986" s="578"/>
      <c r="BS986" s="578"/>
      <c r="BT986" s="578"/>
      <c r="BU986" s="578"/>
      <c r="BV986" s="578"/>
      <c r="BW986" s="578"/>
    </row>
    <row r="987" spans="2:75" ht="14.25" customHeight="1" x14ac:dyDescent="0.3">
      <c r="B987" s="823"/>
      <c r="D987" s="824"/>
      <c r="I987" s="825"/>
      <c r="AR987" s="826"/>
      <c r="AY987" s="827"/>
      <c r="BD987" s="577"/>
      <c r="BE987" s="578"/>
      <c r="BF987" s="578"/>
      <c r="BG987" s="578"/>
      <c r="BH987" s="578"/>
      <c r="BI987" s="578"/>
      <c r="BJ987" s="578"/>
      <c r="BK987" s="578"/>
      <c r="BL987" s="578"/>
      <c r="BM987" s="578"/>
      <c r="BN987" s="578"/>
      <c r="BO987" s="578"/>
      <c r="BP987" s="578"/>
      <c r="BQ987" s="578"/>
      <c r="BR987" s="578"/>
      <c r="BS987" s="578"/>
      <c r="BT987" s="578"/>
      <c r="BU987" s="578"/>
      <c r="BV987" s="578"/>
      <c r="BW987" s="578"/>
    </row>
    <row r="988" spans="2:75" ht="14.25" customHeight="1" x14ac:dyDescent="0.3">
      <c r="B988" s="823"/>
      <c r="D988" s="824"/>
      <c r="I988" s="825"/>
      <c r="AR988" s="826"/>
      <c r="AY988" s="827"/>
      <c r="BD988" s="577"/>
      <c r="BE988" s="578"/>
      <c r="BF988" s="578"/>
      <c r="BG988" s="578"/>
      <c r="BH988" s="578"/>
      <c r="BI988" s="578"/>
      <c r="BJ988" s="578"/>
      <c r="BK988" s="578"/>
      <c r="BL988" s="578"/>
      <c r="BM988" s="578"/>
      <c r="BN988" s="578"/>
      <c r="BO988" s="578"/>
      <c r="BP988" s="578"/>
      <c r="BQ988" s="578"/>
      <c r="BR988" s="578"/>
      <c r="BS988" s="578"/>
      <c r="BT988" s="578"/>
      <c r="BU988" s="578"/>
      <c r="BV988" s="578"/>
      <c r="BW988" s="578"/>
    </row>
    <row r="989" spans="2:75" ht="14.25" customHeight="1" x14ac:dyDescent="0.3">
      <c r="B989" s="823"/>
      <c r="D989" s="824"/>
      <c r="I989" s="825"/>
      <c r="AR989" s="826"/>
      <c r="AY989" s="827"/>
      <c r="BD989" s="577"/>
      <c r="BE989" s="578"/>
      <c r="BF989" s="578"/>
      <c r="BG989" s="578"/>
      <c r="BH989" s="578"/>
      <c r="BI989" s="578"/>
      <c r="BJ989" s="578"/>
      <c r="BK989" s="578"/>
      <c r="BL989" s="578"/>
      <c r="BM989" s="578"/>
      <c r="BN989" s="578"/>
      <c r="BO989" s="578"/>
      <c r="BP989" s="578"/>
      <c r="BQ989" s="578"/>
      <c r="BR989" s="578"/>
      <c r="BS989" s="578"/>
      <c r="BT989" s="578"/>
      <c r="BU989" s="578"/>
      <c r="BV989" s="578"/>
      <c r="BW989" s="578"/>
    </row>
    <row r="990" spans="2:75" ht="14.25" customHeight="1" x14ac:dyDescent="0.3">
      <c r="B990" s="823"/>
      <c r="D990" s="824"/>
      <c r="I990" s="825"/>
      <c r="AR990" s="826"/>
      <c r="AY990" s="827"/>
      <c r="BD990" s="577"/>
      <c r="BE990" s="578"/>
      <c r="BF990" s="578"/>
      <c r="BG990" s="578"/>
      <c r="BH990" s="578"/>
      <c r="BI990" s="578"/>
      <c r="BJ990" s="578"/>
      <c r="BK990" s="578"/>
      <c r="BL990" s="578"/>
      <c r="BM990" s="578"/>
      <c r="BN990" s="578"/>
      <c r="BO990" s="578"/>
      <c r="BP990" s="578"/>
      <c r="BQ990" s="578"/>
      <c r="BR990" s="578"/>
      <c r="BS990" s="578"/>
      <c r="BT990" s="578"/>
      <c r="BU990" s="578"/>
      <c r="BV990" s="578"/>
      <c r="BW990" s="578"/>
    </row>
    <row r="991" spans="2:75" ht="14.25" customHeight="1" x14ac:dyDescent="0.3">
      <c r="B991" s="823"/>
      <c r="D991" s="824"/>
      <c r="I991" s="825"/>
      <c r="AR991" s="826"/>
      <c r="AY991" s="827"/>
      <c r="BD991" s="577"/>
      <c r="BE991" s="578"/>
      <c r="BF991" s="578"/>
      <c r="BG991" s="578"/>
      <c r="BH991" s="578"/>
      <c r="BI991" s="578"/>
      <c r="BJ991" s="578"/>
      <c r="BK991" s="578"/>
      <c r="BL991" s="578"/>
      <c r="BM991" s="578"/>
      <c r="BN991" s="578"/>
      <c r="BO991" s="578"/>
      <c r="BP991" s="578"/>
      <c r="BQ991" s="578"/>
      <c r="BR991" s="578"/>
      <c r="BS991" s="578"/>
      <c r="BT991" s="578"/>
      <c r="BU991" s="578"/>
      <c r="BV991" s="578"/>
      <c r="BW991" s="578"/>
    </row>
    <row r="992" spans="2:75" ht="14.25" customHeight="1" x14ac:dyDescent="0.3">
      <c r="B992" s="823"/>
      <c r="D992" s="824"/>
      <c r="I992" s="825"/>
      <c r="AR992" s="826"/>
      <c r="AY992" s="827"/>
      <c r="BD992" s="577"/>
      <c r="BE992" s="578"/>
      <c r="BF992" s="578"/>
      <c r="BG992" s="578"/>
      <c r="BH992" s="578"/>
      <c r="BI992" s="578"/>
      <c r="BJ992" s="578"/>
      <c r="BK992" s="578"/>
      <c r="BL992" s="578"/>
      <c r="BM992" s="578"/>
      <c r="BN992" s="578"/>
      <c r="BO992" s="578"/>
      <c r="BP992" s="578"/>
      <c r="BQ992" s="578"/>
      <c r="BR992" s="578"/>
      <c r="BS992" s="578"/>
      <c r="BT992" s="578"/>
      <c r="BU992" s="578"/>
      <c r="BV992" s="578"/>
      <c r="BW992" s="578"/>
    </row>
    <row r="993" spans="2:75" ht="14.25" customHeight="1" x14ac:dyDescent="0.3">
      <c r="B993" s="823"/>
      <c r="D993" s="824"/>
      <c r="I993" s="825"/>
      <c r="AR993" s="826"/>
      <c r="AY993" s="827"/>
      <c r="BD993" s="577"/>
      <c r="BE993" s="578"/>
      <c r="BF993" s="578"/>
      <c r="BG993" s="578"/>
      <c r="BH993" s="578"/>
      <c r="BI993" s="578"/>
      <c r="BJ993" s="578"/>
      <c r="BK993" s="578"/>
      <c r="BL993" s="578"/>
      <c r="BM993" s="578"/>
      <c r="BN993" s="578"/>
      <c r="BO993" s="578"/>
      <c r="BP993" s="578"/>
      <c r="BQ993" s="578"/>
      <c r="BR993" s="578"/>
      <c r="BS993" s="578"/>
      <c r="BT993" s="578"/>
      <c r="BU993" s="578"/>
      <c r="BV993" s="578"/>
      <c r="BW993" s="578"/>
    </row>
    <row r="994" spans="2:75" ht="14.25" customHeight="1" x14ac:dyDescent="0.3">
      <c r="B994" s="823"/>
      <c r="D994" s="824"/>
      <c r="I994" s="825"/>
      <c r="AR994" s="826"/>
      <c r="AY994" s="827"/>
      <c r="BD994" s="577"/>
      <c r="BE994" s="578"/>
      <c r="BF994" s="578"/>
      <c r="BG994" s="578"/>
      <c r="BH994" s="578"/>
      <c r="BI994" s="578"/>
      <c r="BJ994" s="578"/>
      <c r="BK994" s="578"/>
      <c r="BL994" s="578"/>
      <c r="BM994" s="578"/>
      <c r="BN994" s="578"/>
      <c r="BO994" s="578"/>
      <c r="BP994" s="578"/>
      <c r="BQ994" s="578"/>
      <c r="BR994" s="578"/>
      <c r="BS994" s="578"/>
      <c r="BT994" s="578"/>
      <c r="BU994" s="578"/>
      <c r="BV994" s="578"/>
      <c r="BW994" s="578"/>
    </row>
    <row r="995" spans="2:75" ht="14.25" customHeight="1" x14ac:dyDescent="0.3">
      <c r="B995" s="823"/>
      <c r="D995" s="824"/>
      <c r="I995" s="825"/>
      <c r="AR995" s="826"/>
      <c r="AY995" s="827"/>
      <c r="BD995" s="577"/>
      <c r="BE995" s="578"/>
      <c r="BF995" s="578"/>
      <c r="BG995" s="578"/>
      <c r="BH995" s="578"/>
      <c r="BI995" s="578"/>
      <c r="BJ995" s="578"/>
      <c r="BK995" s="578"/>
      <c r="BL995" s="578"/>
      <c r="BM995" s="578"/>
      <c r="BN995" s="578"/>
      <c r="BO995" s="578"/>
      <c r="BP995" s="578"/>
      <c r="BQ995" s="578"/>
      <c r="BR995" s="578"/>
      <c r="BS995" s="578"/>
      <c r="BT995" s="578"/>
      <c r="BU995" s="578"/>
      <c r="BV995" s="578"/>
      <c r="BW995" s="578"/>
    </row>
    <row r="996" spans="2:75" ht="14.25" customHeight="1" x14ac:dyDescent="0.3">
      <c r="B996" s="823"/>
      <c r="D996" s="824"/>
      <c r="I996" s="825"/>
      <c r="AR996" s="826"/>
      <c r="AY996" s="827"/>
      <c r="BD996" s="577"/>
      <c r="BE996" s="578"/>
      <c r="BF996" s="578"/>
      <c r="BG996" s="578"/>
      <c r="BH996" s="578"/>
      <c r="BI996" s="578"/>
      <c r="BJ996" s="578"/>
      <c r="BK996" s="578"/>
      <c r="BL996" s="578"/>
      <c r="BM996" s="578"/>
      <c r="BN996" s="578"/>
      <c r="BO996" s="578"/>
      <c r="BP996" s="578"/>
      <c r="BQ996" s="578"/>
      <c r="BR996" s="578"/>
      <c r="BS996" s="578"/>
      <c r="BT996" s="578"/>
      <c r="BU996" s="578"/>
      <c r="BV996" s="578"/>
      <c r="BW996" s="578"/>
    </row>
    <row r="997" spans="2:75" ht="14.25" customHeight="1" x14ac:dyDescent="0.3">
      <c r="B997" s="823"/>
      <c r="D997" s="824"/>
      <c r="I997" s="825"/>
      <c r="AR997" s="826"/>
      <c r="AY997" s="827"/>
      <c r="BD997" s="577"/>
      <c r="BE997" s="578"/>
      <c r="BF997" s="578"/>
      <c r="BG997" s="578"/>
      <c r="BH997" s="578"/>
      <c r="BI997" s="578"/>
      <c r="BJ997" s="578"/>
      <c r="BK997" s="578"/>
      <c r="BL997" s="578"/>
      <c r="BM997" s="578"/>
      <c r="BN997" s="578"/>
      <c r="BO997" s="578"/>
      <c r="BP997" s="578"/>
      <c r="BQ997" s="578"/>
      <c r="BR997" s="578"/>
      <c r="BS997" s="578"/>
      <c r="BT997" s="578"/>
      <c r="BU997" s="578"/>
      <c r="BV997" s="578"/>
      <c r="BW997" s="578"/>
    </row>
    <row r="998" spans="2:75" ht="14.25" customHeight="1" x14ac:dyDescent="0.3">
      <c r="B998" s="823"/>
      <c r="D998" s="824"/>
      <c r="I998" s="825"/>
      <c r="AR998" s="826"/>
      <c r="AY998" s="827"/>
      <c r="BD998" s="577"/>
      <c r="BE998" s="578"/>
      <c r="BF998" s="578"/>
      <c r="BG998" s="578"/>
      <c r="BH998" s="578"/>
      <c r="BI998" s="578"/>
      <c r="BJ998" s="578"/>
      <c r="BK998" s="578"/>
      <c r="BL998" s="578"/>
      <c r="BM998" s="578"/>
      <c r="BN998" s="578"/>
      <c r="BO998" s="578"/>
      <c r="BP998" s="578"/>
      <c r="BQ998" s="578"/>
      <c r="BR998" s="578"/>
      <c r="BS998" s="578"/>
      <c r="BT998" s="578"/>
      <c r="BU998" s="578"/>
      <c r="BV998" s="578"/>
      <c r="BW998" s="578"/>
    </row>
    <row r="999" spans="2:75" ht="14.25" customHeight="1" x14ac:dyDescent="0.3">
      <c r="B999" s="823"/>
      <c r="D999" s="824"/>
      <c r="I999" s="825"/>
      <c r="AR999" s="826"/>
      <c r="AY999" s="827"/>
      <c r="BD999" s="577"/>
      <c r="BE999" s="578"/>
      <c r="BF999" s="578"/>
      <c r="BG999" s="578"/>
      <c r="BH999" s="578"/>
      <c r="BI999" s="578"/>
      <c r="BJ999" s="578"/>
      <c r="BK999" s="578"/>
      <c r="BL999" s="578"/>
      <c r="BM999" s="578"/>
      <c r="BN999" s="578"/>
      <c r="BO999" s="578"/>
      <c r="BP999" s="578"/>
      <c r="BQ999" s="578"/>
      <c r="BR999" s="578"/>
      <c r="BS999" s="578"/>
      <c r="BT999" s="578"/>
      <c r="BU999" s="578"/>
      <c r="BV999" s="578"/>
      <c r="BW999" s="578"/>
    </row>
    <row r="1000" spans="2:75" ht="14.25" customHeight="1" x14ac:dyDescent="0.3">
      <c r="B1000" s="823"/>
      <c r="D1000" s="824"/>
      <c r="I1000" s="825"/>
      <c r="AR1000" s="826"/>
      <c r="AY1000" s="827"/>
      <c r="BD1000" s="577"/>
      <c r="BE1000" s="578"/>
      <c r="BF1000" s="578"/>
      <c r="BG1000" s="578"/>
      <c r="BH1000" s="578"/>
      <c r="BI1000" s="578"/>
      <c r="BJ1000" s="578"/>
      <c r="BK1000" s="578"/>
      <c r="BL1000" s="578"/>
      <c r="BM1000" s="578"/>
      <c r="BN1000" s="578"/>
      <c r="BO1000" s="578"/>
      <c r="BP1000" s="578"/>
      <c r="BQ1000" s="578"/>
      <c r="BR1000" s="578"/>
      <c r="BS1000" s="578"/>
      <c r="BT1000" s="578"/>
      <c r="BU1000" s="578"/>
      <c r="BV1000" s="578"/>
      <c r="BW1000" s="578"/>
    </row>
  </sheetData>
  <mergeCells count="34">
    <mergeCell ref="B2:B4"/>
    <mergeCell ref="D2:D4"/>
    <mergeCell ref="K2:L2"/>
    <mergeCell ref="AZ2:BC2"/>
    <mergeCell ref="BC3:BC4"/>
    <mergeCell ref="AG2:AQ2"/>
    <mergeCell ref="AR2:AV2"/>
    <mergeCell ref="E2:J2"/>
    <mergeCell ref="H3:J3"/>
    <mergeCell ref="K3:L3"/>
    <mergeCell ref="M3:O3"/>
    <mergeCell ref="P3:R3"/>
    <mergeCell ref="S3:U3"/>
    <mergeCell ref="W3:Y3"/>
    <mergeCell ref="AD3:AF3"/>
    <mergeCell ref="AG3:AH3"/>
    <mergeCell ref="BA3:BA4"/>
    <mergeCell ref="BB3:BB4"/>
    <mergeCell ref="E1:AQ1"/>
    <mergeCell ref="AR1:AV1"/>
    <mergeCell ref="AW1:BC1"/>
    <mergeCell ref="AI3:AJ3"/>
    <mergeCell ref="AK3:AL3"/>
    <mergeCell ref="AM3:AN3"/>
    <mergeCell ref="AU3:AV3"/>
    <mergeCell ref="AW3:AW4"/>
    <mergeCell ref="AX3:AX4"/>
    <mergeCell ref="AY3:AY4"/>
    <mergeCell ref="AZ3:AZ4"/>
    <mergeCell ref="M2:Y2"/>
    <mergeCell ref="Z2:AF2"/>
    <mergeCell ref="AO3:AQ3"/>
    <mergeCell ref="AR3:AR4"/>
    <mergeCell ref="AS3:AT3"/>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53125" defaultRowHeight="15" customHeight="1" x14ac:dyDescent="0.35"/>
  <cols>
    <col min="1" max="1" width="12.26953125" customWidth="1"/>
    <col min="2" max="2" width="16.26953125" customWidth="1"/>
    <col min="3" max="3" width="14.7265625" customWidth="1"/>
    <col min="4" max="4" width="8.7265625" customWidth="1"/>
    <col min="5" max="5" width="14.54296875" customWidth="1"/>
    <col min="6" max="6" width="16.81640625" customWidth="1"/>
    <col min="7" max="7" width="11" customWidth="1"/>
    <col min="8" max="8" width="9.7265625" customWidth="1"/>
    <col min="9" max="9" width="21" customWidth="1"/>
    <col min="10" max="10" width="9.7265625" customWidth="1"/>
    <col min="11" max="11" width="11.26953125" customWidth="1"/>
    <col min="12" max="13" width="8.7265625" customWidth="1"/>
    <col min="14" max="14" width="13.08984375" customWidth="1"/>
    <col min="15" max="16" width="8.7265625" customWidth="1"/>
    <col min="17" max="17" width="22.81640625" customWidth="1"/>
    <col min="18" max="18" width="8.7265625" customWidth="1"/>
    <col min="19" max="19" width="9.26953125" customWidth="1"/>
    <col min="20" max="20" width="9.453125" customWidth="1"/>
    <col min="21" max="21" width="24.54296875" customWidth="1"/>
    <col min="22" max="22" width="11.7265625" customWidth="1"/>
    <col min="23" max="23" width="13.81640625" customWidth="1"/>
    <col min="24" max="24" width="15.81640625" customWidth="1"/>
    <col min="25" max="34" width="8.7265625" customWidth="1"/>
    <col min="35" max="35" width="9.26953125" customWidth="1"/>
    <col min="36" max="36" width="9.7265625" customWidth="1"/>
    <col min="37" max="37" width="9.08984375" customWidth="1"/>
  </cols>
  <sheetData>
    <row r="1" spans="1:37" ht="14.25" customHeight="1" x14ac:dyDescent="0.35">
      <c r="A1" s="23" t="s">
        <v>106</v>
      </c>
      <c r="B1" s="24"/>
      <c r="C1" s="24"/>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row>
    <row r="2" spans="1:37" ht="14.25" customHeight="1" x14ac:dyDescent="0.3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row>
    <row r="3" spans="1:37" ht="14.25" customHeight="1" x14ac:dyDescent="0.35">
      <c r="A3" s="25" t="s">
        <v>107</v>
      </c>
      <c r="B3" s="26" t="s">
        <v>108</v>
      </c>
      <c r="C3" s="27" t="s">
        <v>109</v>
      </c>
      <c r="D3" s="28"/>
      <c r="E3" s="29"/>
      <c r="F3" s="29"/>
      <c r="G3" s="29"/>
      <c r="H3" s="29"/>
      <c r="I3" s="29"/>
      <c r="J3" s="29"/>
      <c r="K3" s="29"/>
      <c r="L3" s="29"/>
      <c r="M3" s="29"/>
      <c r="N3" s="29"/>
      <c r="O3" s="29"/>
      <c r="P3" s="29"/>
      <c r="Q3" s="29"/>
      <c r="R3" s="29"/>
      <c r="S3" s="29"/>
      <c r="T3" s="29"/>
      <c r="U3" s="29"/>
      <c r="V3" s="30"/>
      <c r="W3" s="30"/>
      <c r="X3" s="30"/>
      <c r="Y3" s="29"/>
      <c r="Z3" s="29"/>
      <c r="AA3" s="29"/>
      <c r="AB3" s="29"/>
      <c r="AC3" s="29"/>
      <c r="AD3" s="29"/>
      <c r="AE3" s="29"/>
      <c r="AF3" s="29"/>
      <c r="AG3" s="29"/>
      <c r="AH3" s="29"/>
      <c r="AI3" s="31"/>
      <c r="AJ3" s="31"/>
      <c r="AK3" s="31"/>
    </row>
    <row r="4" spans="1:37" ht="14.25" customHeight="1" x14ac:dyDescent="0.35">
      <c r="A4" s="32" t="s">
        <v>110</v>
      </c>
      <c r="B4" s="33" t="s">
        <v>111</v>
      </c>
      <c r="C4" s="34" t="s">
        <v>112</v>
      </c>
      <c r="D4" s="35"/>
      <c r="E4" s="36"/>
      <c r="F4" s="36"/>
      <c r="G4" s="36"/>
      <c r="H4" s="36"/>
      <c r="I4" s="36"/>
      <c r="J4" s="36"/>
      <c r="K4" s="36"/>
      <c r="L4" s="36"/>
      <c r="M4" s="36"/>
      <c r="N4" s="36"/>
      <c r="O4" s="36"/>
      <c r="P4" s="36"/>
      <c r="Q4" s="36"/>
      <c r="R4" s="36"/>
      <c r="S4" s="36"/>
      <c r="T4" s="36"/>
      <c r="U4" s="36"/>
      <c r="V4" s="30"/>
      <c r="W4" s="30"/>
      <c r="X4" s="30"/>
      <c r="Y4" s="36"/>
      <c r="Z4" s="36"/>
      <c r="AA4" s="36"/>
      <c r="AB4" s="36"/>
      <c r="AC4" s="36"/>
      <c r="AD4" s="36"/>
      <c r="AE4" s="36"/>
      <c r="AF4" s="36"/>
      <c r="AG4" s="36"/>
      <c r="AH4" s="36"/>
      <c r="AI4" s="37"/>
      <c r="AJ4" s="37"/>
      <c r="AK4" s="37"/>
    </row>
    <row r="5" spans="1:37" ht="14.25" customHeight="1" x14ac:dyDescent="0.35">
      <c r="A5" s="38"/>
      <c r="B5" s="18"/>
      <c r="C5" s="39"/>
      <c r="I5" s="18"/>
      <c r="J5" s="18"/>
      <c r="K5" s="18"/>
      <c r="N5" s="18"/>
      <c r="O5" s="18"/>
      <c r="P5" s="18"/>
      <c r="Q5" s="18"/>
    </row>
    <row r="6" spans="1:37" ht="14.25" customHeight="1" x14ac:dyDescent="0.35">
      <c r="A6" s="40">
        <v>657.38599999999997</v>
      </c>
      <c r="B6" s="41">
        <v>4.4999999999999998E-2</v>
      </c>
      <c r="C6" s="42">
        <v>6.0000000000000001E-3</v>
      </c>
      <c r="D6" s="43"/>
      <c r="E6" s="43"/>
      <c r="F6" s="43"/>
      <c r="G6" s="43"/>
      <c r="H6" s="43"/>
      <c r="I6" s="43"/>
      <c r="J6" s="43"/>
      <c r="K6" s="43"/>
      <c r="L6" s="43"/>
      <c r="M6" s="43"/>
      <c r="N6" s="43"/>
      <c r="O6" s="43"/>
      <c r="P6" s="43"/>
      <c r="Q6" s="43"/>
      <c r="R6" s="44"/>
      <c r="S6" s="44"/>
      <c r="T6" s="44"/>
      <c r="U6" s="44"/>
      <c r="Y6" s="44"/>
      <c r="Z6" s="44"/>
      <c r="AA6" s="44"/>
      <c r="AB6" s="44"/>
      <c r="AC6" s="44"/>
      <c r="AD6" s="44"/>
      <c r="AE6" s="44"/>
      <c r="AF6" s="44"/>
      <c r="AG6" s="44"/>
      <c r="AH6" s="44"/>
      <c r="AI6" s="44"/>
      <c r="AJ6" s="44"/>
      <c r="AK6" s="44"/>
    </row>
    <row r="7" spans="1:37" ht="14.25" customHeight="1" x14ac:dyDescent="0.35">
      <c r="I7" s="18"/>
      <c r="J7" s="18"/>
    </row>
    <row r="8" spans="1:37" ht="14.25" customHeight="1" x14ac:dyDescent="0.35">
      <c r="I8" s="45"/>
      <c r="J8" s="18"/>
      <c r="N8" s="46"/>
    </row>
    <row r="9" spans="1:37" ht="14.25" customHeight="1" x14ac:dyDescent="0.35">
      <c r="A9" s="545" t="s">
        <v>113</v>
      </c>
      <c r="B9" s="533"/>
      <c r="C9" s="535"/>
      <c r="I9" s="46"/>
      <c r="J9" s="18"/>
    </row>
    <row r="10" spans="1:37" ht="14.25" customHeight="1" x14ac:dyDescent="0.35">
      <c r="A10" s="47"/>
      <c r="B10" s="48"/>
      <c r="C10" s="49"/>
      <c r="I10" s="46"/>
      <c r="J10" s="18"/>
    </row>
    <row r="11" spans="1:37" ht="14.25" customHeight="1" x14ac:dyDescent="0.35">
      <c r="A11" s="50">
        <f>A6/1000</f>
        <v>0.65738599999999991</v>
      </c>
      <c r="B11" s="51">
        <f>B6*O28</f>
        <v>4.4999999999999996E-5</v>
      </c>
      <c r="C11" s="52">
        <f>C6*O28</f>
        <v>6.0000000000000002E-6</v>
      </c>
      <c r="I11" s="53"/>
      <c r="J11" s="18"/>
      <c r="N11" s="53"/>
    </row>
    <row r="12" spans="1:37" ht="14.25" customHeight="1" x14ac:dyDescent="0.35">
      <c r="I12" s="54"/>
      <c r="J12" s="54"/>
      <c r="K12" s="54"/>
      <c r="L12" s="54"/>
      <c r="M12" s="54"/>
      <c r="N12" s="54"/>
    </row>
    <row r="13" spans="1:37" ht="14.25" customHeight="1" x14ac:dyDescent="0.35"/>
    <row r="14" spans="1:37" ht="14.25" customHeight="1" x14ac:dyDescent="0.35">
      <c r="A14" s="545" t="s">
        <v>114</v>
      </c>
      <c r="B14" s="533"/>
      <c r="C14" s="535"/>
    </row>
    <row r="15" spans="1:37" ht="14.25" customHeight="1" x14ac:dyDescent="0.35">
      <c r="A15" s="55" t="s">
        <v>115</v>
      </c>
      <c r="B15" s="56" t="s">
        <v>116</v>
      </c>
      <c r="C15" s="57" t="s">
        <v>117</v>
      </c>
    </row>
    <row r="16" spans="1:37" ht="14.25" customHeight="1" x14ac:dyDescent="0.35">
      <c r="A16" s="58">
        <v>1</v>
      </c>
      <c r="B16" s="59">
        <v>28</v>
      </c>
      <c r="C16" s="60">
        <v>265</v>
      </c>
    </row>
    <row r="17" spans="1:21" ht="14.25" customHeight="1" x14ac:dyDescent="0.35">
      <c r="A17" s="61">
        <f t="shared" ref="A17:C17" si="0">A11*A16</f>
        <v>0.65738599999999991</v>
      </c>
      <c r="B17" s="51">
        <f t="shared" si="0"/>
        <v>1.2599999999999998E-3</v>
      </c>
      <c r="C17" s="62">
        <f t="shared" si="0"/>
        <v>1.5900000000000001E-3</v>
      </c>
    </row>
    <row r="18" spans="1:21" ht="14.25" customHeight="1" x14ac:dyDescent="0.35">
      <c r="A18" s="22"/>
      <c r="B18" s="22"/>
      <c r="C18" s="22"/>
    </row>
    <row r="19" spans="1:21" ht="14.25" customHeight="1" x14ac:dyDescent="0.35">
      <c r="A19" s="546" t="s">
        <v>118</v>
      </c>
      <c r="B19" s="533"/>
      <c r="C19" s="535"/>
    </row>
    <row r="20" spans="1:21" ht="14.25" customHeight="1" x14ac:dyDescent="0.35">
      <c r="A20" s="63"/>
      <c r="B20" s="64">
        <f>A17+B17+C17</f>
        <v>0.66023599999999993</v>
      </c>
      <c r="C20" s="65"/>
    </row>
    <row r="21" spans="1:21" ht="14.25" customHeight="1" x14ac:dyDescent="0.35"/>
    <row r="22" spans="1:21" ht="14.25" customHeight="1" x14ac:dyDescent="0.35"/>
    <row r="23" spans="1:21" ht="14.25" customHeight="1" x14ac:dyDescent="0.35"/>
    <row r="24" spans="1:21" ht="14.25" customHeight="1" x14ac:dyDescent="0.35">
      <c r="A24" s="23" t="s">
        <v>119</v>
      </c>
      <c r="B24" s="24"/>
      <c r="C24" s="24"/>
      <c r="D24" s="24"/>
      <c r="E24" s="24"/>
      <c r="F24" s="24"/>
      <c r="G24" s="24"/>
      <c r="H24" s="24"/>
      <c r="I24" s="24"/>
      <c r="J24" s="24"/>
      <c r="K24" s="24"/>
      <c r="L24" s="24"/>
      <c r="M24" s="24"/>
      <c r="N24" s="24"/>
      <c r="O24" s="24"/>
      <c r="P24" s="24"/>
      <c r="Q24" s="24"/>
    </row>
    <row r="25" spans="1:21" ht="14.25" customHeight="1" x14ac:dyDescent="0.35"/>
    <row r="26" spans="1:21" ht="14.25" customHeight="1" x14ac:dyDescent="0.35">
      <c r="J26" s="66" t="s">
        <v>120</v>
      </c>
      <c r="K26" s="67"/>
      <c r="L26" s="67"/>
      <c r="M26" s="68"/>
      <c r="Q26" s="69" t="s">
        <v>121</v>
      </c>
    </row>
    <row r="27" spans="1:21" ht="14.25" customHeight="1" x14ac:dyDescent="0.35">
      <c r="A27" s="70" t="s">
        <v>122</v>
      </c>
      <c r="C27" s="53">
        <v>7845675</v>
      </c>
      <c r="D27" s="70" t="s">
        <v>123</v>
      </c>
      <c r="J27" s="38">
        <v>1</v>
      </c>
      <c r="K27" s="18" t="s">
        <v>124</v>
      </c>
      <c r="L27" s="18">
        <v>2000</v>
      </c>
      <c r="M27" s="39" t="s">
        <v>125</v>
      </c>
      <c r="Q27" s="71">
        <f>C28-C29</f>
        <v>232872849</v>
      </c>
    </row>
    <row r="28" spans="1:21" ht="14.25" customHeight="1" x14ac:dyDescent="0.35">
      <c r="A28" s="70" t="s">
        <v>126</v>
      </c>
      <c r="C28" s="53">
        <v>239261130</v>
      </c>
      <c r="D28" s="70" t="s">
        <v>127</v>
      </c>
      <c r="J28" s="38">
        <v>1</v>
      </c>
      <c r="K28" s="18" t="s">
        <v>128</v>
      </c>
      <c r="L28" s="18">
        <v>1000</v>
      </c>
      <c r="M28" s="39" t="s">
        <v>129</v>
      </c>
      <c r="O28" s="70">
        <v>1E-3</v>
      </c>
      <c r="Q28" s="72">
        <f>C27/Q27</f>
        <v>3.3690810387259872E-2</v>
      </c>
    </row>
    <row r="29" spans="1:21" ht="14.25" customHeight="1" x14ac:dyDescent="0.35">
      <c r="A29" s="70" t="s">
        <v>130</v>
      </c>
      <c r="C29" s="53">
        <v>6388281</v>
      </c>
      <c r="J29" s="38">
        <v>1</v>
      </c>
      <c r="K29" s="18" t="s">
        <v>131</v>
      </c>
      <c r="L29" s="18">
        <v>1000000</v>
      </c>
      <c r="M29" s="39" t="s">
        <v>129</v>
      </c>
      <c r="Q29" s="73" t="s">
        <v>132</v>
      </c>
    </row>
    <row r="30" spans="1:21" ht="14.25" customHeight="1" x14ac:dyDescent="0.35">
      <c r="J30" s="74">
        <v>1</v>
      </c>
      <c r="K30" s="75" t="s">
        <v>133</v>
      </c>
      <c r="L30" s="75">
        <v>2204.6226200000001</v>
      </c>
      <c r="M30" s="76" t="s">
        <v>125</v>
      </c>
      <c r="Q30" s="77">
        <f>1+Q28</f>
        <v>1.03369081038726</v>
      </c>
    </row>
    <row r="31" spans="1:21" ht="14.25" customHeight="1" x14ac:dyDescent="0.35">
      <c r="A31" s="70" t="s">
        <v>134</v>
      </c>
    </row>
    <row r="32" spans="1:21" ht="14.25" customHeight="1" x14ac:dyDescent="0.35">
      <c r="A32" s="78" t="s">
        <v>135</v>
      </c>
      <c r="U32" s="45"/>
    </row>
    <row r="33" spans="5:21" ht="14.25" customHeight="1" x14ac:dyDescent="0.35">
      <c r="U33" s="45"/>
    </row>
    <row r="34" spans="5:21" ht="14.25" customHeight="1" x14ac:dyDescent="0.35">
      <c r="E34" s="547" t="s">
        <v>136</v>
      </c>
      <c r="F34" s="548"/>
      <c r="G34" s="549"/>
    </row>
    <row r="35" spans="5:21" ht="25.5" customHeight="1" x14ac:dyDescent="0.35">
      <c r="E35" s="550" t="s">
        <v>137</v>
      </c>
      <c r="F35" s="537"/>
      <c r="G35" s="538"/>
    </row>
    <row r="36" spans="5:21" ht="29.25" customHeight="1" x14ac:dyDescent="0.35">
      <c r="E36" s="551" t="s">
        <v>138</v>
      </c>
      <c r="F36" s="537"/>
      <c r="G36" s="538"/>
    </row>
    <row r="37" spans="5:21" ht="57.75" customHeight="1" x14ac:dyDescent="0.35">
      <c r="E37" s="552" t="s">
        <v>139</v>
      </c>
      <c r="F37" s="537"/>
      <c r="G37" s="538"/>
    </row>
    <row r="38" spans="5:21" ht="4.5" customHeight="1" x14ac:dyDescent="0.35">
      <c r="E38" s="79"/>
      <c r="F38" s="18"/>
      <c r="G38" s="39"/>
    </row>
    <row r="39" spans="5:21" ht="27.75" customHeight="1" x14ac:dyDescent="0.35">
      <c r="E39" s="536" t="s">
        <v>140</v>
      </c>
      <c r="F39" s="537"/>
      <c r="G39" s="538"/>
    </row>
    <row r="40" spans="5:21" ht="14.25" customHeight="1" x14ac:dyDescent="0.35">
      <c r="E40" s="80" t="s">
        <v>141</v>
      </c>
      <c r="F40" s="81" t="s">
        <v>142</v>
      </c>
      <c r="G40" s="82" t="s">
        <v>143</v>
      </c>
    </row>
    <row r="41" spans="5:21" ht="14.25" customHeight="1" x14ac:dyDescent="0.35">
      <c r="E41" s="83" t="s">
        <v>144</v>
      </c>
      <c r="F41" s="84"/>
      <c r="G41" s="85" t="s">
        <v>145</v>
      </c>
    </row>
    <row r="42" spans="5:21" ht="14.25" customHeight="1" x14ac:dyDescent="0.35">
      <c r="E42" s="83" t="s">
        <v>146</v>
      </c>
      <c r="F42" s="86">
        <v>49066</v>
      </c>
      <c r="G42" s="85">
        <v>4</v>
      </c>
    </row>
    <row r="43" spans="5:21" ht="14.25" customHeight="1" x14ac:dyDescent="0.35">
      <c r="E43" s="87" t="s">
        <v>147</v>
      </c>
      <c r="F43" s="88">
        <v>59</v>
      </c>
      <c r="G43" s="89">
        <v>47</v>
      </c>
    </row>
    <row r="44" spans="5:21" ht="14.25" customHeight="1" x14ac:dyDescent="0.35">
      <c r="E44" s="87" t="s">
        <v>148</v>
      </c>
      <c r="F44" s="90">
        <v>49007</v>
      </c>
      <c r="G44" s="89">
        <v>3</v>
      </c>
    </row>
    <row r="45" spans="5:21" ht="14.25" customHeight="1" x14ac:dyDescent="0.35">
      <c r="E45" s="83" t="s">
        <v>149</v>
      </c>
      <c r="F45" s="86">
        <v>239261130</v>
      </c>
      <c r="G45" s="85">
        <v>3</v>
      </c>
    </row>
    <row r="46" spans="5:21" ht="14.25" customHeight="1" x14ac:dyDescent="0.35">
      <c r="E46" s="87" t="s">
        <v>147</v>
      </c>
      <c r="F46" s="90">
        <v>130000</v>
      </c>
      <c r="G46" s="89">
        <v>45</v>
      </c>
    </row>
    <row r="47" spans="5:21" ht="14.25" customHeight="1" x14ac:dyDescent="0.35">
      <c r="E47" s="87" t="s">
        <v>148</v>
      </c>
      <c r="F47" s="90">
        <v>239131130</v>
      </c>
      <c r="G47" s="89">
        <v>2</v>
      </c>
    </row>
    <row r="48" spans="5:21" ht="14.25" customHeight="1" x14ac:dyDescent="0.35">
      <c r="E48" s="539" t="s">
        <v>150</v>
      </c>
      <c r="F48" s="540"/>
      <c r="G48" s="541"/>
    </row>
    <row r="49" spans="5:7" ht="14.25" customHeight="1" x14ac:dyDescent="0.35">
      <c r="E49" s="87" t="s">
        <v>151</v>
      </c>
      <c r="F49" s="90">
        <v>44304</v>
      </c>
      <c r="G49" s="89">
        <v>10</v>
      </c>
    </row>
    <row r="50" spans="5:7" ht="14.25" customHeight="1" x14ac:dyDescent="0.35">
      <c r="E50" s="87" t="s">
        <v>152</v>
      </c>
      <c r="F50" s="90">
        <v>43071</v>
      </c>
      <c r="G50" s="89">
        <v>10</v>
      </c>
    </row>
    <row r="51" spans="5:7" ht="14.25" customHeight="1" x14ac:dyDescent="0.35">
      <c r="E51" s="87" t="s">
        <v>153</v>
      </c>
      <c r="F51" s="90">
        <v>77555</v>
      </c>
      <c r="G51" s="89">
        <v>3</v>
      </c>
    </row>
    <row r="52" spans="5:7" ht="14.25" customHeight="1" x14ac:dyDescent="0.35">
      <c r="E52" s="87" t="s">
        <v>154</v>
      </c>
      <c r="F52" s="88">
        <v>0.4</v>
      </c>
      <c r="G52" s="89">
        <v>29</v>
      </c>
    </row>
    <row r="53" spans="5:7" ht="14.25" customHeight="1" x14ac:dyDescent="0.35">
      <c r="E53" s="87" t="s">
        <v>155</v>
      </c>
      <c r="F53" s="88">
        <v>0.4</v>
      </c>
      <c r="G53" s="89">
        <v>42</v>
      </c>
    </row>
    <row r="54" spans="5:7" ht="14.25" customHeight="1" x14ac:dyDescent="0.35">
      <c r="E54" s="87" t="s">
        <v>156</v>
      </c>
      <c r="F54" s="88">
        <v>713</v>
      </c>
      <c r="G54" s="89">
        <v>32</v>
      </c>
    </row>
    <row r="55" spans="5:7" ht="14.25" customHeight="1" x14ac:dyDescent="0.35">
      <c r="E55" s="83" t="s">
        <v>157</v>
      </c>
      <c r="F55" s="86">
        <v>145044592</v>
      </c>
      <c r="G55" s="85">
        <v>5</v>
      </c>
    </row>
    <row r="56" spans="5:7" ht="14.25" customHeight="1" x14ac:dyDescent="0.35">
      <c r="E56" s="87" t="s">
        <v>158</v>
      </c>
      <c r="F56" s="90">
        <v>58067894</v>
      </c>
      <c r="G56" s="89">
        <v>21</v>
      </c>
    </row>
    <row r="57" spans="5:7" ht="14.25" customHeight="1" x14ac:dyDescent="0.35">
      <c r="E57" s="87" t="s">
        <v>159</v>
      </c>
      <c r="F57" s="90">
        <v>86976698</v>
      </c>
      <c r="G57" s="89">
        <v>2</v>
      </c>
    </row>
    <row r="58" spans="5:7" ht="14.25" customHeight="1" x14ac:dyDescent="0.35">
      <c r="E58" s="83" t="s">
        <v>160</v>
      </c>
      <c r="F58" s="86">
        <v>6388281</v>
      </c>
      <c r="G58" s="85">
        <v>5</v>
      </c>
    </row>
    <row r="59" spans="5:7" ht="14.25" customHeight="1" x14ac:dyDescent="0.35">
      <c r="E59" s="83" t="s">
        <v>161</v>
      </c>
      <c r="F59" s="84">
        <v>11.86</v>
      </c>
      <c r="G59" s="85">
        <v>20</v>
      </c>
    </row>
    <row r="60" spans="5:7" ht="117" customHeight="1" x14ac:dyDescent="0.35">
      <c r="E60" s="542" t="s">
        <v>162</v>
      </c>
      <c r="F60" s="543"/>
      <c r="G60" s="544"/>
    </row>
    <row r="61" spans="5:7" ht="14.25" customHeight="1" x14ac:dyDescent="0.35"/>
    <row r="62" spans="5:7" ht="14.25" customHeight="1" x14ac:dyDescent="0.35"/>
    <row r="63" spans="5:7" ht="14.25" customHeight="1" x14ac:dyDescent="0.35"/>
    <row r="64" spans="5:7"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0">
    <mergeCell ref="E39:G39"/>
    <mergeCell ref="E48:G48"/>
    <mergeCell ref="E60:G60"/>
    <mergeCell ref="A9:C9"/>
    <mergeCell ref="A14:C14"/>
    <mergeCell ref="A19:C19"/>
    <mergeCell ref="E34:G34"/>
    <mergeCell ref="E35:G35"/>
    <mergeCell ref="E36:G36"/>
    <mergeCell ref="E37:G37"/>
  </mergeCells>
  <hyperlinks>
    <hyperlink ref="A32" r:id="rId1" xr:uid="{00000000-0004-0000-0100-000000000000}"/>
  </hyperlink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O1000"/>
  <sheetViews>
    <sheetView workbookViewId="0"/>
  </sheetViews>
  <sheetFormatPr defaultColWidth="14.453125" defaultRowHeight="15" customHeight="1" x14ac:dyDescent="0.35"/>
  <cols>
    <col min="1" max="1" width="8.7265625" customWidth="1"/>
    <col min="2" max="2" width="10.08984375" customWidth="1"/>
    <col min="3" max="3" width="11.453125" customWidth="1"/>
    <col min="4" max="4" width="12.08984375" customWidth="1"/>
    <col min="5" max="5" width="22.7265625" customWidth="1"/>
    <col min="6" max="6" width="11.08984375" customWidth="1"/>
    <col min="7" max="7" width="12.7265625" customWidth="1"/>
    <col min="8" max="8" width="12.08984375" customWidth="1"/>
    <col min="9" max="9" width="12.81640625" customWidth="1"/>
    <col min="10" max="10" width="17.26953125" customWidth="1"/>
    <col min="11" max="11" width="13" customWidth="1"/>
    <col min="12" max="12" width="10.54296875" customWidth="1"/>
    <col min="13" max="13" width="12.08984375" customWidth="1"/>
    <col min="14" max="14" width="10.54296875" customWidth="1"/>
    <col min="15" max="15" width="12.26953125" customWidth="1"/>
    <col min="16" max="16" width="12.7265625" customWidth="1"/>
    <col min="17" max="17" width="12.08984375" customWidth="1"/>
    <col min="18" max="18" width="10.08984375" customWidth="1"/>
    <col min="19" max="19" width="12.08984375" customWidth="1"/>
    <col min="20" max="20" width="10.08984375" customWidth="1"/>
    <col min="21" max="21" width="12.08984375" customWidth="1"/>
    <col min="22" max="22" width="10.54296875" customWidth="1"/>
    <col min="23" max="23" width="12.54296875" customWidth="1"/>
    <col min="24" max="24" width="11.08984375" customWidth="1"/>
    <col min="25" max="25" width="12.54296875" customWidth="1"/>
    <col min="26" max="26" width="11.08984375" customWidth="1"/>
    <col min="27" max="27" width="12" customWidth="1"/>
    <col min="28" max="28" width="12.08984375" customWidth="1"/>
    <col min="29" max="29" width="13.26953125" customWidth="1"/>
    <col min="30" max="30" width="12.08984375" customWidth="1"/>
    <col min="31" max="31" width="13.7265625" customWidth="1"/>
    <col min="32" max="32" width="10.54296875" customWidth="1"/>
    <col min="33" max="33" width="14.7265625" customWidth="1"/>
    <col min="34" max="34" width="10.54296875" customWidth="1"/>
    <col min="35" max="35" width="15.453125" customWidth="1"/>
    <col min="36" max="36" width="10.54296875" customWidth="1"/>
    <col min="37" max="37" width="13.26953125" customWidth="1"/>
    <col min="38" max="38" width="11.08984375" customWidth="1"/>
    <col min="39" max="39" width="12.54296875" customWidth="1"/>
    <col min="40" max="40" width="10.54296875" customWidth="1"/>
    <col min="41" max="41" width="13.81640625" customWidth="1"/>
    <col min="42" max="42" width="12.08984375" customWidth="1"/>
    <col min="43" max="43" width="13.26953125" customWidth="1"/>
    <col min="44" max="44" width="12.08984375" customWidth="1"/>
    <col min="45" max="45" width="13.26953125" customWidth="1"/>
    <col min="46" max="46" width="12.08984375" customWidth="1"/>
    <col min="47" max="47" width="13.81640625" customWidth="1"/>
    <col min="48" max="48" width="10.54296875" customWidth="1"/>
    <col min="49" max="49" width="14.26953125" customWidth="1"/>
    <col min="50" max="50" width="10.54296875" customWidth="1"/>
    <col min="51" max="51" width="13.7265625" customWidth="1"/>
    <col min="52" max="52" width="15.08984375" customWidth="1"/>
    <col min="53" max="53" width="13.54296875" customWidth="1"/>
    <col min="54" max="54" width="15" customWidth="1"/>
    <col min="55" max="55" width="15.26953125" customWidth="1"/>
    <col min="56" max="56" width="12.54296875" customWidth="1"/>
    <col min="57" max="57" width="12.7265625" customWidth="1"/>
    <col min="58" max="58" width="18.26953125" customWidth="1"/>
    <col min="59" max="59" width="14.54296875" customWidth="1"/>
    <col min="60" max="60" width="10.08984375" customWidth="1"/>
    <col min="61" max="61" width="17.453125" customWidth="1"/>
    <col min="62" max="62" width="11.54296875" customWidth="1"/>
    <col min="63" max="63" width="13.54296875" customWidth="1"/>
    <col min="64" max="65" width="13.26953125" customWidth="1"/>
    <col min="66" max="66" width="14.453125" customWidth="1"/>
    <col min="67" max="67" width="13.7265625" customWidth="1"/>
  </cols>
  <sheetData>
    <row r="1" spans="1:67" ht="14.25" customHeight="1" x14ac:dyDescent="0.35">
      <c r="A1" s="23" t="s">
        <v>163</v>
      </c>
      <c r="B1" s="23"/>
      <c r="C1" s="23"/>
      <c r="D1" s="23"/>
      <c r="E1" s="23"/>
      <c r="F1" s="23"/>
      <c r="G1" s="23"/>
      <c r="H1" s="23"/>
      <c r="I1" s="23"/>
      <c r="J1" s="23"/>
      <c r="K1" s="23"/>
      <c r="L1" s="23"/>
      <c r="M1" s="23"/>
      <c r="N1" s="23"/>
      <c r="O1" s="23"/>
      <c r="P1" s="23"/>
      <c r="Q1" s="23"/>
      <c r="R1" s="23"/>
      <c r="S1" s="23"/>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row>
    <row r="2" spans="1:67" ht="14.25" customHeight="1" x14ac:dyDescent="0.35"/>
    <row r="3" spans="1:67" ht="14.25" customHeight="1" x14ac:dyDescent="0.35">
      <c r="A3" s="70" t="s">
        <v>164</v>
      </c>
      <c r="C3" s="70">
        <v>5.0000000000000001E-3</v>
      </c>
      <c r="D3" s="70" t="s">
        <v>165</v>
      </c>
      <c r="E3" s="92" t="s">
        <v>166</v>
      </c>
      <c r="F3" s="78" t="s">
        <v>167</v>
      </c>
    </row>
    <row r="4" spans="1:67" ht="30" customHeight="1" x14ac:dyDescent="0.35">
      <c r="C4" s="553" t="s">
        <v>168</v>
      </c>
      <c r="D4" s="537"/>
      <c r="E4" s="537"/>
      <c r="F4" s="93" t="s">
        <v>169</v>
      </c>
    </row>
    <row r="5" spans="1:67" ht="14.25" customHeight="1" x14ac:dyDescent="0.35">
      <c r="C5" s="70" t="s">
        <v>170</v>
      </c>
      <c r="F5" s="78" t="s">
        <v>171</v>
      </c>
      <c r="G5" s="94"/>
    </row>
    <row r="6" spans="1:67" ht="14.25" customHeight="1" x14ac:dyDescent="0.35"/>
    <row r="7" spans="1:67" ht="14.25" customHeight="1" x14ac:dyDescent="0.35">
      <c r="A7" s="70" t="s">
        <v>172</v>
      </c>
      <c r="C7" s="70">
        <v>25</v>
      </c>
      <c r="D7" s="70" t="s">
        <v>173</v>
      </c>
    </row>
    <row r="8" spans="1:67" ht="14.25" customHeight="1" x14ac:dyDescent="0.35">
      <c r="D8" s="70" t="s">
        <v>174</v>
      </c>
    </row>
    <row r="9" spans="1:67" ht="14.25" customHeight="1" x14ac:dyDescent="0.35"/>
    <row r="10" spans="1:67" ht="14.25" customHeight="1" x14ac:dyDescent="0.35"/>
    <row r="11" spans="1:67" ht="14.25" customHeight="1" x14ac:dyDescent="0.35">
      <c r="A11" s="23" t="s">
        <v>175</v>
      </c>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row>
    <row r="12" spans="1:67" ht="57" customHeight="1" x14ac:dyDescent="0.35">
      <c r="A12" s="91"/>
      <c r="B12" s="95"/>
      <c r="C12" s="96"/>
      <c r="D12" s="554" t="s">
        <v>176</v>
      </c>
      <c r="E12" s="535"/>
      <c r="F12" s="554" t="s">
        <v>177</v>
      </c>
      <c r="G12" s="535"/>
      <c r="H12" s="545" t="s">
        <v>178</v>
      </c>
      <c r="I12" s="535"/>
      <c r="J12" s="554" t="s">
        <v>179</v>
      </c>
      <c r="K12" s="535"/>
      <c r="L12" s="554" t="s">
        <v>180</v>
      </c>
      <c r="M12" s="535"/>
      <c r="N12" s="554" t="s">
        <v>181</v>
      </c>
      <c r="O12" s="535"/>
      <c r="P12" s="554" t="s">
        <v>182</v>
      </c>
      <c r="Q12" s="535"/>
      <c r="R12" s="554" t="s">
        <v>183</v>
      </c>
      <c r="S12" s="535"/>
      <c r="T12" s="554" t="s">
        <v>184</v>
      </c>
      <c r="U12" s="535"/>
      <c r="V12" s="545" t="s">
        <v>185</v>
      </c>
      <c r="W12" s="535"/>
      <c r="X12" s="554" t="s">
        <v>186</v>
      </c>
      <c r="Y12" s="535"/>
      <c r="Z12" s="554" t="s">
        <v>187</v>
      </c>
      <c r="AA12" s="535"/>
      <c r="AB12" s="554" t="s">
        <v>188</v>
      </c>
      <c r="AC12" s="535"/>
      <c r="AD12" s="554" t="s">
        <v>189</v>
      </c>
      <c r="AE12" s="535"/>
      <c r="AF12" s="554" t="s">
        <v>190</v>
      </c>
      <c r="AG12" s="535"/>
      <c r="AH12" s="554" t="s">
        <v>191</v>
      </c>
      <c r="AI12" s="535"/>
      <c r="AJ12" s="554" t="s">
        <v>192</v>
      </c>
      <c r="AK12" s="535"/>
      <c r="AL12" s="554" t="s">
        <v>193</v>
      </c>
      <c r="AM12" s="535"/>
      <c r="AN12" s="554" t="s">
        <v>194</v>
      </c>
      <c r="AO12" s="535"/>
      <c r="AP12" s="554" t="s">
        <v>195</v>
      </c>
      <c r="AQ12" s="535"/>
      <c r="AR12" s="545" t="s">
        <v>196</v>
      </c>
      <c r="AS12" s="535"/>
      <c r="AT12" s="554" t="s">
        <v>197</v>
      </c>
      <c r="AU12" s="535"/>
      <c r="AV12" s="554" t="s">
        <v>198</v>
      </c>
      <c r="AW12" s="535"/>
      <c r="AX12" s="545" t="s">
        <v>199</v>
      </c>
      <c r="AY12" s="533"/>
      <c r="AZ12" s="533"/>
      <c r="BA12" s="535"/>
      <c r="BB12" s="554" t="s">
        <v>200</v>
      </c>
      <c r="BC12" s="535"/>
      <c r="BD12" s="545" t="s">
        <v>201</v>
      </c>
      <c r="BE12" s="535"/>
      <c r="BF12" s="554" t="s">
        <v>202</v>
      </c>
      <c r="BG12" s="535"/>
      <c r="BH12" s="554" t="s">
        <v>203</v>
      </c>
      <c r="BI12" s="535"/>
      <c r="BJ12" s="554" t="s">
        <v>204</v>
      </c>
      <c r="BK12" s="535"/>
      <c r="BL12" s="554" t="s">
        <v>205</v>
      </c>
      <c r="BM12" s="535"/>
      <c r="BN12" s="545" t="s">
        <v>206</v>
      </c>
      <c r="BO12" s="535"/>
    </row>
    <row r="13" spans="1:67" ht="43.5" customHeight="1" x14ac:dyDescent="0.35">
      <c r="A13" s="91"/>
      <c r="B13" s="95"/>
      <c r="C13" s="97" t="s">
        <v>207</v>
      </c>
      <c r="D13" s="98"/>
      <c r="E13" s="99"/>
      <c r="F13" s="100"/>
      <c r="G13" s="99"/>
      <c r="H13" s="101"/>
      <c r="I13" s="102"/>
      <c r="J13" s="100"/>
      <c r="K13" s="99"/>
      <c r="L13" s="100"/>
      <c r="M13" s="99"/>
      <c r="N13" s="100"/>
      <c r="O13" s="99"/>
      <c r="P13" s="100"/>
      <c r="Q13" s="99"/>
      <c r="R13" s="100"/>
      <c r="S13" s="99"/>
      <c r="T13" s="100"/>
      <c r="U13" s="99"/>
      <c r="V13" s="101"/>
      <c r="W13" s="102"/>
      <c r="X13" s="100"/>
      <c r="Y13" s="99"/>
      <c r="Z13" s="100"/>
      <c r="AA13" s="99"/>
      <c r="AB13" s="100"/>
      <c r="AC13" s="99"/>
      <c r="AD13" s="100"/>
      <c r="AE13" s="99"/>
      <c r="AF13" s="100"/>
      <c r="AG13" s="99"/>
      <c r="AH13" s="100"/>
      <c r="AI13" s="99"/>
      <c r="AJ13" s="100"/>
      <c r="AK13" s="99"/>
      <c r="AL13" s="100"/>
      <c r="AM13" s="99"/>
      <c r="AN13" s="100"/>
      <c r="AO13" s="99"/>
      <c r="AP13" s="101"/>
      <c r="AQ13" s="102"/>
      <c r="AR13" s="101"/>
      <c r="AS13" s="102"/>
      <c r="AT13" s="98"/>
      <c r="AU13" s="103"/>
      <c r="AV13" s="98"/>
      <c r="AW13" s="103"/>
      <c r="AX13" s="100" t="s">
        <v>208</v>
      </c>
      <c r="AY13" s="104" t="s">
        <v>209</v>
      </c>
      <c r="AZ13" s="104" t="s">
        <v>210</v>
      </c>
      <c r="BA13" s="105"/>
      <c r="BB13" s="106"/>
      <c r="BC13" s="105"/>
      <c r="BD13" s="106"/>
      <c r="BE13" s="105"/>
      <c r="BF13" s="106"/>
      <c r="BG13" s="105"/>
      <c r="BH13" s="106"/>
      <c r="BI13" s="105"/>
      <c r="BJ13" s="106"/>
      <c r="BK13" s="105"/>
      <c r="BL13" s="106"/>
      <c r="BM13" s="105"/>
      <c r="BN13" s="107"/>
      <c r="BO13" s="108"/>
    </row>
    <row r="14" spans="1:67" ht="27" customHeight="1" x14ac:dyDescent="0.35">
      <c r="A14" s="555" t="s">
        <v>211</v>
      </c>
      <c r="B14" s="534"/>
      <c r="C14" s="109">
        <v>1</v>
      </c>
      <c r="D14" s="110">
        <f>'Final Project Calcs'!H8</f>
        <v>441229.38854481687</v>
      </c>
      <c r="E14" s="111" t="s">
        <v>212</v>
      </c>
      <c r="F14" s="110">
        <f>'Final Project Calcs'!H9</f>
        <v>37037.500927193076</v>
      </c>
      <c r="G14" s="111" t="s">
        <v>212</v>
      </c>
      <c r="H14" s="110">
        <f>'Final Project Calcs'!H10</f>
        <v>75072.787447552721</v>
      </c>
      <c r="I14" s="112" t="s">
        <v>213</v>
      </c>
      <c r="J14" s="110">
        <f>'Final Project Calcs'!H52</f>
        <v>257977.39686522662</v>
      </c>
      <c r="K14" s="111" t="s">
        <v>212</v>
      </c>
      <c r="L14" s="110">
        <f>'Final Project Calcs'!H13</f>
        <v>219115.62720305801</v>
      </c>
      <c r="M14" s="113" t="s">
        <v>213</v>
      </c>
      <c r="N14" s="114">
        <f>'Final Project Calcs'!H14</f>
        <v>40948.793153210572</v>
      </c>
      <c r="O14" s="115"/>
      <c r="P14" s="110">
        <f>'Final Project Calcs'!H54</f>
        <v>25070.898608053172</v>
      </c>
      <c r="Q14" s="116" t="s">
        <v>212</v>
      </c>
      <c r="R14" s="110">
        <f>'Final Project Calcs'!H15</f>
        <v>87084.433439161148</v>
      </c>
      <c r="S14" s="117"/>
      <c r="T14" s="110">
        <f>'Final Project Calcs'!H16</f>
        <v>56031.598631309804</v>
      </c>
      <c r="U14" s="116" t="s">
        <v>212</v>
      </c>
      <c r="V14" s="110">
        <f>'Final Project Calcs'!H55</f>
        <v>356455.14951938268</v>
      </c>
      <c r="W14" s="116" t="s">
        <v>213</v>
      </c>
      <c r="X14" s="110">
        <f>'Final Project Calcs'!H17</f>
        <v>107633.90280321399</v>
      </c>
      <c r="Y14" s="111" t="s">
        <v>214</v>
      </c>
      <c r="Z14" s="110">
        <f>'Final Project Calcs'!H18</f>
        <v>159436.85606156892</v>
      </c>
      <c r="AA14" s="111" t="s">
        <v>214</v>
      </c>
      <c r="AB14" s="110">
        <f>'Final Project Calcs'!H20</f>
        <v>1126091.8117132909</v>
      </c>
      <c r="AC14" s="116" t="s">
        <v>214</v>
      </c>
      <c r="AD14" s="110">
        <v>133104.1</v>
      </c>
      <c r="AE14" s="111" t="s">
        <v>215</v>
      </c>
      <c r="AF14" s="110">
        <v>125999.4</v>
      </c>
      <c r="AG14" s="111" t="s">
        <v>215</v>
      </c>
      <c r="AH14" s="110">
        <f>'Final Project Calcs'!H23</f>
        <v>565309.00915824622</v>
      </c>
      <c r="AI14" s="116" t="s">
        <v>214</v>
      </c>
      <c r="AJ14" s="110">
        <v>172599.2</v>
      </c>
      <c r="AK14" s="111" t="s">
        <v>215</v>
      </c>
      <c r="AL14" s="110">
        <v>89138.7</v>
      </c>
      <c r="AM14" s="116" t="s">
        <v>216</v>
      </c>
      <c r="AN14" s="110">
        <v>137362.70000000001</v>
      </c>
      <c r="AO14" s="111" t="s">
        <v>217</v>
      </c>
      <c r="AP14" s="110">
        <f>'Final Project Calcs'!H7</f>
        <v>2356603.0459672688</v>
      </c>
      <c r="AQ14" s="111" t="s">
        <v>218</v>
      </c>
      <c r="AR14" s="110">
        <f>'Final Project Calcs'!H51</f>
        <v>842908.38522260543</v>
      </c>
      <c r="AS14" s="111" t="s">
        <v>212</v>
      </c>
      <c r="AT14" s="110">
        <f>'Final Project Calcs'!H11</f>
        <v>49821.031669739532</v>
      </c>
      <c r="AU14" s="111" t="s">
        <v>212</v>
      </c>
      <c r="AV14" s="110">
        <f>'Final Project Calcs'!H27</f>
        <v>450997.04067162942</v>
      </c>
      <c r="AW14" s="111" t="s">
        <v>212</v>
      </c>
      <c r="AX14" s="110">
        <v>259200</v>
      </c>
      <c r="AY14" s="118">
        <f>'Final Project Calcs'!G59-'Solar PV Data'!AX14</f>
        <v>654582.67638233781</v>
      </c>
      <c r="AZ14" s="118">
        <f>AY14*'Electricity Conversions'!$B$20</f>
        <v>432179.04792396916</v>
      </c>
      <c r="BA14" s="111" t="s">
        <v>217</v>
      </c>
      <c r="BB14" s="119">
        <f>'Final Project Calcs'!H24</f>
        <v>786546.42537773331</v>
      </c>
      <c r="BC14" s="116" t="s">
        <v>214</v>
      </c>
      <c r="BD14" s="110">
        <f>'Final Project Calcs'!H39</f>
        <v>106466.86219834749</v>
      </c>
      <c r="BE14" s="116" t="s">
        <v>219</v>
      </c>
      <c r="BF14" s="110">
        <f>'Final Project Calcs'!H6</f>
        <v>661323.00942435081</v>
      </c>
      <c r="BG14" s="116" t="s">
        <v>215</v>
      </c>
      <c r="BH14" s="119">
        <v>47773.59</v>
      </c>
      <c r="BI14" s="116" t="s">
        <v>217</v>
      </c>
      <c r="BJ14" s="119">
        <v>397783.4</v>
      </c>
      <c r="BK14" s="116" t="s">
        <v>216</v>
      </c>
      <c r="BL14" s="119">
        <f>'Final Project Calcs'!H21</f>
        <v>2689355.6690498013</v>
      </c>
      <c r="BM14" s="116" t="s">
        <v>216</v>
      </c>
      <c r="BN14" s="120">
        <f>AE19+AG19+AK19+AM17+AO18+BI18+BK17</f>
        <v>5407653.7133477395</v>
      </c>
      <c r="BO14" s="116" t="s">
        <v>33</v>
      </c>
    </row>
    <row r="15" spans="1:67" ht="14.25" customHeight="1" x14ac:dyDescent="0.35">
      <c r="A15" s="121">
        <f>1-C3</f>
        <v>0.995</v>
      </c>
      <c r="B15" s="122"/>
      <c r="C15" s="20">
        <v>2</v>
      </c>
      <c r="D15" s="123">
        <f>D14*A15</f>
        <v>439023.24160209281</v>
      </c>
      <c r="E15" s="124"/>
      <c r="F15" s="123">
        <f>F14*A15</f>
        <v>36852.313422557112</v>
      </c>
      <c r="G15" s="124"/>
      <c r="H15" s="123">
        <f>H14*A15</f>
        <v>74697.423510314955</v>
      </c>
      <c r="I15" s="124"/>
      <c r="J15" s="123">
        <f t="shared" ref="J15:J39" si="0">J14*$A$15</f>
        <v>256687.5098809005</v>
      </c>
      <c r="K15" s="124"/>
      <c r="L15" s="123">
        <f t="shared" ref="L15:L39" si="1">L14*$A$15</f>
        <v>218020.04906704271</v>
      </c>
      <c r="M15" s="125"/>
      <c r="N15" s="126">
        <f t="shared" ref="N15:N39" si="2">N14*$A$15</f>
        <v>40744.049187444522</v>
      </c>
      <c r="O15" s="125"/>
      <c r="P15" s="123">
        <f t="shared" ref="P15:P39" si="3">P14*$A$15</f>
        <v>24945.544115012905</v>
      </c>
      <c r="Q15" s="124"/>
      <c r="R15" s="123">
        <f t="shared" ref="R15:R39" si="4">R14*$A$15</f>
        <v>86649.011271965341</v>
      </c>
      <c r="S15" s="39"/>
      <c r="T15" s="123">
        <f t="shared" ref="T15:T39" si="5">T14*$A$15</f>
        <v>55751.440638153254</v>
      </c>
      <c r="U15" s="39"/>
      <c r="V15" s="123">
        <f t="shared" ref="V15:V39" si="6">V14*$A$15</f>
        <v>354672.87377178576</v>
      </c>
      <c r="W15" s="39"/>
      <c r="X15" s="123">
        <f t="shared" ref="X15:X39" si="7">X14*$A$15</f>
        <v>107095.73328919792</v>
      </c>
      <c r="Y15" s="124"/>
      <c r="Z15" s="123">
        <f t="shared" ref="Z15:Z39" si="8">Z14*$A$15</f>
        <v>158639.67178126107</v>
      </c>
      <c r="AA15" s="124"/>
      <c r="AB15" s="123">
        <f t="shared" ref="AB15:AB39" si="9">AB14*$A$15</f>
        <v>1120461.3526547244</v>
      </c>
      <c r="AC15" s="124"/>
      <c r="AD15" s="123">
        <f t="shared" ref="AD15:AD39" si="10">AD14*$A$15</f>
        <v>132438.57949999999</v>
      </c>
      <c r="AE15" s="124"/>
      <c r="AF15" s="123">
        <f t="shared" ref="AF15:AF39" si="11">AF14*$A$15</f>
        <v>125369.40299999999</v>
      </c>
      <c r="AG15" s="124"/>
      <c r="AH15" s="123">
        <f t="shared" ref="AH15:AH39" si="12">AH14*$A$15</f>
        <v>562482.46411245503</v>
      </c>
      <c r="AI15" s="39"/>
      <c r="AJ15" s="123">
        <f t="shared" ref="AJ15:AJ39" si="13">AJ14*$A$15</f>
        <v>171736.204</v>
      </c>
      <c r="AK15" s="124"/>
      <c r="AL15" s="123">
        <f t="shared" ref="AL15:AL39" si="14">AL14*$A$15</f>
        <v>88693.006500000003</v>
      </c>
      <c r="AM15" s="39"/>
      <c r="AN15" s="123">
        <f t="shared" ref="AN15:AN39" si="15">AN14*$A$15</f>
        <v>136675.88650000002</v>
      </c>
      <c r="AO15" s="124"/>
      <c r="AP15" s="123">
        <f t="shared" ref="AP15:AP39" si="16">AP14*$A$15</f>
        <v>2344820.0307374322</v>
      </c>
      <c r="AQ15" s="124"/>
      <c r="AR15" s="123">
        <f t="shared" ref="AR15:AR39" si="17">AR14*$A$15</f>
        <v>838693.84329649236</v>
      </c>
      <c r="AS15" s="124"/>
      <c r="AT15" s="123">
        <f t="shared" ref="AT15:AT39" si="18">AT14*$A$15</f>
        <v>49571.926511390833</v>
      </c>
      <c r="AU15" s="124"/>
      <c r="AV15" s="123">
        <f t="shared" ref="AV15:AV39" si="19">AV14*$A$15</f>
        <v>448742.05546827125</v>
      </c>
      <c r="AW15" s="124"/>
      <c r="AX15" s="123">
        <v>414720</v>
      </c>
      <c r="AY15" s="12">
        <f>'Final Project Calcs'!$G$59-'Solar PV Data'!AX15</f>
        <v>499062.67638233781</v>
      </c>
      <c r="AZ15" s="12">
        <f>AY15*'Electricity Conversions'!$B$20</f>
        <v>329499.14520396915</v>
      </c>
      <c r="BA15" s="39"/>
      <c r="BB15" s="127">
        <f t="shared" ref="BB15:BB39" si="20">BB14*$A$15</f>
        <v>782613.6932508446</v>
      </c>
      <c r="BC15" s="39"/>
      <c r="BD15" s="38">
        <f t="shared" ref="BD15:BD39" si="21">BD14*$A$15</f>
        <v>105934.52788735575</v>
      </c>
      <c r="BE15" s="39"/>
      <c r="BF15" s="123">
        <f t="shared" ref="BF15:BF39" si="22">BF14*$A$15</f>
        <v>658016.39437722904</v>
      </c>
      <c r="BG15" s="39"/>
      <c r="BH15" s="123">
        <f t="shared" ref="BH15:BH39" si="23">BH14*$A$15</f>
        <v>47534.722049999997</v>
      </c>
      <c r="BI15" s="39"/>
      <c r="BJ15" s="127">
        <f t="shared" ref="BJ15:BJ39" si="24">BJ14*$A$15</f>
        <v>395794.48300000001</v>
      </c>
      <c r="BK15" s="39"/>
      <c r="BL15" s="127">
        <f t="shared" ref="BL15:BL39" si="25">BL14*$A$15</f>
        <v>2675908.8907045522</v>
      </c>
      <c r="BM15" s="39"/>
      <c r="BN15" s="128">
        <f>AE39+AG39+AK39+AM37+AO38+BI38+BK37</f>
        <v>25949268.276123229</v>
      </c>
      <c r="BO15" s="129" t="s">
        <v>34</v>
      </c>
    </row>
    <row r="16" spans="1:67" ht="14.25" customHeight="1" x14ac:dyDescent="0.35">
      <c r="C16" s="20">
        <v>3</v>
      </c>
      <c r="D16" s="123">
        <f t="shared" ref="D16:D39" si="26">D15*$A$15</f>
        <v>436828.12539408234</v>
      </c>
      <c r="E16" s="124"/>
      <c r="F16" s="123">
        <f t="shared" ref="F16:F39" si="27">F15*$A$15</f>
        <v>36668.051855444326</v>
      </c>
      <c r="G16" s="130"/>
      <c r="H16" s="123">
        <f t="shared" ref="H16:H39" si="28">H15*$A$15</f>
        <v>74323.936392763382</v>
      </c>
      <c r="I16" s="124"/>
      <c r="J16" s="123">
        <f t="shared" si="0"/>
        <v>255404.07233149599</v>
      </c>
      <c r="K16" s="124"/>
      <c r="L16" s="123">
        <f t="shared" si="1"/>
        <v>216929.94882170748</v>
      </c>
      <c r="M16" s="125"/>
      <c r="N16" s="126">
        <f t="shared" si="2"/>
        <v>40540.328941507301</v>
      </c>
      <c r="O16" s="125"/>
      <c r="P16" s="123">
        <f t="shared" si="3"/>
        <v>24820.816394437839</v>
      </c>
      <c r="Q16" s="124"/>
      <c r="R16" s="123">
        <f t="shared" si="4"/>
        <v>86215.766215605516</v>
      </c>
      <c r="S16" s="39"/>
      <c r="T16" s="123">
        <f t="shared" si="5"/>
        <v>55472.683434962484</v>
      </c>
      <c r="U16" s="39"/>
      <c r="V16" s="123">
        <f t="shared" si="6"/>
        <v>352899.50940292684</v>
      </c>
      <c r="W16" s="39"/>
      <c r="X16" s="123">
        <f t="shared" si="7"/>
        <v>106560.25462275192</v>
      </c>
      <c r="Y16" s="131">
        <f>SUM(X14:X16)</f>
        <v>321289.89071516384</v>
      </c>
      <c r="Z16" s="123">
        <f t="shared" si="8"/>
        <v>157846.47342235476</v>
      </c>
      <c r="AA16" s="131">
        <f>SUM(Z14:Z16)</f>
        <v>475923.00126518472</v>
      </c>
      <c r="AB16" s="123">
        <f t="shared" si="9"/>
        <v>1114859.0458914507</v>
      </c>
      <c r="AC16" s="131">
        <f>SUM(AB14:AB16)</f>
        <v>3361412.210259466</v>
      </c>
      <c r="AD16" s="123">
        <f t="shared" si="10"/>
        <v>131776.38660249999</v>
      </c>
      <c r="AE16" s="124"/>
      <c r="AF16" s="123">
        <f t="shared" si="11"/>
        <v>124742.55598499998</v>
      </c>
      <c r="AG16" s="124"/>
      <c r="AH16" s="123">
        <f t="shared" si="12"/>
        <v>559670.05179189274</v>
      </c>
      <c r="AI16" s="131">
        <f>SUM(AH14:AH16)</f>
        <v>1687461.5250625941</v>
      </c>
      <c r="AJ16" s="123">
        <f t="shared" si="13"/>
        <v>170877.52298000001</v>
      </c>
      <c r="AK16" s="124"/>
      <c r="AL16" s="123">
        <f t="shared" si="14"/>
        <v>88249.541467500007</v>
      </c>
      <c r="AM16" s="39"/>
      <c r="AN16" s="123">
        <f t="shared" si="15"/>
        <v>135992.50706750003</v>
      </c>
      <c r="AO16" s="124"/>
      <c r="AP16" s="123">
        <f t="shared" si="16"/>
        <v>2333095.9305837452</v>
      </c>
      <c r="AQ16" s="131">
        <f>SUM(AP14:AP16)</f>
        <v>7034519.0072884466</v>
      </c>
      <c r="AR16" s="123">
        <f t="shared" si="17"/>
        <v>834500.37408000987</v>
      </c>
      <c r="AS16" s="130"/>
      <c r="AT16" s="123">
        <f t="shared" si="18"/>
        <v>49324.066878833881</v>
      </c>
      <c r="AU16" s="124"/>
      <c r="AV16" s="123">
        <f t="shared" si="19"/>
        <v>446498.34519092989</v>
      </c>
      <c r="AW16" s="124"/>
      <c r="AX16" s="123">
        <v>518400</v>
      </c>
      <c r="AY16" s="12">
        <f>'Final Project Calcs'!$G$59-'Solar PV Data'!AX16</f>
        <v>395382.67638233781</v>
      </c>
      <c r="AZ16" s="12">
        <f>AY16*'Electricity Conversions'!$B$20</f>
        <v>261045.87672396915</v>
      </c>
      <c r="BA16" s="39"/>
      <c r="BB16" s="127">
        <f t="shared" si="20"/>
        <v>778700.62478459033</v>
      </c>
      <c r="BC16" s="132">
        <f>SUM(BB14:BB16)</f>
        <v>2347860.743413168</v>
      </c>
      <c r="BD16" s="38">
        <f t="shared" si="21"/>
        <v>105404.85524791898</v>
      </c>
      <c r="BE16" s="39"/>
      <c r="BF16" s="123">
        <f t="shared" si="22"/>
        <v>654726.31240534293</v>
      </c>
      <c r="BG16" s="39"/>
      <c r="BH16" s="123">
        <f t="shared" si="23"/>
        <v>47297.048439749997</v>
      </c>
      <c r="BI16" s="39"/>
      <c r="BJ16" s="127">
        <f t="shared" si="24"/>
        <v>393815.51058499998</v>
      </c>
      <c r="BK16" s="39"/>
      <c r="BL16" s="127">
        <f t="shared" si="25"/>
        <v>2662529.3462510295</v>
      </c>
      <c r="BM16" s="124"/>
    </row>
    <row r="17" spans="1:67" ht="14.25" customHeight="1" x14ac:dyDescent="0.35">
      <c r="C17" s="20">
        <v>4</v>
      </c>
      <c r="D17" s="123">
        <f t="shared" si="26"/>
        <v>434643.98476711195</v>
      </c>
      <c r="E17" s="124"/>
      <c r="F17" s="123">
        <f t="shared" si="27"/>
        <v>36484.711596167101</v>
      </c>
      <c r="G17" s="130"/>
      <c r="H17" s="123">
        <f t="shared" si="28"/>
        <v>73952.316710799569</v>
      </c>
      <c r="I17" s="124"/>
      <c r="J17" s="123">
        <f t="shared" si="0"/>
        <v>254127.0519698385</v>
      </c>
      <c r="K17" s="124"/>
      <c r="L17" s="123">
        <f t="shared" si="1"/>
        <v>215845.29907759893</v>
      </c>
      <c r="M17" s="125"/>
      <c r="N17" s="126">
        <f t="shared" si="2"/>
        <v>40337.627296799765</v>
      </c>
      <c r="O17" s="125"/>
      <c r="P17" s="123">
        <f t="shared" si="3"/>
        <v>24696.71231246565</v>
      </c>
      <c r="Q17" s="124"/>
      <c r="R17" s="123">
        <f t="shared" si="4"/>
        <v>85784.687384527482</v>
      </c>
      <c r="S17" s="39"/>
      <c r="T17" s="123">
        <f t="shared" si="5"/>
        <v>55195.320017787672</v>
      </c>
      <c r="U17" s="39"/>
      <c r="V17" s="123">
        <f t="shared" si="6"/>
        <v>351135.01185591222</v>
      </c>
      <c r="W17" s="39"/>
      <c r="X17" s="123">
        <f t="shared" si="7"/>
        <v>106027.45334963816</v>
      </c>
      <c r="Y17" s="124"/>
      <c r="Z17" s="123">
        <f t="shared" si="8"/>
        <v>157057.24105524298</v>
      </c>
      <c r="AA17" s="124"/>
      <c r="AB17" s="123">
        <f t="shared" si="9"/>
        <v>1109284.7506619934</v>
      </c>
      <c r="AC17" s="124"/>
      <c r="AD17" s="123">
        <f t="shared" si="10"/>
        <v>131117.50466948748</v>
      </c>
      <c r="AE17" s="124"/>
      <c r="AF17" s="123">
        <f t="shared" si="11"/>
        <v>124118.84320507498</v>
      </c>
      <c r="AG17" s="124"/>
      <c r="AH17" s="123">
        <f t="shared" si="12"/>
        <v>556871.70153293328</v>
      </c>
      <c r="AI17" s="39"/>
      <c r="AJ17" s="123">
        <f t="shared" si="13"/>
        <v>170023.1353651</v>
      </c>
      <c r="AK17" s="124"/>
      <c r="AL17" s="123">
        <f t="shared" si="14"/>
        <v>87808.293760162502</v>
      </c>
      <c r="AM17" s="131">
        <f>SUM(AL14:AL17)</f>
        <v>353889.54172766249</v>
      </c>
      <c r="AN17" s="123">
        <f t="shared" si="15"/>
        <v>135312.54453216254</v>
      </c>
      <c r="AO17" s="124"/>
      <c r="AP17" s="123">
        <f t="shared" si="16"/>
        <v>2321430.4509308264</v>
      </c>
      <c r="AQ17" s="124"/>
      <c r="AR17" s="123">
        <f t="shared" si="17"/>
        <v>830327.87220960984</v>
      </c>
      <c r="AS17" s="130"/>
      <c r="AT17" s="123">
        <f t="shared" si="18"/>
        <v>49077.446544439714</v>
      </c>
      <c r="AU17" s="124"/>
      <c r="AV17" s="123">
        <f t="shared" si="19"/>
        <v>444265.85346497525</v>
      </c>
      <c r="AW17" s="124"/>
      <c r="AX17" s="123">
        <v>648000</v>
      </c>
      <c r="AY17" s="12">
        <f>'Final Project Calcs'!$G$59-'Solar PV Data'!AX17</f>
        <v>265782.67638233781</v>
      </c>
      <c r="AZ17" s="12">
        <f>AY17*'Electricity Conversions'!$B$20</f>
        <v>175479.29112396916</v>
      </c>
      <c r="BA17" s="39"/>
      <c r="BB17" s="127">
        <f t="shared" si="20"/>
        <v>774807.12166066736</v>
      </c>
      <c r="BC17" s="39"/>
      <c r="BD17" s="38">
        <f t="shared" si="21"/>
        <v>104877.83097167939</v>
      </c>
      <c r="BE17" s="131">
        <f>SUM(BD14:BD17)</f>
        <v>422684.07630530163</v>
      </c>
      <c r="BF17" s="123">
        <f t="shared" si="22"/>
        <v>651452.68084331625</v>
      </c>
      <c r="BG17" s="39"/>
      <c r="BH17" s="123">
        <f t="shared" si="23"/>
        <v>47060.563197551244</v>
      </c>
      <c r="BI17" s="39"/>
      <c r="BJ17" s="127">
        <f t="shared" si="24"/>
        <v>391846.433032075</v>
      </c>
      <c r="BK17" s="131">
        <f>SUM(BJ14:BJ17)</f>
        <v>1579239.8266170749</v>
      </c>
      <c r="BL17" s="127">
        <f t="shared" si="25"/>
        <v>2649216.6995197744</v>
      </c>
      <c r="BM17" s="131">
        <f>SUM(BL14:BL17)</f>
        <v>10677010.605525156</v>
      </c>
    </row>
    <row r="18" spans="1:67" ht="14.25" customHeight="1" x14ac:dyDescent="0.35">
      <c r="C18" s="20">
        <v>5</v>
      </c>
      <c r="D18" s="123">
        <f t="shared" si="26"/>
        <v>432470.76484327641</v>
      </c>
      <c r="E18" s="124"/>
      <c r="F18" s="123">
        <f t="shared" si="27"/>
        <v>36302.288038186263</v>
      </c>
      <c r="G18" s="130"/>
      <c r="H18" s="123">
        <f t="shared" si="28"/>
        <v>73582.555127245578</v>
      </c>
      <c r="I18" s="131">
        <f>SUM(H14:H18)</f>
        <v>371629.01918867626</v>
      </c>
      <c r="J18" s="123">
        <f t="shared" si="0"/>
        <v>252856.41670998931</v>
      </c>
      <c r="K18" s="124"/>
      <c r="L18" s="123">
        <f t="shared" si="1"/>
        <v>214766.07258221094</v>
      </c>
      <c r="M18" s="131">
        <f>SUM(L14:L18)</f>
        <v>1084676.9967516181</v>
      </c>
      <c r="N18" s="126">
        <f t="shared" si="2"/>
        <v>40135.939160315764</v>
      </c>
      <c r="O18" s="125"/>
      <c r="P18" s="123">
        <f t="shared" si="3"/>
        <v>24573.228750903323</v>
      </c>
      <c r="Q18" s="124"/>
      <c r="R18" s="123">
        <f t="shared" si="4"/>
        <v>85355.76394760485</v>
      </c>
      <c r="S18" s="39"/>
      <c r="T18" s="123">
        <f t="shared" si="5"/>
        <v>54919.343417698736</v>
      </c>
      <c r="U18" s="39"/>
      <c r="V18" s="123">
        <f t="shared" si="6"/>
        <v>349379.33679663268</v>
      </c>
      <c r="W18" s="131">
        <f>SUM(V14:V18)</f>
        <v>1764541.8813466402</v>
      </c>
      <c r="X18" s="123">
        <f t="shared" si="7"/>
        <v>105497.31608288997</v>
      </c>
      <c r="Y18" s="124"/>
      <c r="Z18" s="123">
        <f t="shared" si="8"/>
        <v>156271.95484996677</v>
      </c>
      <c r="AA18" s="124"/>
      <c r="AB18" s="123">
        <f t="shared" si="9"/>
        <v>1103738.3269086834</v>
      </c>
      <c r="AC18" s="124"/>
      <c r="AD18" s="123">
        <f t="shared" si="10"/>
        <v>130461.91714614004</v>
      </c>
      <c r="AE18" s="124"/>
      <c r="AF18" s="123">
        <f t="shared" si="11"/>
        <v>123498.24898904961</v>
      </c>
      <c r="AG18" s="124"/>
      <c r="AH18" s="123">
        <f t="shared" si="12"/>
        <v>554087.34302526864</v>
      </c>
      <c r="AI18" s="39"/>
      <c r="AJ18" s="123">
        <f t="shared" si="13"/>
        <v>169173.01968827451</v>
      </c>
      <c r="AK18" s="130"/>
      <c r="AL18" s="123">
        <f t="shared" si="14"/>
        <v>87369.252291361685</v>
      </c>
      <c r="AM18" s="39"/>
      <c r="AN18" s="123">
        <f t="shared" si="15"/>
        <v>134635.98180950174</v>
      </c>
      <c r="AO18" s="131">
        <f>SUM(AN14:AN18)</f>
        <v>679979.61990916438</v>
      </c>
      <c r="AP18" s="123">
        <f t="shared" si="16"/>
        <v>2309823.2986761723</v>
      </c>
      <c r="AQ18" s="124"/>
      <c r="AR18" s="123">
        <f t="shared" si="17"/>
        <v>826176.23284856183</v>
      </c>
      <c r="AS18" s="130"/>
      <c r="AT18" s="123">
        <f t="shared" si="18"/>
        <v>48832.059311717516</v>
      </c>
      <c r="AU18" s="124"/>
      <c r="AV18" s="123">
        <f t="shared" si="19"/>
        <v>442044.52419765037</v>
      </c>
      <c r="AW18" s="124"/>
      <c r="AX18" s="123">
        <v>777600</v>
      </c>
      <c r="AY18" s="12">
        <f>'Final Project Calcs'!$G$59-'Solar PV Data'!AX18</f>
        <v>136182.67638233781</v>
      </c>
      <c r="AZ18" s="12">
        <f>AY18*'Electricity Conversions'!$B$20</f>
        <v>89912.705523969184</v>
      </c>
      <c r="BA18" s="131">
        <f>SUM(AZ14:AZ18)</f>
        <v>1288116.0664998458</v>
      </c>
      <c r="BB18" s="127">
        <f t="shared" si="20"/>
        <v>770933.08605236397</v>
      </c>
      <c r="BC18" s="39"/>
      <c r="BD18" s="38">
        <f t="shared" si="21"/>
        <v>104353.441816821</v>
      </c>
      <c r="BE18" s="130"/>
      <c r="BF18" s="123">
        <f t="shared" si="22"/>
        <v>648195.41743909963</v>
      </c>
      <c r="BG18" s="39"/>
      <c r="BH18" s="123">
        <f t="shared" si="23"/>
        <v>46825.260381563487</v>
      </c>
      <c r="BI18" s="131">
        <f>SUM(BH14:BH18)</f>
        <v>236491.18406886471</v>
      </c>
      <c r="BJ18" s="127">
        <f t="shared" si="24"/>
        <v>389887.20086691465</v>
      </c>
      <c r="BK18" s="39"/>
      <c r="BL18" s="127">
        <f t="shared" si="25"/>
        <v>2635970.6160221756</v>
      </c>
      <c r="BM18" s="124"/>
    </row>
    <row r="19" spans="1:67" ht="14.25" customHeight="1" x14ac:dyDescent="0.35">
      <c r="A19" s="18"/>
      <c r="B19" s="91"/>
      <c r="C19" s="20">
        <v>6</v>
      </c>
      <c r="D19" s="123">
        <f t="shared" si="26"/>
        <v>430308.41101906</v>
      </c>
      <c r="E19" s="131">
        <f>SUM(D14:D19)</f>
        <v>2614503.9161704401</v>
      </c>
      <c r="F19" s="123">
        <f t="shared" si="27"/>
        <v>36120.776597995333</v>
      </c>
      <c r="G19" s="131">
        <f>SUM(F14:F19)</f>
        <v>219465.64243754323</v>
      </c>
      <c r="H19" s="123">
        <f t="shared" si="28"/>
        <v>73214.642351609349</v>
      </c>
      <c r="I19" s="124"/>
      <c r="J19" s="123">
        <f t="shared" si="0"/>
        <v>251592.13462643937</v>
      </c>
      <c r="K19" s="131">
        <f>SUM(J14:J19)</f>
        <v>1528644.5823838902</v>
      </c>
      <c r="L19" s="123">
        <f t="shared" si="1"/>
        <v>213692.24221929989</v>
      </c>
      <c r="M19" s="124"/>
      <c r="N19" s="126">
        <f t="shared" si="2"/>
        <v>39935.259464514187</v>
      </c>
      <c r="O19" s="133">
        <f>SUM(N14:N19)</f>
        <v>242641.9972037921</v>
      </c>
      <c r="P19" s="123">
        <f t="shared" si="3"/>
        <v>24450.362607148807</v>
      </c>
      <c r="Q19" s="131">
        <f>SUM(P14:P19)</f>
        <v>148557.56278802169</v>
      </c>
      <c r="R19" s="123">
        <f t="shared" si="4"/>
        <v>84928.985127866821</v>
      </c>
      <c r="S19" s="131">
        <f>SUM(R14:R19)</f>
        <v>516018.64738673123</v>
      </c>
      <c r="T19" s="123">
        <f t="shared" si="5"/>
        <v>54644.746700610245</v>
      </c>
      <c r="U19" s="131">
        <f>SUM(T14:T19)</f>
        <v>332015.13284052222</v>
      </c>
      <c r="V19" s="123">
        <f t="shared" si="6"/>
        <v>347632.44011264952</v>
      </c>
      <c r="W19" s="124"/>
      <c r="X19" s="123">
        <f t="shared" si="7"/>
        <v>104969.82950247552</v>
      </c>
      <c r="Y19" s="124"/>
      <c r="Z19" s="123">
        <f t="shared" si="8"/>
        <v>155490.59507571693</v>
      </c>
      <c r="AA19" s="124"/>
      <c r="AB19" s="123">
        <f t="shared" si="9"/>
        <v>1098219.6352741399</v>
      </c>
      <c r="AC19" s="124"/>
      <c r="AD19" s="123">
        <f t="shared" si="10"/>
        <v>129809.60756040933</v>
      </c>
      <c r="AE19" s="131">
        <f>SUM(AD14:AD19)</f>
        <v>788708.09547853679</v>
      </c>
      <c r="AF19" s="123">
        <f t="shared" si="11"/>
        <v>122880.75774410435</v>
      </c>
      <c r="AG19" s="131">
        <f>SUM(AF14:AF19)</f>
        <v>746609.2089232289</v>
      </c>
      <c r="AH19" s="123">
        <f t="shared" si="12"/>
        <v>551316.90631014225</v>
      </c>
      <c r="AI19" s="124"/>
      <c r="AJ19" s="123">
        <f t="shared" si="13"/>
        <v>168327.15458983314</v>
      </c>
      <c r="AK19" s="131">
        <f>SUM(AJ14:AJ19)</f>
        <v>1022736.2366232076</v>
      </c>
      <c r="AL19" s="123">
        <f t="shared" si="14"/>
        <v>86932.406029904872</v>
      </c>
      <c r="AM19" s="124"/>
      <c r="AN19" s="123">
        <f t="shared" si="15"/>
        <v>133962.80190045424</v>
      </c>
      <c r="AO19" s="124"/>
      <c r="AP19" s="123">
        <f t="shared" si="16"/>
        <v>2298274.1821827912</v>
      </c>
      <c r="AQ19" s="124"/>
      <c r="AR19" s="123">
        <f t="shared" si="17"/>
        <v>822045.35168431897</v>
      </c>
      <c r="AS19" s="131">
        <f>SUM(AR14:AR19)</f>
        <v>4994652.0593415983</v>
      </c>
      <c r="AT19" s="123">
        <f t="shared" si="18"/>
        <v>48587.899015158931</v>
      </c>
      <c r="AU19" s="131">
        <f>SUM(AT14:AT19)</f>
        <v>295214.42993128038</v>
      </c>
      <c r="AV19" s="123">
        <f t="shared" si="19"/>
        <v>439834.30157666211</v>
      </c>
      <c r="AW19" s="131">
        <f>SUM(AV14:AV19)</f>
        <v>2672382.1205701185</v>
      </c>
      <c r="AX19" s="123">
        <v>810000</v>
      </c>
      <c r="AY19" s="12">
        <f>'Final Project Calcs'!$G$59-'Solar PV Data'!AX19</f>
        <v>103782.67638233781</v>
      </c>
      <c r="AZ19" s="12">
        <f>AY19*'Electricity Conversions'!$B$20</f>
        <v>68521.059123969186</v>
      </c>
      <c r="BA19" s="39"/>
      <c r="BB19" s="127">
        <f t="shared" si="20"/>
        <v>767078.4206221021</v>
      </c>
      <c r="BC19" s="39"/>
      <c r="BD19" s="38">
        <f t="shared" si="21"/>
        <v>103831.67460773689</v>
      </c>
      <c r="BE19" s="130"/>
      <c r="BF19" s="123">
        <f t="shared" si="22"/>
        <v>644954.44035190414</v>
      </c>
      <c r="BG19" s="131">
        <f>SUM(BF14:BF19)</f>
        <v>3918668.2548412429</v>
      </c>
      <c r="BH19" s="123">
        <f t="shared" si="23"/>
        <v>46591.134079655669</v>
      </c>
      <c r="BI19" s="39"/>
      <c r="BJ19" s="127">
        <f t="shared" si="24"/>
        <v>387937.76486258005</v>
      </c>
      <c r="BK19" s="39"/>
      <c r="BL19" s="127">
        <f t="shared" si="25"/>
        <v>2622790.7629420646</v>
      </c>
      <c r="BM19" s="124"/>
      <c r="BN19" s="18"/>
      <c r="BO19" s="18"/>
    </row>
    <row r="20" spans="1:67" ht="14.25" customHeight="1" x14ac:dyDescent="0.35">
      <c r="C20" s="20">
        <v>7</v>
      </c>
      <c r="D20" s="123">
        <f t="shared" si="26"/>
        <v>428156.86896396469</v>
      </c>
      <c r="E20" s="130"/>
      <c r="F20" s="123">
        <f t="shared" si="27"/>
        <v>35940.172715005356</v>
      </c>
      <c r="G20" s="130"/>
      <c r="H20" s="123">
        <f t="shared" si="28"/>
        <v>72848.569139851301</v>
      </c>
      <c r="I20" s="124"/>
      <c r="J20" s="123">
        <f t="shared" si="0"/>
        <v>250334.17395330718</v>
      </c>
      <c r="K20" s="124"/>
      <c r="L20" s="123">
        <f t="shared" si="1"/>
        <v>212623.7810082034</v>
      </c>
      <c r="M20" s="124"/>
      <c r="N20" s="126">
        <f t="shared" si="2"/>
        <v>39735.583167191617</v>
      </c>
      <c r="O20" s="125"/>
      <c r="P20" s="123">
        <f t="shared" si="3"/>
        <v>24328.110794113061</v>
      </c>
      <c r="Q20" s="124"/>
      <c r="R20" s="123">
        <f t="shared" si="4"/>
        <v>84504.340202227482</v>
      </c>
      <c r="S20" s="39"/>
      <c r="T20" s="123">
        <f t="shared" si="5"/>
        <v>54371.522967107194</v>
      </c>
      <c r="U20" s="39"/>
      <c r="V20" s="123">
        <f t="shared" si="6"/>
        <v>345894.27791208628</v>
      </c>
      <c r="W20" s="39"/>
      <c r="X20" s="123">
        <f t="shared" si="7"/>
        <v>104444.98035496315</v>
      </c>
      <c r="Y20" s="124"/>
      <c r="Z20" s="123">
        <f t="shared" si="8"/>
        <v>154713.14210033836</v>
      </c>
      <c r="AA20" s="124"/>
      <c r="AB20" s="123">
        <f t="shared" si="9"/>
        <v>1092728.5370977693</v>
      </c>
      <c r="AC20" s="124"/>
      <c r="AD20" s="123">
        <f t="shared" si="10"/>
        <v>129160.55952260729</v>
      </c>
      <c r="AE20" s="124"/>
      <c r="AF20" s="123">
        <f t="shared" si="11"/>
        <v>122266.35395538383</v>
      </c>
      <c r="AG20" s="124"/>
      <c r="AH20" s="123">
        <f t="shared" si="12"/>
        <v>548560.32177859149</v>
      </c>
      <c r="AI20" s="39"/>
      <c r="AJ20" s="123">
        <f t="shared" si="13"/>
        <v>167485.51881688397</v>
      </c>
      <c r="AK20" s="130"/>
      <c r="AL20" s="123">
        <f t="shared" si="14"/>
        <v>86497.743999755345</v>
      </c>
      <c r="AM20" s="39"/>
      <c r="AN20" s="123">
        <f t="shared" si="15"/>
        <v>133292.98789095198</v>
      </c>
      <c r="AO20" s="124"/>
      <c r="AP20" s="123">
        <f t="shared" si="16"/>
        <v>2286782.811271877</v>
      </c>
      <c r="AQ20" s="124"/>
      <c r="AR20" s="123">
        <f t="shared" si="17"/>
        <v>817935.12492589734</v>
      </c>
      <c r="AS20" s="130"/>
      <c r="AT20" s="123">
        <f t="shared" si="18"/>
        <v>48344.959520083139</v>
      </c>
      <c r="AU20" s="124"/>
      <c r="AV20" s="123">
        <f t="shared" si="19"/>
        <v>437635.13006877882</v>
      </c>
      <c r="AW20" s="124"/>
      <c r="AX20" s="123">
        <v>842400</v>
      </c>
      <c r="AY20" s="12">
        <f>'Final Project Calcs'!$G$59-'Solar PV Data'!AX20</f>
        <v>71382.676382337813</v>
      </c>
      <c r="AZ20" s="12">
        <f>AY20*'Electricity Conversions'!$B$20</f>
        <v>47129.412723969181</v>
      </c>
      <c r="BA20" s="39"/>
      <c r="BB20" s="127">
        <f t="shared" si="20"/>
        <v>763243.02851899154</v>
      </c>
      <c r="BC20" s="39"/>
      <c r="BD20" s="38">
        <f t="shared" si="21"/>
        <v>103312.5162346982</v>
      </c>
      <c r="BE20" s="130"/>
      <c r="BF20" s="123">
        <f t="shared" si="22"/>
        <v>641729.66815014463</v>
      </c>
      <c r="BG20" s="39"/>
      <c r="BH20" s="123">
        <f t="shared" si="23"/>
        <v>46358.178409257387</v>
      </c>
      <c r="BI20" s="39"/>
      <c r="BJ20" s="127">
        <f t="shared" si="24"/>
        <v>385998.07603826717</v>
      </c>
      <c r="BK20" s="39"/>
      <c r="BL20" s="127">
        <f t="shared" si="25"/>
        <v>2609676.8091273541</v>
      </c>
      <c r="BM20" s="124"/>
    </row>
    <row r="21" spans="1:67" ht="14.25" customHeight="1" x14ac:dyDescent="0.35">
      <c r="C21" s="20">
        <v>8</v>
      </c>
      <c r="D21" s="123">
        <f t="shared" si="26"/>
        <v>426016.08461914485</v>
      </c>
      <c r="E21" s="130"/>
      <c r="F21" s="123">
        <f t="shared" si="27"/>
        <v>35760.471851430331</v>
      </c>
      <c r="G21" s="130"/>
      <c r="H21" s="123">
        <f t="shared" si="28"/>
        <v>72484.326294152037</v>
      </c>
      <c r="I21" s="124"/>
      <c r="J21" s="123">
        <f t="shared" si="0"/>
        <v>249082.50308354065</v>
      </c>
      <c r="K21" s="124"/>
      <c r="L21" s="123">
        <f t="shared" si="1"/>
        <v>211560.66210316238</v>
      </c>
      <c r="M21" s="124"/>
      <c r="N21" s="126">
        <f t="shared" si="2"/>
        <v>39536.90525135566</v>
      </c>
      <c r="O21" s="125"/>
      <c r="P21" s="123">
        <f t="shared" si="3"/>
        <v>24206.470240142495</v>
      </c>
      <c r="Q21" s="124"/>
      <c r="R21" s="123">
        <f t="shared" si="4"/>
        <v>84081.818501216345</v>
      </c>
      <c r="S21" s="39"/>
      <c r="T21" s="123">
        <f t="shared" si="5"/>
        <v>54099.665352271659</v>
      </c>
      <c r="U21" s="39"/>
      <c r="V21" s="123">
        <f t="shared" si="6"/>
        <v>344164.80652252585</v>
      </c>
      <c r="W21" s="39"/>
      <c r="X21" s="123">
        <f t="shared" si="7"/>
        <v>103922.75545318834</v>
      </c>
      <c r="Y21" s="124"/>
      <c r="Z21" s="123">
        <f t="shared" si="8"/>
        <v>153939.57638983667</v>
      </c>
      <c r="AA21" s="124"/>
      <c r="AB21" s="123">
        <f t="shared" si="9"/>
        <v>1087264.8944122805</v>
      </c>
      <c r="AC21" s="124"/>
      <c r="AD21" s="123">
        <f t="shared" si="10"/>
        <v>128514.75672499425</v>
      </c>
      <c r="AE21" s="124"/>
      <c r="AF21" s="123">
        <f t="shared" si="11"/>
        <v>121655.02218560691</v>
      </c>
      <c r="AG21" s="124"/>
      <c r="AH21" s="123">
        <f t="shared" si="12"/>
        <v>545817.52016969852</v>
      </c>
      <c r="AI21" s="39"/>
      <c r="AJ21" s="123">
        <f t="shared" si="13"/>
        <v>166648.09122279956</v>
      </c>
      <c r="AK21" s="130"/>
      <c r="AL21" s="123">
        <f t="shared" si="14"/>
        <v>86065.255279756573</v>
      </c>
      <c r="AM21" s="39"/>
      <c r="AN21" s="123">
        <f t="shared" si="15"/>
        <v>132626.5229514972</v>
      </c>
      <c r="AO21" s="124"/>
      <c r="AP21" s="123">
        <f t="shared" si="16"/>
        <v>2275348.8972155177</v>
      </c>
      <c r="AQ21" s="124"/>
      <c r="AR21" s="123">
        <f t="shared" si="17"/>
        <v>813845.44930126786</v>
      </c>
      <c r="AS21" s="130"/>
      <c r="AT21" s="123">
        <f t="shared" si="18"/>
        <v>48103.234722482724</v>
      </c>
      <c r="AU21" s="124"/>
      <c r="AV21" s="123">
        <f t="shared" si="19"/>
        <v>435446.95441843494</v>
      </c>
      <c r="AW21" s="124"/>
      <c r="AX21" s="123">
        <v>874800</v>
      </c>
      <c r="AY21" s="12">
        <f>'Final Project Calcs'!$G$59-'Solar PV Data'!AX21</f>
        <v>38982.676382337813</v>
      </c>
      <c r="AZ21" s="12">
        <f>AY21*'Electricity Conversions'!$B$20</f>
        <v>25737.766323969186</v>
      </c>
      <c r="BA21" s="39"/>
      <c r="BB21" s="127">
        <f t="shared" si="20"/>
        <v>759426.81337639655</v>
      </c>
      <c r="BC21" s="39"/>
      <c r="BD21" s="38">
        <f t="shared" si="21"/>
        <v>102795.9536535247</v>
      </c>
      <c r="BE21" s="130"/>
      <c r="BF21" s="123">
        <f t="shared" si="22"/>
        <v>638521.01980939391</v>
      </c>
      <c r="BG21" s="39"/>
      <c r="BH21" s="123">
        <f t="shared" si="23"/>
        <v>46126.3875172111</v>
      </c>
      <c r="BI21" s="39"/>
      <c r="BJ21" s="127">
        <f t="shared" si="24"/>
        <v>384068.08565807581</v>
      </c>
      <c r="BK21" s="39"/>
      <c r="BL21" s="127">
        <f t="shared" si="25"/>
        <v>2596628.4250817173</v>
      </c>
      <c r="BM21" s="124"/>
    </row>
    <row r="22" spans="1:67" ht="14.25" customHeight="1" x14ac:dyDescent="0.35">
      <c r="C22" s="20">
        <v>9</v>
      </c>
      <c r="D22" s="123">
        <f t="shared" si="26"/>
        <v>423886.00419604912</v>
      </c>
      <c r="E22" s="130"/>
      <c r="F22" s="123">
        <f t="shared" si="27"/>
        <v>35581.669492173176</v>
      </c>
      <c r="G22" s="130"/>
      <c r="H22" s="123">
        <f t="shared" si="28"/>
        <v>72121.904662681278</v>
      </c>
      <c r="I22" s="124"/>
      <c r="J22" s="123">
        <f t="shared" si="0"/>
        <v>247837.09056812295</v>
      </c>
      <c r="K22" s="124"/>
      <c r="L22" s="123">
        <f t="shared" si="1"/>
        <v>210502.85879264656</v>
      </c>
      <c r="M22" s="124"/>
      <c r="N22" s="126">
        <f t="shared" si="2"/>
        <v>39339.220725098879</v>
      </c>
      <c r="O22" s="125"/>
      <c r="P22" s="123">
        <f t="shared" si="3"/>
        <v>24085.437888941782</v>
      </c>
      <c r="Q22" s="124"/>
      <c r="R22" s="123">
        <f t="shared" si="4"/>
        <v>83661.409408710257</v>
      </c>
      <c r="S22" s="39"/>
      <c r="T22" s="123">
        <f t="shared" si="5"/>
        <v>53829.167025510302</v>
      </c>
      <c r="U22" s="39"/>
      <c r="V22" s="123">
        <f t="shared" si="6"/>
        <v>342443.98248991324</v>
      </c>
      <c r="W22" s="39"/>
      <c r="X22" s="123">
        <f t="shared" si="7"/>
        <v>103403.14167592239</v>
      </c>
      <c r="Y22" s="124"/>
      <c r="Z22" s="123">
        <f t="shared" si="8"/>
        <v>153169.87850788748</v>
      </c>
      <c r="AA22" s="124"/>
      <c r="AB22" s="123">
        <f t="shared" si="9"/>
        <v>1081828.5699402192</v>
      </c>
      <c r="AC22" s="124"/>
      <c r="AD22" s="123">
        <f t="shared" si="10"/>
        <v>127872.18294136928</v>
      </c>
      <c r="AE22" s="124"/>
      <c r="AF22" s="123">
        <f t="shared" si="11"/>
        <v>121046.74707467887</v>
      </c>
      <c r="AG22" s="124"/>
      <c r="AH22" s="123">
        <f t="shared" si="12"/>
        <v>543088.43256885</v>
      </c>
      <c r="AI22" s="39"/>
      <c r="AJ22" s="123">
        <f t="shared" si="13"/>
        <v>165814.85076668556</v>
      </c>
      <c r="AK22" s="130"/>
      <c r="AL22" s="123">
        <f t="shared" si="14"/>
        <v>85634.929003357785</v>
      </c>
      <c r="AM22" s="39"/>
      <c r="AN22" s="123">
        <f t="shared" si="15"/>
        <v>131963.39033673971</v>
      </c>
      <c r="AO22" s="124"/>
      <c r="AP22" s="123">
        <f t="shared" si="16"/>
        <v>2263972.15272944</v>
      </c>
      <c r="AQ22" s="124"/>
      <c r="AR22" s="123">
        <f t="shared" si="17"/>
        <v>809776.22205476149</v>
      </c>
      <c r="AS22" s="130"/>
      <c r="AT22" s="123">
        <f t="shared" si="18"/>
        <v>47862.718548870311</v>
      </c>
      <c r="AU22" s="124"/>
      <c r="AV22" s="123">
        <f t="shared" si="19"/>
        <v>433269.71964634274</v>
      </c>
      <c r="AW22" s="124"/>
      <c r="AX22" s="123">
        <v>907200</v>
      </c>
      <c r="AY22" s="12">
        <f>'Final Project Calcs'!$G$59-'Solar PV Data'!AX22</f>
        <v>6582.6763823378133</v>
      </c>
      <c r="AZ22" s="12">
        <f>AY22*'Electricity Conversions'!$B$20</f>
        <v>4346.1199239691878</v>
      </c>
      <c r="BA22" s="39"/>
      <c r="BB22" s="127">
        <f t="shared" si="20"/>
        <v>755629.67930951458</v>
      </c>
      <c r="BC22" s="39"/>
      <c r="BD22" s="38">
        <f t="shared" si="21"/>
        <v>102281.97388525707</v>
      </c>
      <c r="BE22" s="130"/>
      <c r="BF22" s="123">
        <f t="shared" si="22"/>
        <v>635328.41471034696</v>
      </c>
      <c r="BG22" s="39"/>
      <c r="BH22" s="123">
        <f t="shared" si="23"/>
        <v>45895.755579625045</v>
      </c>
      <c r="BI22" s="39"/>
      <c r="BJ22" s="127">
        <f t="shared" si="24"/>
        <v>382147.74522978545</v>
      </c>
      <c r="BK22" s="39"/>
      <c r="BL22" s="127">
        <f t="shared" si="25"/>
        <v>2583645.2829563087</v>
      </c>
      <c r="BM22" s="124"/>
    </row>
    <row r="23" spans="1:67" ht="14.25" customHeight="1" x14ac:dyDescent="0.35">
      <c r="C23" s="20">
        <v>10</v>
      </c>
      <c r="D23" s="123">
        <f t="shared" si="26"/>
        <v>421766.57417506888</v>
      </c>
      <c r="E23" s="130"/>
      <c r="F23" s="123">
        <f t="shared" si="27"/>
        <v>35403.761144712313</v>
      </c>
      <c r="G23" s="130"/>
      <c r="H23" s="123">
        <f t="shared" si="28"/>
        <v>71761.295139367867</v>
      </c>
      <c r="I23" s="124"/>
      <c r="J23" s="123">
        <f t="shared" si="0"/>
        <v>246597.90511528234</v>
      </c>
      <c r="K23" s="124"/>
      <c r="L23" s="123">
        <f t="shared" si="1"/>
        <v>209450.34449868332</v>
      </c>
      <c r="M23" s="124"/>
      <c r="N23" s="126">
        <f t="shared" si="2"/>
        <v>39142.524621473385</v>
      </c>
      <c r="O23" s="125"/>
      <c r="P23" s="123">
        <f t="shared" si="3"/>
        <v>23965.010699497074</v>
      </c>
      <c r="Q23" s="124"/>
      <c r="R23" s="123">
        <f t="shared" si="4"/>
        <v>83243.102361666708</v>
      </c>
      <c r="S23" s="39"/>
      <c r="T23" s="123">
        <f t="shared" si="5"/>
        <v>53560.021190382751</v>
      </c>
      <c r="U23" s="39"/>
      <c r="V23" s="123">
        <f t="shared" si="6"/>
        <v>340731.76257746364</v>
      </c>
      <c r="W23" s="39"/>
      <c r="X23" s="123">
        <f t="shared" si="7"/>
        <v>102886.12596754279</v>
      </c>
      <c r="Y23" s="124"/>
      <c r="Z23" s="123">
        <f t="shared" si="8"/>
        <v>152404.02911534804</v>
      </c>
      <c r="AA23" s="124"/>
      <c r="AB23" s="123">
        <f t="shared" si="9"/>
        <v>1076419.4270905182</v>
      </c>
      <c r="AC23" s="124"/>
      <c r="AD23" s="123">
        <f t="shared" si="10"/>
        <v>127232.82202666243</v>
      </c>
      <c r="AE23" s="124"/>
      <c r="AF23" s="123">
        <f t="shared" si="11"/>
        <v>120441.51333930549</v>
      </c>
      <c r="AG23" s="124"/>
      <c r="AH23" s="123">
        <f t="shared" si="12"/>
        <v>540372.99040600576</v>
      </c>
      <c r="AI23" s="39"/>
      <c r="AJ23" s="123">
        <f t="shared" si="13"/>
        <v>164985.77651285214</v>
      </c>
      <c r="AK23" s="130"/>
      <c r="AL23" s="123">
        <f t="shared" si="14"/>
        <v>85206.754358341001</v>
      </c>
      <c r="AM23" s="39"/>
      <c r="AN23" s="123">
        <f t="shared" si="15"/>
        <v>131303.57338505602</v>
      </c>
      <c r="AO23" s="124"/>
      <c r="AP23" s="123">
        <f t="shared" si="16"/>
        <v>2252652.2919657929</v>
      </c>
      <c r="AQ23" s="124"/>
      <c r="AR23" s="123">
        <f t="shared" si="17"/>
        <v>805727.34094448772</v>
      </c>
      <c r="AS23" s="130"/>
      <c r="AT23" s="123">
        <f t="shared" si="18"/>
        <v>47623.40495612596</v>
      </c>
      <c r="AU23" s="124"/>
      <c r="AV23" s="123">
        <f t="shared" si="19"/>
        <v>431103.371048111</v>
      </c>
      <c r="AW23" s="124"/>
      <c r="AX23" s="123">
        <v>907200</v>
      </c>
      <c r="AY23" s="12">
        <f>'Final Project Calcs'!$G$59-'Solar PV Data'!AX23</f>
        <v>6582.6763823378133</v>
      </c>
      <c r="AZ23" s="12">
        <f>AY23*'Electricity Conversions'!$B$20</f>
        <v>4346.1199239691878</v>
      </c>
      <c r="BA23" s="39"/>
      <c r="BB23" s="127">
        <f t="shared" si="20"/>
        <v>751851.53091296705</v>
      </c>
      <c r="BC23" s="39"/>
      <c r="BD23" s="38">
        <f t="shared" si="21"/>
        <v>101770.56401583079</v>
      </c>
      <c r="BE23" s="130"/>
      <c r="BF23" s="123">
        <f t="shared" si="22"/>
        <v>632151.77263679518</v>
      </c>
      <c r="BG23" s="39"/>
      <c r="BH23" s="123">
        <f t="shared" si="23"/>
        <v>45666.276801726919</v>
      </c>
      <c r="BI23" s="39"/>
      <c r="BJ23" s="127">
        <f t="shared" si="24"/>
        <v>380237.00650363654</v>
      </c>
      <c r="BK23" s="39"/>
      <c r="BL23" s="127">
        <f t="shared" si="25"/>
        <v>2570727.0565415272</v>
      </c>
      <c r="BM23" s="124"/>
    </row>
    <row r="24" spans="1:67" ht="14.25" customHeight="1" x14ac:dyDescent="0.35">
      <c r="C24" s="20">
        <v>11</v>
      </c>
      <c r="D24" s="123">
        <f t="shared" si="26"/>
        <v>419657.74130419351</v>
      </c>
      <c r="E24" s="130"/>
      <c r="F24" s="123">
        <f t="shared" si="27"/>
        <v>35226.742338988748</v>
      </c>
      <c r="G24" s="130"/>
      <c r="H24" s="123">
        <f t="shared" si="28"/>
        <v>71402.488663671029</v>
      </c>
      <c r="I24" s="124"/>
      <c r="J24" s="123">
        <f t="shared" si="0"/>
        <v>245364.91558970592</v>
      </c>
      <c r="K24" s="124"/>
      <c r="L24" s="123">
        <f t="shared" si="1"/>
        <v>208403.09277618991</v>
      </c>
      <c r="M24" s="124"/>
      <c r="N24" s="126">
        <f t="shared" si="2"/>
        <v>38946.811998366022</v>
      </c>
      <c r="O24" s="125"/>
      <c r="P24" s="123">
        <f t="shared" si="3"/>
        <v>23845.185645999587</v>
      </c>
      <c r="Q24" s="124"/>
      <c r="R24" s="123">
        <f t="shared" si="4"/>
        <v>82826.886849858376</v>
      </c>
      <c r="S24" s="39"/>
      <c r="T24" s="123">
        <f t="shared" si="5"/>
        <v>53292.221084430836</v>
      </c>
      <c r="U24" s="39"/>
      <c r="V24" s="123">
        <f t="shared" si="6"/>
        <v>339028.10376457631</v>
      </c>
      <c r="W24" s="39"/>
      <c r="X24" s="123">
        <f t="shared" si="7"/>
        <v>102371.69533770507</v>
      </c>
      <c r="Y24" s="124"/>
      <c r="Z24" s="123">
        <f t="shared" si="8"/>
        <v>151642.0089697713</v>
      </c>
      <c r="AA24" s="124"/>
      <c r="AB24" s="123">
        <f t="shared" si="9"/>
        <v>1071037.3299550656</v>
      </c>
      <c r="AC24" s="124"/>
      <c r="AD24" s="123">
        <f t="shared" si="10"/>
        <v>126596.65791652912</v>
      </c>
      <c r="AE24" s="124"/>
      <c r="AF24" s="123">
        <f t="shared" si="11"/>
        <v>119839.30577260896</v>
      </c>
      <c r="AG24" s="124"/>
      <c r="AH24" s="123">
        <f t="shared" si="12"/>
        <v>537671.12545397575</v>
      </c>
      <c r="AI24" s="39"/>
      <c r="AJ24" s="123">
        <f t="shared" si="13"/>
        <v>164160.84763028787</v>
      </c>
      <c r="AK24" s="130"/>
      <c r="AL24" s="123">
        <f t="shared" si="14"/>
        <v>84780.720586549302</v>
      </c>
      <c r="AM24" s="39"/>
      <c r="AN24" s="123">
        <f t="shared" si="15"/>
        <v>130647.05551813074</v>
      </c>
      <c r="AO24" s="124"/>
      <c r="AP24" s="123">
        <f t="shared" si="16"/>
        <v>2241389.0305059641</v>
      </c>
      <c r="AQ24" s="124"/>
      <c r="AR24" s="123">
        <f t="shared" si="17"/>
        <v>801698.7042397653</v>
      </c>
      <c r="AS24" s="130"/>
      <c r="AT24" s="123">
        <f t="shared" si="18"/>
        <v>47385.28793134533</v>
      </c>
      <c r="AU24" s="124"/>
      <c r="AV24" s="123">
        <f t="shared" si="19"/>
        <v>428947.85419287044</v>
      </c>
      <c r="AW24" s="124"/>
      <c r="AX24" s="123">
        <v>907200</v>
      </c>
      <c r="AY24" s="12">
        <f>'Final Project Calcs'!$G$59-'Solar PV Data'!AX24</f>
        <v>6582.6763823378133</v>
      </c>
      <c r="AZ24" s="12">
        <f>AY24*'Electricity Conversions'!$B$20</f>
        <v>4346.1199239691878</v>
      </c>
      <c r="BA24" s="39"/>
      <c r="BB24" s="127">
        <f t="shared" si="20"/>
        <v>748092.27325840225</v>
      </c>
      <c r="BC24" s="39"/>
      <c r="BD24" s="38">
        <f t="shared" si="21"/>
        <v>101261.71119575165</v>
      </c>
      <c r="BE24" s="130"/>
      <c r="BF24" s="123">
        <f t="shared" si="22"/>
        <v>628991.01377361116</v>
      </c>
      <c r="BG24" s="39"/>
      <c r="BH24" s="123">
        <f t="shared" si="23"/>
        <v>45437.945417718285</v>
      </c>
      <c r="BI24" s="39"/>
      <c r="BJ24" s="127">
        <f t="shared" si="24"/>
        <v>378335.82147111837</v>
      </c>
      <c r="BK24" s="39"/>
      <c r="BL24" s="127">
        <f t="shared" si="25"/>
        <v>2557873.4212588193</v>
      </c>
      <c r="BM24" s="124"/>
    </row>
    <row r="25" spans="1:67" ht="14.25" customHeight="1" x14ac:dyDescent="0.35">
      <c r="C25" s="20">
        <v>12</v>
      </c>
      <c r="D25" s="123">
        <f t="shared" si="26"/>
        <v>417559.45259767253</v>
      </c>
      <c r="E25" s="130"/>
      <c r="F25" s="123">
        <f t="shared" si="27"/>
        <v>35050.608627293805</v>
      </c>
      <c r="G25" s="130"/>
      <c r="H25" s="123">
        <f t="shared" si="28"/>
        <v>71045.476220352677</v>
      </c>
      <c r="I25" s="124"/>
      <c r="J25" s="123">
        <f t="shared" si="0"/>
        <v>244138.09101175738</v>
      </c>
      <c r="K25" s="124"/>
      <c r="L25" s="123">
        <f t="shared" si="1"/>
        <v>207361.07731230895</v>
      </c>
      <c r="M25" s="124"/>
      <c r="N25" s="126">
        <f t="shared" si="2"/>
        <v>38752.07793837419</v>
      </c>
      <c r="O25" s="125"/>
      <c r="P25" s="123">
        <f t="shared" si="3"/>
        <v>23725.95971776959</v>
      </c>
      <c r="Q25" s="124"/>
      <c r="R25" s="123">
        <f t="shared" si="4"/>
        <v>82412.75241560908</v>
      </c>
      <c r="S25" s="39"/>
      <c r="T25" s="123">
        <f t="shared" si="5"/>
        <v>53025.759979008682</v>
      </c>
      <c r="U25" s="39"/>
      <c r="V25" s="123">
        <f t="shared" si="6"/>
        <v>337332.96324575343</v>
      </c>
      <c r="W25" s="39"/>
      <c r="X25" s="123">
        <f t="shared" si="7"/>
        <v>101859.83686101653</v>
      </c>
      <c r="Y25" s="124"/>
      <c r="Z25" s="123">
        <f t="shared" si="8"/>
        <v>150883.79892492245</v>
      </c>
      <c r="AA25" s="124"/>
      <c r="AB25" s="123">
        <f t="shared" si="9"/>
        <v>1065682.1433052903</v>
      </c>
      <c r="AC25" s="124"/>
      <c r="AD25" s="123">
        <f t="shared" si="10"/>
        <v>125963.67462694648</v>
      </c>
      <c r="AE25" s="124"/>
      <c r="AF25" s="123">
        <f t="shared" si="11"/>
        <v>119240.10924374592</v>
      </c>
      <c r="AG25" s="124"/>
      <c r="AH25" s="123">
        <f t="shared" si="12"/>
        <v>534982.76982670592</v>
      </c>
      <c r="AI25" s="39"/>
      <c r="AJ25" s="123">
        <f t="shared" si="13"/>
        <v>163340.04339213643</v>
      </c>
      <c r="AK25" s="130"/>
      <c r="AL25" s="123">
        <f t="shared" si="14"/>
        <v>84356.816983616562</v>
      </c>
      <c r="AM25" s="39"/>
      <c r="AN25" s="123">
        <f t="shared" si="15"/>
        <v>129993.8202405401</v>
      </c>
      <c r="AO25" s="124"/>
      <c r="AP25" s="123">
        <f t="shared" si="16"/>
        <v>2230182.0853534341</v>
      </c>
      <c r="AQ25" s="124"/>
      <c r="AR25" s="123">
        <f t="shared" si="17"/>
        <v>797690.21071856644</v>
      </c>
      <c r="AS25" s="130"/>
      <c r="AT25" s="123">
        <f t="shared" si="18"/>
        <v>47148.361491688607</v>
      </c>
      <c r="AU25" s="124"/>
      <c r="AV25" s="123">
        <f t="shared" si="19"/>
        <v>426803.11492190609</v>
      </c>
      <c r="AW25" s="124"/>
      <c r="AX25" s="123"/>
      <c r="AY25" s="12">
        <f>('Final Project Calcs'!$G$59*$A$15)-'Solar PV Data'!AX25</f>
        <v>909213.76300042612</v>
      </c>
      <c r="AZ25" s="12">
        <f>AY25*'Electricity Conversions'!$B$20</f>
        <v>600295.65802834928</v>
      </c>
      <c r="BA25" s="39"/>
      <c r="BB25" s="127">
        <f t="shared" si="20"/>
        <v>744351.81189211027</v>
      </c>
      <c r="BC25" s="39"/>
      <c r="BD25" s="38">
        <f t="shared" si="21"/>
        <v>100755.40263977289</v>
      </c>
      <c r="BE25" s="130"/>
      <c r="BF25" s="123">
        <f t="shared" si="22"/>
        <v>625846.05870474316</v>
      </c>
      <c r="BG25" s="39"/>
      <c r="BH25" s="123">
        <f t="shared" si="23"/>
        <v>45210.755690629696</v>
      </c>
      <c r="BI25" s="39"/>
      <c r="BJ25" s="127">
        <f t="shared" si="24"/>
        <v>376444.14236376277</v>
      </c>
      <c r="BK25" s="39"/>
      <c r="BL25" s="127">
        <f t="shared" si="25"/>
        <v>2545084.054152525</v>
      </c>
      <c r="BM25" s="124"/>
    </row>
    <row r="26" spans="1:67" ht="14.25" customHeight="1" x14ac:dyDescent="0.35">
      <c r="C26" s="20">
        <v>13</v>
      </c>
      <c r="D26" s="123">
        <f t="shared" si="26"/>
        <v>415471.65533468418</v>
      </c>
      <c r="E26" s="130"/>
      <c r="F26" s="123">
        <f t="shared" si="27"/>
        <v>34875.355584157332</v>
      </c>
      <c r="G26" s="130"/>
      <c r="H26" s="123">
        <f t="shared" si="28"/>
        <v>70690.248839250911</v>
      </c>
      <c r="I26" s="124"/>
      <c r="J26" s="123">
        <f t="shared" si="0"/>
        <v>242917.40055669859</v>
      </c>
      <c r="K26" s="124"/>
      <c r="L26" s="123">
        <f t="shared" si="1"/>
        <v>206324.27192574739</v>
      </c>
      <c r="M26" s="124"/>
      <c r="N26" s="126">
        <f t="shared" si="2"/>
        <v>38558.317548682317</v>
      </c>
      <c r="O26" s="125"/>
      <c r="P26" s="123">
        <f t="shared" si="3"/>
        <v>23607.329919180742</v>
      </c>
      <c r="Q26" s="124"/>
      <c r="R26" s="123">
        <f t="shared" si="4"/>
        <v>82000.688653531033</v>
      </c>
      <c r="S26" s="39"/>
      <c r="T26" s="123">
        <f t="shared" si="5"/>
        <v>52760.63117911364</v>
      </c>
      <c r="U26" s="39"/>
      <c r="V26" s="123">
        <f t="shared" si="6"/>
        <v>335646.29842952464</v>
      </c>
      <c r="W26" s="39"/>
      <c r="X26" s="123">
        <f t="shared" si="7"/>
        <v>101350.53767671145</v>
      </c>
      <c r="Y26" s="124"/>
      <c r="Z26" s="123">
        <f t="shared" si="8"/>
        <v>150129.37993029784</v>
      </c>
      <c r="AA26" s="124"/>
      <c r="AB26" s="123">
        <f t="shared" si="9"/>
        <v>1060353.7325887638</v>
      </c>
      <c r="AC26" s="124"/>
      <c r="AD26" s="123">
        <f t="shared" si="10"/>
        <v>125333.85625381174</v>
      </c>
      <c r="AE26" s="124"/>
      <c r="AF26" s="123">
        <f t="shared" si="11"/>
        <v>118643.90869752718</v>
      </c>
      <c r="AG26" s="124"/>
      <c r="AH26" s="123">
        <f t="shared" si="12"/>
        <v>532307.85597757238</v>
      </c>
      <c r="AI26" s="39"/>
      <c r="AJ26" s="123">
        <f t="shared" si="13"/>
        <v>162523.34317517575</v>
      </c>
      <c r="AK26" s="130"/>
      <c r="AL26" s="123">
        <f t="shared" si="14"/>
        <v>83935.032898698482</v>
      </c>
      <c r="AM26" s="39"/>
      <c r="AN26" s="123">
        <f t="shared" si="15"/>
        <v>129343.85113933739</v>
      </c>
      <c r="AO26" s="124"/>
      <c r="AP26" s="123">
        <f t="shared" si="16"/>
        <v>2219031.174926667</v>
      </c>
      <c r="AQ26" s="124"/>
      <c r="AR26" s="123">
        <f t="shared" si="17"/>
        <v>793701.75966497359</v>
      </c>
      <c r="AS26" s="130"/>
      <c r="AT26" s="123">
        <f t="shared" si="18"/>
        <v>46912.619684230165</v>
      </c>
      <c r="AU26" s="124"/>
      <c r="AV26" s="123">
        <f t="shared" si="19"/>
        <v>424669.09934729658</v>
      </c>
      <c r="AW26" s="124"/>
      <c r="AX26" s="123"/>
      <c r="AY26" s="12">
        <f>(AY25*$A$15)-'Solar PV Data'!AX26</f>
        <v>904667.69418542401</v>
      </c>
      <c r="AZ26" s="12">
        <f>AY26*'Electricity Conversions'!$B$20</f>
        <v>597294.1797382076</v>
      </c>
      <c r="BA26" s="39"/>
      <c r="BB26" s="127">
        <f t="shared" si="20"/>
        <v>740630.05283264967</v>
      </c>
      <c r="BC26" s="39"/>
      <c r="BD26" s="38">
        <f t="shared" si="21"/>
        <v>100251.62562657402</v>
      </c>
      <c r="BE26" s="130"/>
      <c r="BF26" s="123">
        <f t="shared" si="22"/>
        <v>622716.82841121941</v>
      </c>
      <c r="BG26" s="39"/>
      <c r="BH26" s="123">
        <f t="shared" si="23"/>
        <v>44984.701912176548</v>
      </c>
      <c r="BI26" s="39"/>
      <c r="BJ26" s="127">
        <f t="shared" si="24"/>
        <v>374561.92165194394</v>
      </c>
      <c r="BK26" s="39"/>
      <c r="BL26" s="127">
        <f t="shared" si="25"/>
        <v>2532358.6338817626</v>
      </c>
      <c r="BM26" s="124"/>
    </row>
    <row r="27" spans="1:67" ht="14.25" customHeight="1" x14ac:dyDescent="0.35">
      <c r="C27" s="20">
        <v>14</v>
      </c>
      <c r="D27" s="123">
        <f t="shared" si="26"/>
        <v>413394.29705801076</v>
      </c>
      <c r="E27" s="130"/>
      <c r="F27" s="123">
        <f t="shared" si="27"/>
        <v>34700.978806236548</v>
      </c>
      <c r="G27" s="130"/>
      <c r="H27" s="123">
        <f t="shared" si="28"/>
        <v>70336.797595054653</v>
      </c>
      <c r="I27" s="124"/>
      <c r="J27" s="123">
        <f t="shared" si="0"/>
        <v>241702.8135539151</v>
      </c>
      <c r="K27" s="124"/>
      <c r="L27" s="123">
        <f t="shared" si="1"/>
        <v>205292.65056611865</v>
      </c>
      <c r="M27" s="124"/>
      <c r="N27" s="126">
        <f t="shared" si="2"/>
        <v>38365.525960938903</v>
      </c>
      <c r="O27" s="125"/>
      <c r="P27" s="123">
        <f t="shared" si="3"/>
        <v>23489.293269584839</v>
      </c>
      <c r="Q27" s="124"/>
      <c r="R27" s="123">
        <f t="shared" si="4"/>
        <v>81590.685210263371</v>
      </c>
      <c r="S27" s="39"/>
      <c r="T27" s="123">
        <f t="shared" si="5"/>
        <v>52496.82802321807</v>
      </c>
      <c r="U27" s="39"/>
      <c r="V27" s="123">
        <f t="shared" si="6"/>
        <v>333968.06693737704</v>
      </c>
      <c r="W27" s="39"/>
      <c r="X27" s="123">
        <f t="shared" si="7"/>
        <v>100843.7849883279</v>
      </c>
      <c r="Y27" s="124"/>
      <c r="Z27" s="123">
        <f t="shared" si="8"/>
        <v>149378.73303064634</v>
      </c>
      <c r="AA27" s="124"/>
      <c r="AB27" s="123">
        <f t="shared" si="9"/>
        <v>1055051.9639258201</v>
      </c>
      <c r="AC27" s="124"/>
      <c r="AD27" s="123">
        <f t="shared" si="10"/>
        <v>124707.18697254268</v>
      </c>
      <c r="AE27" s="124"/>
      <c r="AF27" s="123">
        <f t="shared" si="11"/>
        <v>118050.68915403954</v>
      </c>
      <c r="AG27" s="124"/>
      <c r="AH27" s="123">
        <f t="shared" si="12"/>
        <v>529646.31669768447</v>
      </c>
      <c r="AI27" s="39"/>
      <c r="AJ27" s="123">
        <f t="shared" si="13"/>
        <v>161710.72645929985</v>
      </c>
      <c r="AK27" s="130"/>
      <c r="AL27" s="123">
        <f t="shared" si="14"/>
        <v>83515.357734204983</v>
      </c>
      <c r="AM27" s="39"/>
      <c r="AN27" s="123">
        <f t="shared" si="15"/>
        <v>128697.1318836407</v>
      </c>
      <c r="AO27" s="124"/>
      <c r="AP27" s="123">
        <f t="shared" si="16"/>
        <v>2207936.0190520338</v>
      </c>
      <c r="AQ27" s="124"/>
      <c r="AR27" s="123">
        <f t="shared" si="17"/>
        <v>789733.25086664874</v>
      </c>
      <c r="AS27" s="130"/>
      <c r="AT27" s="123">
        <f t="shared" si="18"/>
        <v>46678.056585809012</v>
      </c>
      <c r="AU27" s="124"/>
      <c r="AV27" s="123">
        <f t="shared" si="19"/>
        <v>422545.75385056011</v>
      </c>
      <c r="AW27" s="124"/>
      <c r="AX27" s="123"/>
      <c r="AY27" s="12">
        <f>(AY26*$A$15)-'Solar PV Data'!AX27</f>
        <v>900144.35571449692</v>
      </c>
      <c r="AZ27" s="12">
        <f>AY27*'Electricity Conversions'!$B$20</f>
        <v>594307.7088395165</v>
      </c>
      <c r="BA27" s="39"/>
      <c r="BB27" s="127">
        <f t="shared" si="20"/>
        <v>736926.9025684864</v>
      </c>
      <c r="BC27" s="39"/>
      <c r="BD27" s="38">
        <f t="shared" si="21"/>
        <v>99750.367498441148</v>
      </c>
      <c r="BE27" s="130"/>
      <c r="BF27" s="123">
        <f t="shared" si="22"/>
        <v>619603.24426916335</v>
      </c>
      <c r="BG27" s="39"/>
      <c r="BH27" s="123">
        <f t="shared" si="23"/>
        <v>44759.778402615666</v>
      </c>
      <c r="BI27" s="39"/>
      <c r="BJ27" s="127">
        <f t="shared" si="24"/>
        <v>372689.11204368423</v>
      </c>
      <c r="BK27" s="39"/>
      <c r="BL27" s="127">
        <f t="shared" si="25"/>
        <v>2519696.8407123536</v>
      </c>
      <c r="BM27" s="124"/>
    </row>
    <row r="28" spans="1:67" ht="14.25" customHeight="1" x14ac:dyDescent="0.35">
      <c r="C28" s="20">
        <v>15</v>
      </c>
      <c r="D28" s="123">
        <f t="shared" si="26"/>
        <v>411327.32557272073</v>
      </c>
      <c r="E28" s="130"/>
      <c r="F28" s="123">
        <f t="shared" si="27"/>
        <v>34527.473912205365</v>
      </c>
      <c r="G28" s="130"/>
      <c r="H28" s="123">
        <f t="shared" si="28"/>
        <v>69985.113607079373</v>
      </c>
      <c r="I28" s="124"/>
      <c r="J28" s="123">
        <f t="shared" si="0"/>
        <v>240494.29948614552</v>
      </c>
      <c r="K28" s="124"/>
      <c r="L28" s="123">
        <f t="shared" si="1"/>
        <v>204266.18731328807</v>
      </c>
      <c r="M28" s="124"/>
      <c r="N28" s="126">
        <f t="shared" si="2"/>
        <v>38173.698331134212</v>
      </c>
      <c r="O28" s="125"/>
      <c r="P28" s="123">
        <f t="shared" si="3"/>
        <v>23371.846803236916</v>
      </c>
      <c r="Q28" s="124"/>
      <c r="R28" s="123">
        <f t="shared" si="4"/>
        <v>81182.731784212054</v>
      </c>
      <c r="S28" s="39"/>
      <c r="T28" s="123">
        <f t="shared" si="5"/>
        <v>52234.343883101981</v>
      </c>
      <c r="U28" s="39"/>
      <c r="V28" s="123">
        <f t="shared" si="6"/>
        <v>332298.22660269018</v>
      </c>
      <c r="W28" s="39"/>
      <c r="X28" s="123">
        <f t="shared" si="7"/>
        <v>100339.56606338626</v>
      </c>
      <c r="Y28" s="124"/>
      <c r="Z28" s="123">
        <f t="shared" si="8"/>
        <v>148631.8393654931</v>
      </c>
      <c r="AA28" s="124"/>
      <c r="AB28" s="123">
        <f t="shared" si="9"/>
        <v>1049776.7041061909</v>
      </c>
      <c r="AC28" s="124"/>
      <c r="AD28" s="123">
        <f t="shared" si="10"/>
        <v>124083.65103767997</v>
      </c>
      <c r="AE28" s="124"/>
      <c r="AF28" s="123">
        <f t="shared" si="11"/>
        <v>117460.43570826935</v>
      </c>
      <c r="AG28" s="124"/>
      <c r="AH28" s="123">
        <f t="shared" si="12"/>
        <v>526998.08511419606</v>
      </c>
      <c r="AI28" s="39"/>
      <c r="AJ28" s="123">
        <f t="shared" si="13"/>
        <v>160902.17282700335</v>
      </c>
      <c r="AK28" s="130"/>
      <c r="AL28" s="123">
        <f t="shared" si="14"/>
        <v>83097.780945533959</v>
      </c>
      <c r="AM28" s="39"/>
      <c r="AN28" s="123">
        <f t="shared" si="15"/>
        <v>128053.6462242225</v>
      </c>
      <c r="AO28" s="124"/>
      <c r="AP28" s="123">
        <f t="shared" si="16"/>
        <v>2196896.3389567737</v>
      </c>
      <c r="AQ28" s="124"/>
      <c r="AR28" s="123">
        <f t="shared" si="17"/>
        <v>785784.58461231552</v>
      </c>
      <c r="AS28" s="130"/>
      <c r="AT28" s="123">
        <f t="shared" si="18"/>
        <v>46444.666302879967</v>
      </c>
      <c r="AU28" s="124"/>
      <c r="AV28" s="123">
        <f t="shared" si="19"/>
        <v>420433.02508130734</v>
      </c>
      <c r="AW28" s="124"/>
      <c r="AX28" s="123"/>
      <c r="AY28" s="12">
        <f>(AY27*$A$15)-'Solar PV Data'!AX28</f>
        <v>895643.63393592439</v>
      </c>
      <c r="AZ28" s="12">
        <f>AY28*'Electricity Conversions'!$B$20</f>
        <v>591336.17029531894</v>
      </c>
      <c r="BA28" s="39"/>
      <c r="BB28" s="127">
        <f t="shared" si="20"/>
        <v>733242.268055644</v>
      </c>
      <c r="BC28" s="39"/>
      <c r="BD28" s="38">
        <f t="shared" si="21"/>
        <v>99251.615660948941</v>
      </c>
      <c r="BE28" s="130"/>
      <c r="BF28" s="123">
        <f t="shared" si="22"/>
        <v>616505.22804781748</v>
      </c>
      <c r="BG28" s="39"/>
      <c r="BH28" s="123">
        <f t="shared" si="23"/>
        <v>44535.979510602585</v>
      </c>
      <c r="BI28" s="39"/>
      <c r="BJ28" s="127">
        <f t="shared" si="24"/>
        <v>370825.66648346581</v>
      </c>
      <c r="BK28" s="39"/>
      <c r="BL28" s="127">
        <f t="shared" si="25"/>
        <v>2507098.3565087919</v>
      </c>
      <c r="BM28" s="124"/>
    </row>
    <row r="29" spans="1:67" ht="14.25" customHeight="1" x14ac:dyDescent="0.35">
      <c r="C29" s="20">
        <v>16</v>
      </c>
      <c r="D29" s="123">
        <f t="shared" si="26"/>
        <v>409270.6889448571</v>
      </c>
      <c r="E29" s="130"/>
      <c r="F29" s="123">
        <f t="shared" si="27"/>
        <v>34354.836542644342</v>
      </c>
      <c r="G29" s="130"/>
      <c r="H29" s="123">
        <f t="shared" si="28"/>
        <v>69635.188039043976</v>
      </c>
      <c r="I29" s="124"/>
      <c r="J29" s="123">
        <f t="shared" si="0"/>
        <v>239291.82798871479</v>
      </c>
      <c r="K29" s="124"/>
      <c r="L29" s="123">
        <f t="shared" si="1"/>
        <v>203244.85637672164</v>
      </c>
      <c r="M29" s="124"/>
      <c r="N29" s="126">
        <f t="shared" si="2"/>
        <v>37982.829839478538</v>
      </c>
      <c r="O29" s="125"/>
      <c r="P29" s="123">
        <f t="shared" si="3"/>
        <v>23254.987569220732</v>
      </c>
      <c r="Q29" s="124"/>
      <c r="R29" s="123">
        <f t="shared" si="4"/>
        <v>80776.818125291</v>
      </c>
      <c r="S29" s="39"/>
      <c r="T29" s="123">
        <f t="shared" si="5"/>
        <v>51973.172163686468</v>
      </c>
      <c r="U29" s="39"/>
      <c r="V29" s="123">
        <f t="shared" si="6"/>
        <v>330636.73546967673</v>
      </c>
      <c r="W29" s="39"/>
      <c r="X29" s="123">
        <f t="shared" si="7"/>
        <v>99837.868233069326</v>
      </c>
      <c r="Y29" s="124"/>
      <c r="Z29" s="123">
        <f t="shared" si="8"/>
        <v>147888.68016866563</v>
      </c>
      <c r="AA29" s="124"/>
      <c r="AB29" s="123">
        <f t="shared" si="9"/>
        <v>1044527.8205856599</v>
      </c>
      <c r="AC29" s="124"/>
      <c r="AD29" s="123">
        <f t="shared" si="10"/>
        <v>123463.23278249157</v>
      </c>
      <c r="AE29" s="124"/>
      <c r="AF29" s="123">
        <f t="shared" si="11"/>
        <v>116873.133529728</v>
      </c>
      <c r="AG29" s="124"/>
      <c r="AH29" s="123">
        <f t="shared" si="12"/>
        <v>524363.09468862507</v>
      </c>
      <c r="AI29" s="39"/>
      <c r="AJ29" s="123">
        <f t="shared" si="13"/>
        <v>160097.66196286833</v>
      </c>
      <c r="AK29" s="130"/>
      <c r="AL29" s="123">
        <f t="shared" si="14"/>
        <v>82682.292040806293</v>
      </c>
      <c r="AM29" s="39"/>
      <c r="AN29" s="123">
        <f t="shared" si="15"/>
        <v>127413.37799310139</v>
      </c>
      <c r="AO29" s="124"/>
      <c r="AP29" s="123">
        <f t="shared" si="16"/>
        <v>2185911.8572619897</v>
      </c>
      <c r="AQ29" s="124"/>
      <c r="AR29" s="123">
        <f t="shared" si="17"/>
        <v>781855.66168925399</v>
      </c>
      <c r="AS29" s="130"/>
      <c r="AT29" s="123">
        <f t="shared" si="18"/>
        <v>46212.44297136557</v>
      </c>
      <c r="AU29" s="124"/>
      <c r="AV29" s="123">
        <f t="shared" si="19"/>
        <v>418330.85995590081</v>
      </c>
      <c r="AW29" s="124"/>
      <c r="AX29" s="123"/>
      <c r="AY29" s="12">
        <f>(AY28*$A$15)-'Solar PV Data'!AX29</f>
        <v>891165.41576624475</v>
      </c>
      <c r="AZ29" s="12">
        <f>AY29*'Electricity Conversions'!$B$20</f>
        <v>588379.48944384232</v>
      </c>
      <c r="BA29" s="39"/>
      <c r="BB29" s="127">
        <f t="shared" si="20"/>
        <v>729576.05671536573</v>
      </c>
      <c r="BC29" s="39"/>
      <c r="BD29" s="38">
        <f t="shared" si="21"/>
        <v>98755.357582644196</v>
      </c>
      <c r="BE29" s="130"/>
      <c r="BF29" s="123">
        <f t="shared" si="22"/>
        <v>613422.70190757839</v>
      </c>
      <c r="BG29" s="39"/>
      <c r="BH29" s="123">
        <f t="shared" si="23"/>
        <v>44313.299613049574</v>
      </c>
      <c r="BI29" s="39"/>
      <c r="BJ29" s="127">
        <f t="shared" si="24"/>
        <v>368971.53815104847</v>
      </c>
      <c r="BK29" s="39"/>
      <c r="BL29" s="127">
        <f t="shared" si="25"/>
        <v>2494562.8647262477</v>
      </c>
      <c r="BM29" s="124"/>
    </row>
    <row r="30" spans="1:67" ht="14.25" customHeight="1" x14ac:dyDescent="0.35">
      <c r="C30" s="20">
        <v>17</v>
      </c>
      <c r="D30" s="123">
        <f t="shared" si="26"/>
        <v>407224.33550013282</v>
      </c>
      <c r="E30" s="130"/>
      <c r="F30" s="123">
        <f t="shared" si="27"/>
        <v>34183.062359931122</v>
      </c>
      <c r="G30" s="130"/>
      <c r="H30" s="123">
        <f t="shared" si="28"/>
        <v>69287.012098848762</v>
      </c>
      <c r="I30" s="124"/>
      <c r="J30" s="123">
        <f t="shared" si="0"/>
        <v>238095.36884877121</v>
      </c>
      <c r="K30" s="124"/>
      <c r="L30" s="123">
        <f t="shared" si="1"/>
        <v>202228.63209483805</v>
      </c>
      <c r="M30" s="124"/>
      <c r="N30" s="126">
        <f t="shared" si="2"/>
        <v>37792.915690281145</v>
      </c>
      <c r="O30" s="125"/>
      <c r="P30" s="123">
        <f t="shared" si="3"/>
        <v>23138.712631374627</v>
      </c>
      <c r="Q30" s="124"/>
      <c r="R30" s="123">
        <f t="shared" si="4"/>
        <v>80372.934034664548</v>
      </c>
      <c r="S30" s="39"/>
      <c r="T30" s="123">
        <f t="shared" si="5"/>
        <v>51713.306302868034</v>
      </c>
      <c r="U30" s="39"/>
      <c r="V30" s="123">
        <f t="shared" si="6"/>
        <v>328983.55179232836</v>
      </c>
      <c r="W30" s="39"/>
      <c r="X30" s="123">
        <f t="shared" si="7"/>
        <v>99338.678891903983</v>
      </c>
      <c r="Y30" s="124"/>
      <c r="Z30" s="123">
        <f t="shared" si="8"/>
        <v>147149.23676782229</v>
      </c>
      <c r="AA30" s="124"/>
      <c r="AB30" s="123">
        <f t="shared" si="9"/>
        <v>1039305.1814827316</v>
      </c>
      <c r="AC30" s="124"/>
      <c r="AD30" s="123">
        <f t="shared" si="10"/>
        <v>122845.91661857911</v>
      </c>
      <c r="AE30" s="124"/>
      <c r="AF30" s="123">
        <f t="shared" si="11"/>
        <v>116288.76786207936</v>
      </c>
      <c r="AG30" s="124"/>
      <c r="AH30" s="123">
        <f t="shared" si="12"/>
        <v>521741.27921518194</v>
      </c>
      <c r="AI30" s="39"/>
      <c r="AJ30" s="123">
        <f t="shared" si="13"/>
        <v>159297.17365305399</v>
      </c>
      <c r="AK30" s="130"/>
      <c r="AL30" s="123">
        <f t="shared" si="14"/>
        <v>82268.880580602257</v>
      </c>
      <c r="AM30" s="39"/>
      <c r="AN30" s="123">
        <f t="shared" si="15"/>
        <v>126776.31110313587</v>
      </c>
      <c r="AO30" s="124"/>
      <c r="AP30" s="123">
        <f t="shared" si="16"/>
        <v>2174982.2979756799</v>
      </c>
      <c r="AQ30" s="124"/>
      <c r="AR30" s="123">
        <f t="shared" si="17"/>
        <v>777946.3833808077</v>
      </c>
      <c r="AS30" s="130"/>
      <c r="AT30" s="123">
        <f t="shared" si="18"/>
        <v>45981.380756508741</v>
      </c>
      <c r="AU30" s="124"/>
      <c r="AV30" s="123">
        <f t="shared" si="19"/>
        <v>416239.20565612131</v>
      </c>
      <c r="AW30" s="124"/>
      <c r="AX30" s="123"/>
      <c r="AY30" s="12">
        <f>(AY29*$A$15)-'Solar PV Data'!AX30</f>
        <v>886709.58868741349</v>
      </c>
      <c r="AZ30" s="12">
        <f>AY30*'Electricity Conversions'!$B$20</f>
        <v>585437.59199662309</v>
      </c>
      <c r="BA30" s="39"/>
      <c r="BB30" s="127">
        <f t="shared" si="20"/>
        <v>725928.17643178895</v>
      </c>
      <c r="BC30" s="39"/>
      <c r="BD30" s="38">
        <f t="shared" si="21"/>
        <v>98261.58079473098</v>
      </c>
      <c r="BE30" s="130"/>
      <c r="BF30" s="123">
        <f t="shared" si="22"/>
        <v>610355.58839804051</v>
      </c>
      <c r="BG30" s="39"/>
      <c r="BH30" s="123">
        <f t="shared" si="23"/>
        <v>44091.733114984323</v>
      </c>
      <c r="BI30" s="39"/>
      <c r="BJ30" s="127">
        <f t="shared" si="24"/>
        <v>367126.68046029325</v>
      </c>
      <c r="BK30" s="39"/>
      <c r="BL30" s="127">
        <f t="shared" si="25"/>
        <v>2482090.0504026166</v>
      </c>
      <c r="BM30" s="124"/>
    </row>
    <row r="31" spans="1:67" ht="14.25" customHeight="1" x14ac:dyDescent="0.35">
      <c r="C31" s="20">
        <v>18</v>
      </c>
      <c r="D31" s="123">
        <f t="shared" si="26"/>
        <v>405188.21382263215</v>
      </c>
      <c r="E31" s="130"/>
      <c r="F31" s="123">
        <f t="shared" si="27"/>
        <v>34012.147048131468</v>
      </c>
      <c r="G31" s="130"/>
      <c r="H31" s="123">
        <f t="shared" si="28"/>
        <v>68940.577038354517</v>
      </c>
      <c r="I31" s="124"/>
      <c r="J31" s="123">
        <f t="shared" si="0"/>
        <v>236904.89200452736</v>
      </c>
      <c r="K31" s="124"/>
      <c r="L31" s="123">
        <f t="shared" si="1"/>
        <v>201217.48893436385</v>
      </c>
      <c r="M31" s="124"/>
      <c r="N31" s="126">
        <f t="shared" si="2"/>
        <v>37603.951111829738</v>
      </c>
      <c r="O31" s="125"/>
      <c r="P31" s="123">
        <f t="shared" si="3"/>
        <v>23023.019068217753</v>
      </c>
      <c r="Q31" s="124"/>
      <c r="R31" s="123">
        <f t="shared" si="4"/>
        <v>79971.069364491224</v>
      </c>
      <c r="S31" s="39"/>
      <c r="T31" s="123">
        <f t="shared" si="5"/>
        <v>51454.739771353692</v>
      </c>
      <c r="U31" s="39"/>
      <c r="V31" s="123">
        <f t="shared" si="6"/>
        <v>327338.63403336675</v>
      </c>
      <c r="W31" s="39"/>
      <c r="X31" s="123">
        <f t="shared" si="7"/>
        <v>98841.985497444461</v>
      </c>
      <c r="Y31" s="124"/>
      <c r="Z31" s="123">
        <f t="shared" si="8"/>
        <v>146413.49058398319</v>
      </c>
      <c r="AA31" s="124"/>
      <c r="AB31" s="123">
        <f t="shared" si="9"/>
        <v>1034108.6555753179</v>
      </c>
      <c r="AC31" s="124"/>
      <c r="AD31" s="123">
        <f t="shared" si="10"/>
        <v>122231.68703548622</v>
      </c>
      <c r="AE31" s="124"/>
      <c r="AF31" s="123">
        <f t="shared" si="11"/>
        <v>115707.32402276897</v>
      </c>
      <c r="AG31" s="124"/>
      <c r="AH31" s="123">
        <f t="shared" si="12"/>
        <v>519132.57281910605</v>
      </c>
      <c r="AI31" s="39"/>
      <c r="AJ31" s="123">
        <f t="shared" si="13"/>
        <v>158500.68778478872</v>
      </c>
      <c r="AK31" s="130"/>
      <c r="AL31" s="123">
        <f t="shared" si="14"/>
        <v>81857.53617769925</v>
      </c>
      <c r="AM31" s="39"/>
      <c r="AN31" s="123">
        <f t="shared" si="15"/>
        <v>126142.4295476202</v>
      </c>
      <c r="AO31" s="124"/>
      <c r="AP31" s="123">
        <f t="shared" si="16"/>
        <v>2164107.3864858015</v>
      </c>
      <c r="AQ31" s="124"/>
      <c r="AR31" s="123">
        <f t="shared" si="17"/>
        <v>774056.65146390372</v>
      </c>
      <c r="AS31" s="130"/>
      <c r="AT31" s="123">
        <f t="shared" si="18"/>
        <v>45751.473852726194</v>
      </c>
      <c r="AU31" s="124"/>
      <c r="AV31" s="123">
        <f t="shared" si="19"/>
        <v>414158.00962784071</v>
      </c>
      <c r="AW31" s="124"/>
      <c r="AX31" s="123"/>
      <c r="AY31" s="12">
        <f>(AY30*$A$15)-'Solar PV Data'!AX31</f>
        <v>882276.04074397637</v>
      </c>
      <c r="AZ31" s="12">
        <f>AY31*'Electricity Conversions'!$B$20</f>
        <v>582510.40403663996</v>
      </c>
      <c r="BA31" s="39"/>
      <c r="BB31" s="127">
        <f t="shared" si="20"/>
        <v>722298.53554962995</v>
      </c>
      <c r="BC31" s="39"/>
      <c r="BD31" s="38">
        <f t="shared" si="21"/>
        <v>97770.272890757318</v>
      </c>
      <c r="BE31" s="130"/>
      <c r="BF31" s="123">
        <f t="shared" si="22"/>
        <v>607303.81045605033</v>
      </c>
      <c r="BG31" s="39"/>
      <c r="BH31" s="123">
        <f t="shared" si="23"/>
        <v>43871.2744494094</v>
      </c>
      <c r="BI31" s="39"/>
      <c r="BJ31" s="127">
        <f t="shared" si="24"/>
        <v>365291.04705799179</v>
      </c>
      <c r="BK31" s="39"/>
      <c r="BL31" s="127">
        <f t="shared" si="25"/>
        <v>2469679.6001506033</v>
      </c>
      <c r="BM31" s="124"/>
    </row>
    <row r="32" spans="1:67" ht="14.25" customHeight="1" x14ac:dyDescent="0.35">
      <c r="C32" s="20">
        <v>19</v>
      </c>
      <c r="D32" s="123">
        <f t="shared" si="26"/>
        <v>403162.27275351901</v>
      </c>
      <c r="E32" s="130"/>
      <c r="F32" s="123">
        <f t="shared" si="27"/>
        <v>33842.086312890809</v>
      </c>
      <c r="G32" s="130"/>
      <c r="H32" s="123">
        <f t="shared" si="28"/>
        <v>68595.874153162746</v>
      </c>
      <c r="I32" s="124"/>
      <c r="J32" s="123">
        <f t="shared" si="0"/>
        <v>235720.36754450473</v>
      </c>
      <c r="K32" s="124"/>
      <c r="L32" s="123">
        <f t="shared" si="1"/>
        <v>200211.40148969204</v>
      </c>
      <c r="M32" s="124"/>
      <c r="N32" s="126">
        <f t="shared" si="2"/>
        <v>37415.931356270587</v>
      </c>
      <c r="O32" s="125"/>
      <c r="P32" s="123">
        <f t="shared" si="3"/>
        <v>22907.903972876662</v>
      </c>
      <c r="Q32" s="124"/>
      <c r="R32" s="123">
        <f t="shared" si="4"/>
        <v>79571.214017668768</v>
      </c>
      <c r="S32" s="39"/>
      <c r="T32" s="123">
        <f t="shared" si="5"/>
        <v>51197.466072496922</v>
      </c>
      <c r="U32" s="39"/>
      <c r="V32" s="123">
        <f t="shared" si="6"/>
        <v>325701.94086319994</v>
      </c>
      <c r="W32" s="39"/>
      <c r="X32" s="123">
        <f t="shared" si="7"/>
        <v>98347.775569957244</v>
      </c>
      <c r="Y32" s="124"/>
      <c r="Z32" s="123">
        <f t="shared" si="8"/>
        <v>145681.42313106329</v>
      </c>
      <c r="AA32" s="124"/>
      <c r="AB32" s="123">
        <f t="shared" si="9"/>
        <v>1028938.1122974413</v>
      </c>
      <c r="AC32" s="124"/>
      <c r="AD32" s="123">
        <f t="shared" si="10"/>
        <v>121620.52860030878</v>
      </c>
      <c r="AE32" s="124"/>
      <c r="AF32" s="123">
        <f t="shared" si="11"/>
        <v>115128.78740265513</v>
      </c>
      <c r="AG32" s="124"/>
      <c r="AH32" s="123">
        <f t="shared" si="12"/>
        <v>516536.90995501052</v>
      </c>
      <c r="AI32" s="39"/>
      <c r="AJ32" s="123">
        <f t="shared" si="13"/>
        <v>157708.18434586478</v>
      </c>
      <c r="AK32" s="130"/>
      <c r="AL32" s="123">
        <f t="shared" si="14"/>
        <v>81448.24849681076</v>
      </c>
      <c r="AM32" s="39"/>
      <c r="AN32" s="123">
        <f t="shared" si="15"/>
        <v>125511.71739988209</v>
      </c>
      <c r="AO32" s="124"/>
      <c r="AP32" s="123">
        <f t="shared" si="16"/>
        <v>2153286.8495533727</v>
      </c>
      <c r="AQ32" s="124"/>
      <c r="AR32" s="123">
        <f t="shared" si="17"/>
        <v>770186.36820658424</v>
      </c>
      <c r="AS32" s="130"/>
      <c r="AT32" s="123">
        <f t="shared" si="18"/>
        <v>45522.716483462566</v>
      </c>
      <c r="AU32" s="124"/>
      <c r="AV32" s="123">
        <f t="shared" si="19"/>
        <v>412087.21957970149</v>
      </c>
      <c r="AW32" s="124"/>
      <c r="AX32" s="123"/>
      <c r="AY32" s="12">
        <f>(AY31*$A$15)-'Solar PV Data'!AX32</f>
        <v>877864.66054025653</v>
      </c>
      <c r="AZ32" s="12">
        <f>AY32*'Electricity Conversions'!$B$20</f>
        <v>579597.85201645677</v>
      </c>
      <c r="BA32" s="39"/>
      <c r="BB32" s="127">
        <f t="shared" si="20"/>
        <v>718687.04287188174</v>
      </c>
      <c r="BC32" s="39"/>
      <c r="BD32" s="38">
        <f t="shared" si="21"/>
        <v>97281.421526303529</v>
      </c>
      <c r="BE32" s="130"/>
      <c r="BF32" s="123">
        <f t="shared" si="22"/>
        <v>604267.2914037701</v>
      </c>
      <c r="BG32" s="39"/>
      <c r="BH32" s="123">
        <f t="shared" si="23"/>
        <v>43651.918077162351</v>
      </c>
      <c r="BI32" s="39"/>
      <c r="BJ32" s="127">
        <f t="shared" si="24"/>
        <v>363464.59182270186</v>
      </c>
      <c r="BK32" s="39"/>
      <c r="BL32" s="127">
        <f t="shared" si="25"/>
        <v>2457331.2021498503</v>
      </c>
      <c r="BM32" s="124"/>
    </row>
    <row r="33" spans="1:67" ht="14.25" customHeight="1" x14ac:dyDescent="0.35">
      <c r="C33" s="20">
        <v>20</v>
      </c>
      <c r="D33" s="123">
        <f t="shared" si="26"/>
        <v>401146.46138975141</v>
      </c>
      <c r="E33" s="130"/>
      <c r="F33" s="123">
        <f t="shared" si="27"/>
        <v>33672.875881326356</v>
      </c>
      <c r="G33" s="130"/>
      <c r="H33" s="123">
        <f t="shared" si="28"/>
        <v>68252.894782396936</v>
      </c>
      <c r="I33" s="124"/>
      <c r="J33" s="123">
        <f t="shared" si="0"/>
        <v>234541.7657067822</v>
      </c>
      <c r="K33" s="124"/>
      <c r="L33" s="123">
        <f t="shared" si="1"/>
        <v>199210.34448224358</v>
      </c>
      <c r="M33" s="124"/>
      <c r="N33" s="126">
        <f t="shared" si="2"/>
        <v>37228.851699489234</v>
      </c>
      <c r="O33" s="125"/>
      <c r="P33" s="123">
        <f t="shared" si="3"/>
        <v>22793.36445301228</v>
      </c>
      <c r="Q33" s="124"/>
      <c r="R33" s="123">
        <f t="shared" si="4"/>
        <v>79173.357947580429</v>
      </c>
      <c r="S33" s="39"/>
      <c r="T33" s="123">
        <f t="shared" si="5"/>
        <v>50941.478742134437</v>
      </c>
      <c r="U33" s="39"/>
      <c r="V33" s="123">
        <f t="shared" si="6"/>
        <v>324073.43115888396</v>
      </c>
      <c r="W33" s="39"/>
      <c r="X33" s="123">
        <f t="shared" si="7"/>
        <v>97856.03669210746</v>
      </c>
      <c r="Y33" s="124"/>
      <c r="Z33" s="123">
        <f t="shared" si="8"/>
        <v>144953.01601540798</v>
      </c>
      <c r="AA33" s="124"/>
      <c r="AB33" s="123">
        <f t="shared" si="9"/>
        <v>1023793.4217359541</v>
      </c>
      <c r="AC33" s="124"/>
      <c r="AD33" s="123">
        <f t="shared" si="10"/>
        <v>121012.42595730723</v>
      </c>
      <c r="AE33" s="124"/>
      <c r="AF33" s="123">
        <f t="shared" si="11"/>
        <v>114553.14346564186</v>
      </c>
      <c r="AG33" s="124"/>
      <c r="AH33" s="123">
        <f t="shared" si="12"/>
        <v>513954.22540523548</v>
      </c>
      <c r="AI33" s="39"/>
      <c r="AJ33" s="123">
        <f t="shared" si="13"/>
        <v>156919.64342413546</v>
      </c>
      <c r="AK33" s="130"/>
      <c r="AL33" s="123">
        <f t="shared" si="14"/>
        <v>81041.007254326702</v>
      </c>
      <c r="AM33" s="39"/>
      <c r="AN33" s="123">
        <f t="shared" si="15"/>
        <v>124884.15881288268</v>
      </c>
      <c r="AO33" s="124"/>
      <c r="AP33" s="123">
        <f t="shared" si="16"/>
        <v>2142520.4153056056</v>
      </c>
      <c r="AQ33" s="124"/>
      <c r="AR33" s="123">
        <f t="shared" si="17"/>
        <v>766335.43636555132</v>
      </c>
      <c r="AS33" s="130"/>
      <c r="AT33" s="123">
        <f t="shared" si="18"/>
        <v>45295.102901045255</v>
      </c>
      <c r="AU33" s="124"/>
      <c r="AV33" s="123">
        <f t="shared" si="19"/>
        <v>410026.78348180297</v>
      </c>
      <c r="AW33" s="124"/>
      <c r="AX33" s="123"/>
      <c r="AY33" s="12">
        <f>(AY32*$A$15)-'Solar PV Data'!AX33</f>
        <v>873475.3372375553</v>
      </c>
      <c r="AZ33" s="12">
        <f>AY33*'Electricity Conversions'!$B$20</f>
        <v>576699.86275637452</v>
      </c>
      <c r="BA33" s="39"/>
      <c r="BB33" s="127">
        <f t="shared" si="20"/>
        <v>715093.60765752231</v>
      </c>
      <c r="BC33" s="39"/>
      <c r="BD33" s="38">
        <f t="shared" si="21"/>
        <v>96795.014418672014</v>
      </c>
      <c r="BE33" s="130"/>
      <c r="BF33" s="123">
        <f t="shared" si="22"/>
        <v>601245.95494675124</v>
      </c>
      <c r="BG33" s="39"/>
      <c r="BH33" s="123">
        <f t="shared" si="23"/>
        <v>43433.658486776541</v>
      </c>
      <c r="BI33" s="39"/>
      <c r="BJ33" s="127">
        <f t="shared" si="24"/>
        <v>361647.26886358834</v>
      </c>
      <c r="BK33" s="39"/>
      <c r="BL33" s="127">
        <f t="shared" si="25"/>
        <v>2445044.546139101</v>
      </c>
      <c r="BM33" s="124"/>
    </row>
    <row r="34" spans="1:67" ht="14.25" customHeight="1" x14ac:dyDescent="0.35">
      <c r="C34" s="20">
        <v>21</v>
      </c>
      <c r="D34" s="123">
        <f t="shared" si="26"/>
        <v>399140.72908280266</v>
      </c>
      <c r="E34" s="130"/>
      <c r="F34" s="123">
        <f t="shared" si="27"/>
        <v>33504.511501919726</v>
      </c>
      <c r="G34" s="130"/>
      <c r="H34" s="123">
        <f t="shared" si="28"/>
        <v>67911.63030848495</v>
      </c>
      <c r="I34" s="124"/>
      <c r="J34" s="123">
        <f t="shared" si="0"/>
        <v>233369.05687824829</v>
      </c>
      <c r="K34" s="124"/>
      <c r="L34" s="123">
        <f t="shared" si="1"/>
        <v>198214.29275983237</v>
      </c>
      <c r="M34" s="124"/>
      <c r="N34" s="126">
        <f t="shared" si="2"/>
        <v>37042.707440991791</v>
      </c>
      <c r="O34" s="125"/>
      <c r="P34" s="123">
        <f t="shared" si="3"/>
        <v>22679.397630747218</v>
      </c>
      <c r="Q34" s="124"/>
      <c r="R34" s="123">
        <f t="shared" si="4"/>
        <v>78777.491157842524</v>
      </c>
      <c r="S34" s="39"/>
      <c r="T34" s="123">
        <f t="shared" si="5"/>
        <v>50686.771348423768</v>
      </c>
      <c r="U34" s="39"/>
      <c r="V34" s="123">
        <f t="shared" si="6"/>
        <v>322453.06400308956</v>
      </c>
      <c r="W34" s="39"/>
      <c r="X34" s="123">
        <f t="shared" si="7"/>
        <v>97366.756508646926</v>
      </c>
      <c r="Y34" s="124"/>
      <c r="Z34" s="123">
        <f t="shared" si="8"/>
        <v>144228.25093533093</v>
      </c>
      <c r="AA34" s="124"/>
      <c r="AB34" s="123">
        <f t="shared" si="9"/>
        <v>1018674.4546272743</v>
      </c>
      <c r="AC34" s="124"/>
      <c r="AD34" s="123">
        <f t="shared" si="10"/>
        <v>120407.36382752069</v>
      </c>
      <c r="AE34" s="124"/>
      <c r="AF34" s="123">
        <f t="shared" si="11"/>
        <v>113980.37774831365</v>
      </c>
      <c r="AG34" s="124"/>
      <c r="AH34" s="123">
        <f t="shared" si="12"/>
        <v>511384.4542782093</v>
      </c>
      <c r="AI34" s="39"/>
      <c r="AJ34" s="123">
        <f t="shared" si="13"/>
        <v>156135.04520701477</v>
      </c>
      <c r="AK34" s="130"/>
      <c r="AL34" s="123">
        <f t="shared" si="14"/>
        <v>80635.802218055062</v>
      </c>
      <c r="AM34" s="39"/>
      <c r="AN34" s="123">
        <f t="shared" si="15"/>
        <v>124259.73801881827</v>
      </c>
      <c r="AO34" s="124"/>
      <c r="AP34" s="123">
        <f t="shared" si="16"/>
        <v>2131807.8132290775</v>
      </c>
      <c r="AQ34" s="124"/>
      <c r="AR34" s="123">
        <f t="shared" si="17"/>
        <v>762503.7591837236</v>
      </c>
      <c r="AS34" s="130"/>
      <c r="AT34" s="123">
        <f t="shared" si="18"/>
        <v>45068.627386540029</v>
      </c>
      <c r="AU34" s="124"/>
      <c r="AV34" s="123">
        <f t="shared" si="19"/>
        <v>407976.64956439397</v>
      </c>
      <c r="AW34" s="124"/>
      <c r="AX34" s="123"/>
      <c r="AY34" s="12">
        <f>(AY33*$A$15)-'Solar PV Data'!AX34</f>
        <v>869107.96055136749</v>
      </c>
      <c r="AZ34" s="12">
        <f>AY34*'Electricity Conversions'!$B$20</f>
        <v>573816.36344259256</v>
      </c>
      <c r="BA34" s="39"/>
      <c r="BB34" s="127">
        <f t="shared" si="20"/>
        <v>711518.13961923472</v>
      </c>
      <c r="BC34" s="39"/>
      <c r="BD34" s="38">
        <f t="shared" si="21"/>
        <v>96311.039346578647</v>
      </c>
      <c r="BE34" s="130"/>
      <c r="BF34" s="123">
        <f t="shared" si="22"/>
        <v>598239.72517201747</v>
      </c>
      <c r="BG34" s="39"/>
      <c r="BH34" s="123">
        <f t="shared" si="23"/>
        <v>43216.490194342659</v>
      </c>
      <c r="BI34" s="39"/>
      <c r="BJ34" s="127">
        <f t="shared" si="24"/>
        <v>359839.03251927037</v>
      </c>
      <c r="BK34" s="39"/>
      <c r="BL34" s="127">
        <f t="shared" si="25"/>
        <v>2432819.3234084053</v>
      </c>
      <c r="BM34" s="124"/>
    </row>
    <row r="35" spans="1:67" ht="14.25" customHeight="1" x14ac:dyDescent="0.35">
      <c r="C35" s="20">
        <v>22</v>
      </c>
      <c r="D35" s="123">
        <f t="shared" si="26"/>
        <v>397145.02543738863</v>
      </c>
      <c r="E35" s="130"/>
      <c r="F35" s="123">
        <f t="shared" si="27"/>
        <v>33336.988944410128</v>
      </c>
      <c r="G35" s="130"/>
      <c r="H35" s="123">
        <f t="shared" si="28"/>
        <v>67572.072156942522</v>
      </c>
      <c r="I35" s="124"/>
      <c r="J35" s="123">
        <f t="shared" si="0"/>
        <v>232202.21159385704</v>
      </c>
      <c r="K35" s="124"/>
      <c r="L35" s="123">
        <f t="shared" si="1"/>
        <v>197223.22129603321</v>
      </c>
      <c r="M35" s="124"/>
      <c r="N35" s="126">
        <f t="shared" si="2"/>
        <v>36857.493903786832</v>
      </c>
      <c r="O35" s="125"/>
      <c r="P35" s="123">
        <f t="shared" si="3"/>
        <v>22566.000642593481</v>
      </c>
      <c r="Q35" s="124"/>
      <c r="R35" s="123">
        <f t="shared" si="4"/>
        <v>78383.603702053311</v>
      </c>
      <c r="S35" s="39"/>
      <c r="T35" s="123">
        <f t="shared" si="5"/>
        <v>50433.337491681646</v>
      </c>
      <c r="U35" s="39"/>
      <c r="V35" s="123">
        <f t="shared" si="6"/>
        <v>320840.79868307413</v>
      </c>
      <c r="W35" s="39"/>
      <c r="X35" s="123">
        <f t="shared" si="7"/>
        <v>96879.922726103687</v>
      </c>
      <c r="Y35" s="124"/>
      <c r="Z35" s="123">
        <f t="shared" si="8"/>
        <v>143507.10968065428</v>
      </c>
      <c r="AA35" s="124"/>
      <c r="AB35" s="123">
        <f t="shared" si="9"/>
        <v>1013581.0823541379</v>
      </c>
      <c r="AC35" s="124"/>
      <c r="AD35" s="123">
        <f t="shared" si="10"/>
        <v>119805.32700838309</v>
      </c>
      <c r="AE35" s="124"/>
      <c r="AF35" s="123">
        <f t="shared" si="11"/>
        <v>113410.47585957208</v>
      </c>
      <c r="AG35" s="124"/>
      <c r="AH35" s="123">
        <f t="shared" si="12"/>
        <v>508827.53200681828</v>
      </c>
      <c r="AI35" s="39"/>
      <c r="AJ35" s="123">
        <f t="shared" si="13"/>
        <v>155354.36998097971</v>
      </c>
      <c r="AK35" s="130"/>
      <c r="AL35" s="123">
        <f t="shared" si="14"/>
        <v>80232.623206964781</v>
      </c>
      <c r="AM35" s="39"/>
      <c r="AN35" s="123">
        <f t="shared" si="15"/>
        <v>123638.43932872418</v>
      </c>
      <c r="AO35" s="124"/>
      <c r="AP35" s="123">
        <f t="shared" si="16"/>
        <v>2121148.7741629323</v>
      </c>
      <c r="AQ35" s="124"/>
      <c r="AR35" s="123">
        <f t="shared" si="17"/>
        <v>758691.24038780492</v>
      </c>
      <c r="AS35" s="130"/>
      <c r="AT35" s="123">
        <f t="shared" si="18"/>
        <v>44843.284249607328</v>
      </c>
      <c r="AU35" s="124"/>
      <c r="AV35" s="123">
        <f t="shared" si="19"/>
        <v>405936.76631657197</v>
      </c>
      <c r="AW35" s="124"/>
      <c r="AX35" s="123"/>
      <c r="AY35" s="12">
        <f>(AY34*$A$15)-'Solar PV Data'!AX35</f>
        <v>864762.42074861063</v>
      </c>
      <c r="AZ35" s="12">
        <f>AY35*'Electricity Conversions'!$B$20</f>
        <v>570947.28162537958</v>
      </c>
      <c r="BA35" s="39"/>
      <c r="BB35" s="127">
        <f t="shared" si="20"/>
        <v>707960.54892113851</v>
      </c>
      <c r="BC35" s="39"/>
      <c r="BD35" s="38">
        <f t="shared" si="21"/>
        <v>95829.484149845754</v>
      </c>
      <c r="BE35" s="130"/>
      <c r="BF35" s="123">
        <f t="shared" si="22"/>
        <v>595248.52654615743</v>
      </c>
      <c r="BG35" s="39"/>
      <c r="BH35" s="123">
        <f t="shared" si="23"/>
        <v>43000.407743370946</v>
      </c>
      <c r="BI35" s="39"/>
      <c r="BJ35" s="127">
        <f t="shared" si="24"/>
        <v>358039.83735667402</v>
      </c>
      <c r="BK35" s="39"/>
      <c r="BL35" s="127">
        <f t="shared" si="25"/>
        <v>2420655.2267913632</v>
      </c>
      <c r="BM35" s="124"/>
    </row>
    <row r="36" spans="1:67" ht="14.25" customHeight="1" x14ac:dyDescent="0.35">
      <c r="C36" s="20">
        <v>23</v>
      </c>
      <c r="D36" s="123">
        <f t="shared" si="26"/>
        <v>395159.30031020171</v>
      </c>
      <c r="E36" s="130"/>
      <c r="F36" s="123">
        <f t="shared" si="27"/>
        <v>33170.303999688076</v>
      </c>
      <c r="G36" s="130"/>
      <c r="H36" s="123">
        <f t="shared" si="28"/>
        <v>67234.211796157804</v>
      </c>
      <c r="I36" s="124"/>
      <c r="J36" s="123">
        <f t="shared" si="0"/>
        <v>231041.20053588774</v>
      </c>
      <c r="K36" s="124"/>
      <c r="L36" s="123">
        <f t="shared" si="1"/>
        <v>196237.10518955305</v>
      </c>
      <c r="M36" s="124"/>
      <c r="N36" s="126">
        <f t="shared" si="2"/>
        <v>36673.2064342679</v>
      </c>
      <c r="O36" s="125"/>
      <c r="P36" s="123">
        <f t="shared" si="3"/>
        <v>22453.170639380514</v>
      </c>
      <c r="Q36" s="124"/>
      <c r="R36" s="123">
        <f t="shared" si="4"/>
        <v>77991.685683543037</v>
      </c>
      <c r="S36" s="39"/>
      <c r="T36" s="123">
        <f t="shared" si="5"/>
        <v>50181.170804223235</v>
      </c>
      <c r="U36" s="39"/>
      <c r="V36" s="123">
        <f t="shared" si="6"/>
        <v>319236.59468965878</v>
      </c>
      <c r="W36" s="39"/>
      <c r="X36" s="123">
        <f t="shared" si="7"/>
        <v>96395.523112473165</v>
      </c>
      <c r="Y36" s="131">
        <f>SUM(X14:X36)</f>
        <v>2344071.4612606373</v>
      </c>
      <c r="Z36" s="123">
        <f t="shared" si="8"/>
        <v>142789.574132251</v>
      </c>
      <c r="AA36" s="131">
        <f>SUM(Z14:Z36)</f>
        <v>3472245.9599958318</v>
      </c>
      <c r="AB36" s="123">
        <f t="shared" si="9"/>
        <v>1008513.1769423672</v>
      </c>
      <c r="AC36" s="131">
        <f>SUM(AB14:AB36)</f>
        <v>24524240.131127086</v>
      </c>
      <c r="AD36" s="123">
        <f t="shared" si="10"/>
        <v>119206.30037334118</v>
      </c>
      <c r="AE36" s="124"/>
      <c r="AF36" s="123">
        <f t="shared" si="11"/>
        <v>112843.42348027421</v>
      </c>
      <c r="AG36" s="124"/>
      <c r="AH36" s="123">
        <f t="shared" si="12"/>
        <v>506283.39434678416</v>
      </c>
      <c r="AI36" s="131">
        <f>SUM(AH14:AH36)</f>
        <v>12311406.35663919</v>
      </c>
      <c r="AJ36" s="123">
        <f t="shared" si="13"/>
        <v>154577.5981310748</v>
      </c>
      <c r="AK36" s="130"/>
      <c r="AL36" s="123">
        <f t="shared" si="14"/>
        <v>79831.460090929962</v>
      </c>
      <c r="AM36" s="39"/>
      <c r="AN36" s="123">
        <f t="shared" si="15"/>
        <v>123020.24713208056</v>
      </c>
      <c r="AO36" s="124"/>
      <c r="AP36" s="123">
        <f t="shared" si="16"/>
        <v>2110543.0302921175</v>
      </c>
      <c r="AQ36" s="131">
        <f>SUM(AP14:AP36)</f>
        <v>51322546.165322326</v>
      </c>
      <c r="AR36" s="123">
        <f t="shared" si="17"/>
        <v>754897.78418586589</v>
      </c>
      <c r="AS36" s="130"/>
      <c r="AT36" s="123">
        <f t="shared" si="18"/>
        <v>44619.067828359293</v>
      </c>
      <c r="AU36" s="124"/>
      <c r="AV36" s="123">
        <f t="shared" si="19"/>
        <v>403907.08248498914</v>
      </c>
      <c r="AW36" s="124"/>
      <c r="AX36" s="123"/>
      <c r="AY36" s="12">
        <f>(AY35*$A$15)-'Solar PV Data'!AX36</f>
        <v>860438.60864486755</v>
      </c>
      <c r="AZ36" s="12">
        <f>AY36*'Electricity Conversions'!$B$20</f>
        <v>568092.54521725269</v>
      </c>
      <c r="BA36" s="39"/>
      <c r="BB36" s="127">
        <f t="shared" si="20"/>
        <v>704420.74617653282</v>
      </c>
      <c r="BC36" s="132">
        <f>SUM(BB14:BB36)</f>
        <v>17129556.586416557</v>
      </c>
      <c r="BD36" s="38">
        <f t="shared" si="21"/>
        <v>95350.336729096525</v>
      </c>
      <c r="BE36" s="130"/>
      <c r="BF36" s="123">
        <f t="shared" si="22"/>
        <v>592272.28391342668</v>
      </c>
      <c r="BG36" s="39"/>
      <c r="BH36" s="123">
        <f t="shared" si="23"/>
        <v>42785.405704654091</v>
      </c>
      <c r="BI36" s="39"/>
      <c r="BJ36" s="127">
        <f t="shared" si="24"/>
        <v>356249.63816989062</v>
      </c>
      <c r="BK36" s="39"/>
      <c r="BL36" s="127">
        <f t="shared" si="25"/>
        <v>2408551.9506574064</v>
      </c>
      <c r="BM36" s="124"/>
    </row>
    <row r="37" spans="1:67" ht="14.25" customHeight="1" x14ac:dyDescent="0.35">
      <c r="C37" s="20">
        <v>24</v>
      </c>
      <c r="D37" s="123">
        <f t="shared" si="26"/>
        <v>393183.50380865071</v>
      </c>
      <c r="E37" s="130"/>
      <c r="F37" s="123">
        <f t="shared" si="27"/>
        <v>33004.452479689637</v>
      </c>
      <c r="G37" s="130"/>
      <c r="H37" s="123">
        <f t="shared" si="28"/>
        <v>66898.040737177012</v>
      </c>
      <c r="I37" s="124"/>
      <c r="J37" s="123">
        <f t="shared" si="0"/>
        <v>229885.99453320829</v>
      </c>
      <c r="K37" s="124"/>
      <c r="L37" s="123">
        <f t="shared" si="1"/>
        <v>195255.91966360528</v>
      </c>
      <c r="M37" s="124"/>
      <c r="N37" s="126">
        <f t="shared" si="2"/>
        <v>36489.840402096561</v>
      </c>
      <c r="O37" s="125"/>
      <c r="P37" s="123">
        <f t="shared" si="3"/>
        <v>22340.904786183612</v>
      </c>
      <c r="Q37" s="124"/>
      <c r="R37" s="123">
        <f t="shared" si="4"/>
        <v>77601.727255125326</v>
      </c>
      <c r="S37" s="39"/>
      <c r="T37" s="123">
        <f t="shared" si="5"/>
        <v>49930.264950202116</v>
      </c>
      <c r="U37" s="39"/>
      <c r="V37" s="123">
        <f t="shared" si="6"/>
        <v>317640.41171621048</v>
      </c>
      <c r="W37" s="39"/>
      <c r="X37" s="123">
        <f t="shared" si="7"/>
        <v>95913.545496910796</v>
      </c>
      <c r="Y37" s="124"/>
      <c r="Z37" s="123">
        <f t="shared" si="8"/>
        <v>142075.62626158976</v>
      </c>
      <c r="AA37" s="124"/>
      <c r="AB37" s="123">
        <f t="shared" si="9"/>
        <v>1003470.6110576554</v>
      </c>
      <c r="AC37" s="124"/>
      <c r="AD37" s="123">
        <f t="shared" si="10"/>
        <v>118610.26887147447</v>
      </c>
      <c r="AE37" s="124"/>
      <c r="AF37" s="123">
        <f t="shared" si="11"/>
        <v>112279.20636287284</v>
      </c>
      <c r="AG37" s="124"/>
      <c r="AH37" s="123">
        <f t="shared" si="12"/>
        <v>503751.97737505025</v>
      </c>
      <c r="AI37" s="39"/>
      <c r="AJ37" s="123">
        <f t="shared" si="13"/>
        <v>153804.71014041943</v>
      </c>
      <c r="AK37" s="130"/>
      <c r="AL37" s="123">
        <f t="shared" si="14"/>
        <v>79432.302790475311</v>
      </c>
      <c r="AM37" s="131">
        <f>SUM(AL14:AL37)</f>
        <v>2020711.7446954132</v>
      </c>
      <c r="AN37" s="123">
        <f t="shared" si="15"/>
        <v>122405.14589642016</v>
      </c>
      <c r="AO37" s="124"/>
      <c r="AP37" s="123">
        <f t="shared" si="16"/>
        <v>2099990.3151406571</v>
      </c>
      <c r="AQ37" s="124"/>
      <c r="AR37" s="123">
        <f t="shared" si="17"/>
        <v>751123.29526493652</v>
      </c>
      <c r="AS37" s="130"/>
      <c r="AT37" s="123">
        <f t="shared" si="18"/>
        <v>44395.9724892175</v>
      </c>
      <c r="AU37" s="124"/>
      <c r="AV37" s="123">
        <f t="shared" si="19"/>
        <v>401887.54707256419</v>
      </c>
      <c r="AW37" s="124"/>
      <c r="AX37" s="123"/>
      <c r="AY37" s="12">
        <f>(AY36*$A$15)-'Solar PV Data'!AX37</f>
        <v>856136.41560164315</v>
      </c>
      <c r="AZ37" s="12">
        <f>AY37*'Electricity Conversions'!$B$20</f>
        <v>565252.08249116642</v>
      </c>
      <c r="BA37" s="39"/>
      <c r="BB37" s="127">
        <f t="shared" si="20"/>
        <v>700898.64244565018</v>
      </c>
      <c r="BC37" s="39"/>
      <c r="BD37" s="38">
        <f t="shared" si="21"/>
        <v>94873.585045451036</v>
      </c>
      <c r="BE37" s="131">
        <f>SUM(BD14:BD37)</f>
        <v>2413529.0156247388</v>
      </c>
      <c r="BF37" s="123">
        <f t="shared" si="22"/>
        <v>589310.92249385954</v>
      </c>
      <c r="BG37" s="39"/>
      <c r="BH37" s="123">
        <f t="shared" si="23"/>
        <v>42571.478676130821</v>
      </c>
      <c r="BI37" s="39"/>
      <c r="BJ37" s="127">
        <f t="shared" si="24"/>
        <v>354468.38997904118</v>
      </c>
      <c r="BK37" s="132">
        <f>SUM(BJ14:BJ37)</f>
        <v>9017470.3941708095</v>
      </c>
      <c r="BL37" s="127">
        <f t="shared" si="25"/>
        <v>2396509.1909041195</v>
      </c>
      <c r="BM37" s="124"/>
    </row>
    <row r="38" spans="1:67" ht="14.25" customHeight="1" x14ac:dyDescent="0.35">
      <c r="C38" s="20">
        <v>25</v>
      </c>
      <c r="D38" s="123">
        <f t="shared" si="26"/>
        <v>391217.58628960745</v>
      </c>
      <c r="E38" s="130"/>
      <c r="F38" s="123">
        <f t="shared" si="27"/>
        <v>32839.430217291185</v>
      </c>
      <c r="G38" s="130"/>
      <c r="H38" s="123">
        <f t="shared" si="28"/>
        <v>66563.550533491129</v>
      </c>
      <c r="I38" s="131">
        <f>SUM(H14:H38)</f>
        <v>1768410.9333458073</v>
      </c>
      <c r="J38" s="123">
        <f t="shared" si="0"/>
        <v>228736.56456054223</v>
      </c>
      <c r="K38" s="124"/>
      <c r="L38" s="123">
        <f t="shared" si="1"/>
        <v>194279.64006528724</v>
      </c>
      <c r="M38" s="131">
        <f>SUM(L14:L38)</f>
        <v>5161477.0676194374</v>
      </c>
      <c r="N38" s="126">
        <f t="shared" si="2"/>
        <v>36307.39120008608</v>
      </c>
      <c r="O38" s="125"/>
      <c r="P38" s="123">
        <f t="shared" si="3"/>
        <v>22229.200262252692</v>
      </c>
      <c r="Q38" s="124"/>
      <c r="R38" s="123">
        <f t="shared" si="4"/>
        <v>77213.7186188497</v>
      </c>
      <c r="S38" s="39"/>
      <c r="T38" s="123">
        <f t="shared" si="5"/>
        <v>49680.613625451108</v>
      </c>
      <c r="U38" s="39"/>
      <c r="V38" s="123">
        <f t="shared" si="6"/>
        <v>316052.20965762943</v>
      </c>
      <c r="W38" s="131">
        <f>SUM(V14:V38)</f>
        <v>8396640.1820083186</v>
      </c>
      <c r="X38" s="123">
        <f t="shared" si="7"/>
        <v>95433.977769426245</v>
      </c>
      <c r="Y38" s="124"/>
      <c r="Z38" s="123">
        <f t="shared" si="8"/>
        <v>141365.24813028181</v>
      </c>
      <c r="AA38" s="124"/>
      <c r="AB38" s="123">
        <f t="shared" si="9"/>
        <v>998453.2580023671</v>
      </c>
      <c r="AC38" s="124"/>
      <c r="AD38" s="123">
        <f t="shared" si="10"/>
        <v>118017.2175271171</v>
      </c>
      <c r="AE38" s="124"/>
      <c r="AF38" s="123">
        <f t="shared" si="11"/>
        <v>111717.81033105847</v>
      </c>
      <c r="AG38" s="124"/>
      <c r="AH38" s="123">
        <f t="shared" si="12"/>
        <v>501233.21748817503</v>
      </c>
      <c r="AI38" s="39"/>
      <c r="AJ38" s="123">
        <f t="shared" si="13"/>
        <v>153035.68658971734</v>
      </c>
      <c r="AK38" s="130"/>
      <c r="AL38" s="123">
        <f t="shared" si="14"/>
        <v>79035.141276522932</v>
      </c>
      <c r="AM38" s="39"/>
      <c r="AN38" s="123">
        <f t="shared" si="15"/>
        <v>121793.12016693805</v>
      </c>
      <c r="AO38" s="131">
        <f>SUM(AN14:AN38)</f>
        <v>3235709.0867793383</v>
      </c>
      <c r="AP38" s="123">
        <f t="shared" si="16"/>
        <v>2089490.3635649539</v>
      </c>
      <c r="AQ38" s="124"/>
      <c r="AR38" s="123">
        <f t="shared" si="17"/>
        <v>747367.67878861178</v>
      </c>
      <c r="AS38" s="130"/>
      <c r="AT38" s="123">
        <f t="shared" si="18"/>
        <v>44173.992626771411</v>
      </c>
      <c r="AU38" s="124"/>
      <c r="AV38" s="123">
        <f t="shared" si="19"/>
        <v>399878.10933720134</v>
      </c>
      <c r="AW38" s="124"/>
      <c r="AX38" s="123"/>
      <c r="AY38" s="12">
        <f>(AY37*$A$15)-'Solar PV Data'!AX38</f>
        <v>851855.73352363496</v>
      </c>
      <c r="AZ38" s="12">
        <f>AY38*'Electricity Conversions'!$B$20</f>
        <v>562425.82207871054</v>
      </c>
      <c r="BA38" s="131">
        <f>SUM(AZ14:AZ38)</f>
        <v>9578935.6764500923</v>
      </c>
      <c r="BB38" s="127">
        <f t="shared" si="20"/>
        <v>697394.14923342189</v>
      </c>
      <c r="BC38" s="39"/>
      <c r="BD38" s="38">
        <f t="shared" si="21"/>
        <v>94399.217120223781</v>
      </c>
      <c r="BE38" s="39"/>
      <c r="BF38" s="123">
        <f t="shared" si="22"/>
        <v>586364.36788139027</v>
      </c>
      <c r="BG38" s="39"/>
      <c r="BH38" s="123">
        <f t="shared" si="23"/>
        <v>42358.621282750166</v>
      </c>
      <c r="BI38" s="134">
        <f>SUM(BH14:BH38)</f>
        <v>1125352.3647327146</v>
      </c>
      <c r="BJ38" s="127">
        <f t="shared" si="24"/>
        <v>352696.04802914598</v>
      </c>
      <c r="BK38" s="39"/>
      <c r="BL38" s="127">
        <f t="shared" si="25"/>
        <v>2384526.6449495987</v>
      </c>
      <c r="BM38" s="131">
        <f>SUM(BL14:BL38)</f>
        <v>63350331.464989856</v>
      </c>
    </row>
    <row r="39" spans="1:67" ht="14.25" customHeight="1" x14ac:dyDescent="0.35">
      <c r="A39" s="18"/>
      <c r="B39" s="91"/>
      <c r="C39" s="135">
        <v>26</v>
      </c>
      <c r="D39" s="136">
        <f t="shared" si="26"/>
        <v>389261.49835815944</v>
      </c>
      <c r="E39" s="137">
        <f>SUM(D14:D39)</f>
        <v>10782839.535689652</v>
      </c>
      <c r="F39" s="136">
        <f t="shared" si="27"/>
        <v>32675.233066204728</v>
      </c>
      <c r="G39" s="137">
        <f>SUM(F14:F39)</f>
        <v>905128.80526387377</v>
      </c>
      <c r="H39" s="136">
        <f t="shared" si="28"/>
        <v>66230.732780823673</v>
      </c>
      <c r="I39" s="138"/>
      <c r="J39" s="136">
        <f t="shared" si="0"/>
        <v>227592.88173773952</v>
      </c>
      <c r="K39" s="137">
        <f>SUM(J14:J39)</f>
        <v>6304495.9072351484</v>
      </c>
      <c r="L39" s="136">
        <f t="shared" si="1"/>
        <v>193308.24186496082</v>
      </c>
      <c r="M39" s="138"/>
      <c r="N39" s="139">
        <f t="shared" si="2"/>
        <v>36125.854244085647</v>
      </c>
      <c r="O39" s="137">
        <f>SUM(N14:N39)</f>
        <v>1000713.6360690714</v>
      </c>
      <c r="P39" s="136">
        <f t="shared" si="3"/>
        <v>22118.05426094143</v>
      </c>
      <c r="Q39" s="137">
        <f>SUM(P14:P39)</f>
        <v>612686.92368328874</v>
      </c>
      <c r="R39" s="136">
        <f t="shared" si="4"/>
        <v>76827.650025755458</v>
      </c>
      <c r="S39" s="137">
        <f>SUM(R14:R39)</f>
        <v>2128184.3327068915</v>
      </c>
      <c r="T39" s="136">
        <f t="shared" si="5"/>
        <v>49432.210557323851</v>
      </c>
      <c r="U39" s="137">
        <f>SUM(T14:T39)</f>
        <v>1369309.8253545128</v>
      </c>
      <c r="V39" s="136">
        <f t="shared" si="6"/>
        <v>314471.94860934129</v>
      </c>
      <c r="W39" s="138"/>
      <c r="X39" s="136">
        <f t="shared" si="7"/>
        <v>94956.807880579116</v>
      </c>
      <c r="Y39" s="138"/>
      <c r="Z39" s="136">
        <f t="shared" si="8"/>
        <v>140658.42188963041</v>
      </c>
      <c r="AA39" s="138"/>
      <c r="AB39" s="136">
        <f t="shared" si="9"/>
        <v>993460.99171235529</v>
      </c>
      <c r="AC39" s="138"/>
      <c r="AD39" s="136">
        <f t="shared" si="10"/>
        <v>117427.13143948151</v>
      </c>
      <c r="AE39" s="137">
        <f>SUM(AD14:AD39)</f>
        <v>3252820.84354317</v>
      </c>
      <c r="AF39" s="136">
        <f t="shared" si="11"/>
        <v>111159.22127940318</v>
      </c>
      <c r="AG39" s="137">
        <f>SUM(AF14:AF39)</f>
        <v>3079194.9653987633</v>
      </c>
      <c r="AH39" s="136">
        <f t="shared" si="12"/>
        <v>498727.05140073417</v>
      </c>
      <c r="AI39" s="138"/>
      <c r="AJ39" s="136">
        <f t="shared" si="13"/>
        <v>152270.50815676874</v>
      </c>
      <c r="AK39" s="137">
        <f>SUM(AJ14:AJ39)</f>
        <v>4218008.8768030182</v>
      </c>
      <c r="AL39" s="136">
        <f t="shared" si="14"/>
        <v>78639.965570140324</v>
      </c>
      <c r="AM39" s="138"/>
      <c r="AN39" s="136">
        <f t="shared" si="15"/>
        <v>121184.15456610336</v>
      </c>
      <c r="AO39" s="138"/>
      <c r="AP39" s="136">
        <f t="shared" si="16"/>
        <v>2079042.9117471292</v>
      </c>
      <c r="AQ39" s="138"/>
      <c r="AR39" s="136">
        <f t="shared" si="17"/>
        <v>743630.84039466875</v>
      </c>
      <c r="AS39" s="137">
        <f>SUM(AR14:AR39)</f>
        <v>20599139.805981997</v>
      </c>
      <c r="AT39" s="136">
        <f t="shared" si="18"/>
        <v>43953.12266363755</v>
      </c>
      <c r="AU39" s="137">
        <f>SUM(AT14:AT39)</f>
        <v>1217534.923884037</v>
      </c>
      <c r="AV39" s="136">
        <f t="shared" si="19"/>
        <v>397878.71879051533</v>
      </c>
      <c r="AW39" s="137">
        <f>SUM(AV14:AV39)</f>
        <v>11021543.095013328</v>
      </c>
      <c r="AX39" s="136"/>
      <c r="AY39" s="140">
        <f>(AY38*$A$15)-'Solar PV Data'!AX39</f>
        <v>847596.45485601679</v>
      </c>
      <c r="AZ39" s="140">
        <f>AY39*'Electricity Conversions'!$B$20</f>
        <v>559613.69296831707</v>
      </c>
      <c r="BA39" s="76"/>
      <c r="BB39" s="141">
        <f t="shared" si="20"/>
        <v>693907.17848725477</v>
      </c>
      <c r="BC39" s="76"/>
      <c r="BD39" s="74">
        <f t="shared" si="21"/>
        <v>93927.221034622664</v>
      </c>
      <c r="BE39" s="76"/>
      <c r="BF39" s="136">
        <f t="shared" si="22"/>
        <v>583432.5460419833</v>
      </c>
      <c r="BG39" s="137">
        <f>SUM(BF14:BF39)</f>
        <v>16161525.222515505</v>
      </c>
      <c r="BH39" s="136">
        <f t="shared" si="23"/>
        <v>42146.828176336414</v>
      </c>
      <c r="BI39" s="76"/>
      <c r="BJ39" s="141">
        <f t="shared" si="24"/>
        <v>350932.56778900023</v>
      </c>
      <c r="BK39" s="76"/>
      <c r="BL39" s="141">
        <f t="shared" si="25"/>
        <v>2372604.0117248506</v>
      </c>
      <c r="BM39" s="138"/>
      <c r="BN39" s="18"/>
      <c r="BO39" s="18"/>
    </row>
    <row r="40" spans="1:67" ht="14.25" customHeight="1" x14ac:dyDescent="0.35">
      <c r="E40" s="91"/>
      <c r="BB40" s="142" t="s">
        <v>220</v>
      </c>
    </row>
    <row r="41" spans="1:67" ht="14.25" customHeight="1" x14ac:dyDescent="0.35">
      <c r="B41" s="143"/>
      <c r="C41" s="144"/>
      <c r="D41" s="145" t="s">
        <v>221</v>
      </c>
      <c r="E41" s="146"/>
      <c r="F41" s="146"/>
      <c r="G41" s="146"/>
      <c r="H41" s="146"/>
      <c r="I41" s="146"/>
      <c r="J41" s="144"/>
      <c r="K41" s="143"/>
      <c r="L41" s="144"/>
    </row>
    <row r="42" spans="1:67" ht="14.25" customHeight="1" x14ac:dyDescent="0.35">
      <c r="B42" s="147" t="s">
        <v>207</v>
      </c>
      <c r="C42" s="108"/>
      <c r="D42" s="148" t="s">
        <v>222</v>
      </c>
      <c r="E42" s="149" t="s">
        <v>223</v>
      </c>
      <c r="F42" s="149" t="s">
        <v>224</v>
      </c>
      <c r="G42" s="149" t="s">
        <v>225</v>
      </c>
      <c r="H42" s="149" t="s">
        <v>226</v>
      </c>
      <c r="I42" s="150" t="s">
        <v>227</v>
      </c>
      <c r="J42" s="151" t="s">
        <v>228</v>
      </c>
      <c r="K42" s="148" t="s">
        <v>229</v>
      </c>
      <c r="L42" s="152" t="s">
        <v>230</v>
      </c>
      <c r="AX42" s="45">
        <f t="shared" ref="AX42:AX48" si="29">-AX15/AX14</f>
        <v>-1.6</v>
      </c>
    </row>
    <row r="43" spans="1:67" ht="14.25" customHeight="1" x14ac:dyDescent="0.35">
      <c r="B43" s="153">
        <v>1</v>
      </c>
      <c r="C43" s="117"/>
      <c r="D43" s="154">
        <f>L43*'Electricity Conversions'!$Q$30</f>
        <v>318376.76959927607</v>
      </c>
      <c r="E43" s="53"/>
      <c r="F43" s="53"/>
      <c r="G43" s="53"/>
      <c r="H43" s="53"/>
      <c r="I43" s="53">
        <f t="shared" ref="I43:I47" si="30">SUM(D43:H43)</f>
        <v>318376.76959927607</v>
      </c>
      <c r="J43" s="155">
        <f>I43*'Electricity Conversions'!$B$20</f>
        <v>210203.80485314762</v>
      </c>
      <c r="K43" s="154">
        <v>280</v>
      </c>
      <c r="L43" s="156">
        <v>308000</v>
      </c>
      <c r="AX43" s="45">
        <f t="shared" si="29"/>
        <v>-1.25</v>
      </c>
    </row>
    <row r="44" spans="1:67" ht="14.25" customHeight="1" x14ac:dyDescent="0.35">
      <c r="B44" s="38">
        <v>2</v>
      </c>
      <c r="C44" s="39"/>
      <c r="D44" s="154">
        <f t="shared" ref="D44:D47" si="31">D43*$A$15</f>
        <v>316784.88575127971</v>
      </c>
      <c r="E44" s="53">
        <f>L44*'Electricity Conversions'!Q30</f>
        <v>477565.15439891414</v>
      </c>
      <c r="F44" s="53"/>
      <c r="G44" s="53"/>
      <c r="H44" s="53"/>
      <c r="I44" s="53">
        <f t="shared" si="30"/>
        <v>794350.04015019385</v>
      </c>
      <c r="J44" s="155">
        <f>I44*'Electricity Conversions'!$B$20</f>
        <v>524458.49310860329</v>
      </c>
      <c r="K44" s="154">
        <v>420</v>
      </c>
      <c r="L44" s="156">
        <f t="shared" ref="L44:L47" si="32">K44*1.1*1000</f>
        <v>462000.00000000006</v>
      </c>
      <c r="AX44" s="45">
        <f t="shared" si="29"/>
        <v>-1.25</v>
      </c>
      <c r="BD44" s="53"/>
    </row>
    <row r="45" spans="1:67" ht="14.25" customHeight="1" x14ac:dyDescent="0.35">
      <c r="B45" s="38">
        <v>3</v>
      </c>
      <c r="C45" s="39"/>
      <c r="D45" s="154">
        <f t="shared" si="31"/>
        <v>315200.9613225233</v>
      </c>
      <c r="E45" s="53">
        <f t="shared" ref="E45:E47" si="33">E44*$A$15</f>
        <v>475177.32862691954</v>
      </c>
      <c r="F45" s="53">
        <f>L45*'Electricity Conversions'!Q30</f>
        <v>795941.92399819032</v>
      </c>
      <c r="G45" s="53"/>
      <c r="H45" s="53"/>
      <c r="I45" s="53">
        <f t="shared" si="30"/>
        <v>1586320.2139476333</v>
      </c>
      <c r="J45" s="155">
        <f>I45*'Electricity Conversions'!$B$20</f>
        <v>1047345.7127759295</v>
      </c>
      <c r="K45" s="154">
        <v>700</v>
      </c>
      <c r="L45" s="156">
        <f t="shared" si="32"/>
        <v>770000.00000000012</v>
      </c>
      <c r="AX45" s="45">
        <f t="shared" si="29"/>
        <v>-1.2</v>
      </c>
      <c r="AZ45" s="70">
        <f>AX22/AX21</f>
        <v>1.037037037037037</v>
      </c>
    </row>
    <row r="46" spans="1:67" ht="14.25" customHeight="1" x14ac:dyDescent="0.35">
      <c r="B46" s="38">
        <v>4</v>
      </c>
      <c r="C46" s="39"/>
      <c r="D46" s="154">
        <f t="shared" si="31"/>
        <v>313624.95651591069</v>
      </c>
      <c r="E46" s="53">
        <f t="shared" si="33"/>
        <v>472801.44198378496</v>
      </c>
      <c r="F46" s="53">
        <f t="shared" ref="F46:F47" si="34">F45*$A$15</f>
        <v>791962.21437819942</v>
      </c>
      <c r="G46" s="53">
        <f>L46*'Electricity Conversions'!Q30</f>
        <v>795941.92399819032</v>
      </c>
      <c r="H46" s="53"/>
      <c r="I46" s="53">
        <f t="shared" si="30"/>
        <v>2374330.5368760852</v>
      </c>
      <c r="J46" s="155">
        <f>I46*'Electricity Conversions'!$B$20</f>
        <v>1567618.4963449189</v>
      </c>
      <c r="K46" s="154">
        <v>700</v>
      </c>
      <c r="L46" s="156">
        <f t="shared" si="32"/>
        <v>770000.00000000012</v>
      </c>
      <c r="AX46" s="45">
        <f t="shared" si="29"/>
        <v>-1.0416666666666667</v>
      </c>
    </row>
    <row r="47" spans="1:67" ht="14.25" customHeight="1" x14ac:dyDescent="0.35">
      <c r="B47" s="38">
        <v>5</v>
      </c>
      <c r="C47" s="39"/>
      <c r="D47" s="154">
        <f t="shared" si="31"/>
        <v>312056.83173333114</v>
      </c>
      <c r="E47" s="53">
        <f t="shared" si="33"/>
        <v>470437.43477386603</v>
      </c>
      <c r="F47" s="53">
        <f t="shared" si="34"/>
        <v>788002.40330630844</v>
      </c>
      <c r="G47" s="53">
        <f>G46*$A$15</f>
        <v>791962.21437819942</v>
      </c>
      <c r="H47" s="53">
        <f>L47*'Electricity Conversions'!Q30</f>
        <v>795941.92399819032</v>
      </c>
      <c r="I47" s="53">
        <f t="shared" si="30"/>
        <v>3158400.808189895</v>
      </c>
      <c r="J47" s="155">
        <f>I47*'Electricity Conversions'!$B$20</f>
        <v>2085289.9159960633</v>
      </c>
      <c r="K47" s="154">
        <v>700</v>
      </c>
      <c r="L47" s="156">
        <f t="shared" si="32"/>
        <v>770000.00000000012</v>
      </c>
      <c r="AX47" s="45">
        <f t="shared" si="29"/>
        <v>-1.04</v>
      </c>
    </row>
    <row r="48" spans="1:67" ht="14.25" customHeight="1" x14ac:dyDescent="0.35">
      <c r="B48" s="38"/>
      <c r="C48" s="39"/>
      <c r="D48" s="74"/>
      <c r="E48" s="75"/>
      <c r="F48" s="75"/>
      <c r="G48" s="75"/>
      <c r="H48" s="75"/>
      <c r="I48" s="157">
        <f>SUM(I43:I47)</f>
        <v>8231778.3687630836</v>
      </c>
      <c r="J48" s="158">
        <f>I48*'Electricity Conversions'!$B$20</f>
        <v>5434916.4230786627</v>
      </c>
      <c r="K48" s="159">
        <f>SUM(K43:K47)</f>
        <v>2800</v>
      </c>
      <c r="L48" s="160"/>
      <c r="AX48" s="45">
        <f t="shared" si="29"/>
        <v>-1.0384615384615385</v>
      </c>
    </row>
    <row r="49" spans="2:50" ht="14.25" customHeight="1" x14ac:dyDescent="0.35">
      <c r="B49" s="38">
        <v>6</v>
      </c>
      <c r="C49" s="39"/>
      <c r="D49" s="119">
        <f t="shared" ref="D49:H49" si="35">D47*$A$15</f>
        <v>310496.54757466447</v>
      </c>
      <c r="E49" s="119">
        <f t="shared" si="35"/>
        <v>468085.24759999668</v>
      </c>
      <c r="F49" s="119">
        <f t="shared" si="35"/>
        <v>784062.39128977689</v>
      </c>
      <c r="G49" s="119">
        <f t="shared" si="35"/>
        <v>788002.40330630844</v>
      </c>
      <c r="H49" s="119">
        <f t="shared" si="35"/>
        <v>791962.21437819942</v>
      </c>
      <c r="I49" s="161">
        <f t="shared" ref="I49:I68" si="36">SUM(D49:H49)</f>
        <v>3142608.804148946</v>
      </c>
      <c r="J49" s="162">
        <f>I49*'Electricity Conversions'!$B$20</f>
        <v>2074863.4664160833</v>
      </c>
      <c r="AX49" s="45">
        <f t="shared" ref="AX49:AX50" si="37">-AX23/AX22</f>
        <v>-1</v>
      </c>
    </row>
    <row r="50" spans="2:50" ht="14.25" customHeight="1" x14ac:dyDescent="0.35">
      <c r="B50" s="38">
        <v>7</v>
      </c>
      <c r="C50" s="39"/>
      <c r="D50" s="127">
        <f t="shared" ref="D50:H50" si="38">D49*$A$15</f>
        <v>308944.06483679113</v>
      </c>
      <c r="E50" s="127">
        <f t="shared" si="38"/>
        <v>465744.8213619967</v>
      </c>
      <c r="F50" s="127">
        <f t="shared" si="38"/>
        <v>780142.07933332794</v>
      </c>
      <c r="G50" s="127">
        <f t="shared" si="38"/>
        <v>784062.39128977689</v>
      </c>
      <c r="H50" s="127">
        <f t="shared" si="38"/>
        <v>788002.40330630844</v>
      </c>
      <c r="I50" s="45">
        <f t="shared" si="36"/>
        <v>3126895.760128201</v>
      </c>
      <c r="J50" s="163">
        <f>I50*'Electricity Conversions'!$B$20</f>
        <v>2064489.1490840027</v>
      </c>
      <c r="AX50" s="45">
        <f t="shared" si="37"/>
        <v>-1</v>
      </c>
    </row>
    <row r="51" spans="2:50" ht="14.25" customHeight="1" x14ac:dyDescent="0.35">
      <c r="B51" s="38">
        <v>8</v>
      </c>
      <c r="C51" s="39"/>
      <c r="D51" s="127">
        <f t="shared" ref="D51:H51" si="39">D50*$A$15</f>
        <v>307399.3445126072</v>
      </c>
      <c r="E51" s="127">
        <f t="shared" si="39"/>
        <v>463416.0972551867</v>
      </c>
      <c r="F51" s="127">
        <f t="shared" si="39"/>
        <v>776241.36893666128</v>
      </c>
      <c r="G51" s="127">
        <f t="shared" si="39"/>
        <v>780142.07933332794</v>
      </c>
      <c r="H51" s="127">
        <f t="shared" si="39"/>
        <v>784062.39128977689</v>
      </c>
      <c r="I51" s="45">
        <f t="shared" si="36"/>
        <v>3111261.2813275605</v>
      </c>
      <c r="J51" s="163">
        <f>I51*'Electricity Conversions'!$B$20</f>
        <v>2054166.703338583</v>
      </c>
    </row>
    <row r="52" spans="2:50" ht="14.25" customHeight="1" x14ac:dyDescent="0.35">
      <c r="B52" s="38">
        <v>9</v>
      </c>
      <c r="C52" s="39"/>
      <c r="D52" s="127">
        <f t="shared" ref="D52:H52" si="40">D51*$A$15</f>
        <v>305862.34779004415</v>
      </c>
      <c r="E52" s="127">
        <f t="shared" si="40"/>
        <v>461099.01676891075</v>
      </c>
      <c r="F52" s="127">
        <f t="shared" si="40"/>
        <v>772360.16209197801</v>
      </c>
      <c r="G52" s="127">
        <f t="shared" si="40"/>
        <v>776241.36893666128</v>
      </c>
      <c r="H52" s="127">
        <f t="shared" si="40"/>
        <v>780142.07933332794</v>
      </c>
      <c r="I52" s="45">
        <f t="shared" si="36"/>
        <v>3095704.974920922</v>
      </c>
      <c r="J52" s="163">
        <f>I52*'Electricity Conversions'!$B$20</f>
        <v>2043895.8698218896</v>
      </c>
    </row>
    <row r="53" spans="2:50" ht="14.25" customHeight="1" x14ac:dyDescent="0.35">
      <c r="B53" s="38">
        <v>10</v>
      </c>
      <c r="C53" s="39"/>
      <c r="D53" s="127">
        <f t="shared" ref="D53:H53" si="41">D52*$A$15</f>
        <v>304333.03605109395</v>
      </c>
      <c r="E53" s="127">
        <f t="shared" si="41"/>
        <v>458793.52168506617</v>
      </c>
      <c r="F53" s="127">
        <f t="shared" si="41"/>
        <v>768498.36128151813</v>
      </c>
      <c r="G53" s="127">
        <f t="shared" si="41"/>
        <v>772360.16209197801</v>
      </c>
      <c r="H53" s="127">
        <f t="shared" si="41"/>
        <v>776241.36893666128</v>
      </c>
      <c r="I53" s="45">
        <f t="shared" si="36"/>
        <v>3080226.4500463172</v>
      </c>
      <c r="J53" s="163">
        <f>I53*'Electricity Conversions'!$B$20</f>
        <v>2033676.39047278</v>
      </c>
    </row>
    <row r="54" spans="2:50" ht="14.25" customHeight="1" x14ac:dyDescent="0.35">
      <c r="B54" s="38">
        <v>11</v>
      </c>
      <c r="C54" s="39"/>
      <c r="D54" s="127">
        <f t="shared" ref="D54:H54" si="42">D53*$A$15</f>
        <v>302811.37087083847</v>
      </c>
      <c r="E54" s="127">
        <f t="shared" si="42"/>
        <v>456499.55407664081</v>
      </c>
      <c r="F54" s="127">
        <f t="shared" si="42"/>
        <v>764655.86947511055</v>
      </c>
      <c r="G54" s="127">
        <f t="shared" si="42"/>
        <v>768498.36128151813</v>
      </c>
      <c r="H54" s="127">
        <f t="shared" si="42"/>
        <v>772360.16209197801</v>
      </c>
      <c r="I54" s="45">
        <f t="shared" si="36"/>
        <v>3064825.317796086</v>
      </c>
      <c r="J54" s="163">
        <f>I54*'Electricity Conversions'!$B$20</f>
        <v>2023508.0085204164</v>
      </c>
    </row>
    <row r="55" spans="2:50" ht="14.25" customHeight="1" x14ac:dyDescent="0.35">
      <c r="B55" s="38">
        <v>12</v>
      </c>
      <c r="C55" s="39"/>
      <c r="D55" s="127">
        <f t="shared" ref="D55:H55" si="43">D54*$A$15</f>
        <v>301297.31401648425</v>
      </c>
      <c r="E55" s="127">
        <f t="shared" si="43"/>
        <v>454217.05630625761</v>
      </c>
      <c r="F55" s="127">
        <f t="shared" si="43"/>
        <v>760832.59012773505</v>
      </c>
      <c r="G55" s="127">
        <f t="shared" si="43"/>
        <v>764655.86947511055</v>
      </c>
      <c r="H55" s="127">
        <f t="shared" si="43"/>
        <v>768498.36128151813</v>
      </c>
      <c r="I55" s="45">
        <f t="shared" si="36"/>
        <v>3049501.1912071053</v>
      </c>
      <c r="J55" s="163">
        <f>I55*'Electricity Conversions'!$B$20</f>
        <v>2013390.4684778142</v>
      </c>
    </row>
    <row r="56" spans="2:50" ht="14.25" customHeight="1" x14ac:dyDescent="0.35">
      <c r="B56" s="38">
        <v>13</v>
      </c>
      <c r="C56" s="39"/>
      <c r="D56" s="127">
        <f t="shared" ref="D56:H56" si="44">D55*$A$15</f>
        <v>299790.82744640182</v>
      </c>
      <c r="E56" s="127">
        <f t="shared" si="44"/>
        <v>451945.97102472634</v>
      </c>
      <c r="F56" s="127">
        <f t="shared" si="44"/>
        <v>757028.42717709637</v>
      </c>
      <c r="G56" s="127">
        <f t="shared" si="44"/>
        <v>760832.59012773505</v>
      </c>
      <c r="H56" s="127">
        <f t="shared" si="44"/>
        <v>764655.86947511055</v>
      </c>
      <c r="I56" s="45">
        <f t="shared" si="36"/>
        <v>3034253.6852510697</v>
      </c>
      <c r="J56" s="163">
        <f>I56*'Electricity Conversions'!$B$20</f>
        <v>2003323.5161354251</v>
      </c>
    </row>
    <row r="57" spans="2:50" ht="14.25" customHeight="1" x14ac:dyDescent="0.35">
      <c r="B57" s="38">
        <v>14</v>
      </c>
      <c r="C57" s="39"/>
      <c r="D57" s="127">
        <f t="shared" ref="D57:H57" si="45">D56*$A$15</f>
        <v>298291.87330916978</v>
      </c>
      <c r="E57" s="127">
        <f t="shared" si="45"/>
        <v>449686.24116960273</v>
      </c>
      <c r="F57" s="127">
        <f t="shared" si="45"/>
        <v>753243.28504121094</v>
      </c>
      <c r="G57" s="127">
        <f t="shared" si="45"/>
        <v>757028.42717709637</v>
      </c>
      <c r="H57" s="127">
        <f t="shared" si="45"/>
        <v>760832.59012773505</v>
      </c>
      <c r="I57" s="45">
        <f t="shared" si="36"/>
        <v>3019082.4168248149</v>
      </c>
      <c r="J57" s="163">
        <f>I57*'Electricity Conversions'!$B$20</f>
        <v>1993306.8985547482</v>
      </c>
    </row>
    <row r="58" spans="2:50" ht="14.25" customHeight="1" x14ac:dyDescent="0.35">
      <c r="B58" s="38">
        <v>15</v>
      </c>
      <c r="C58" s="39"/>
      <c r="D58" s="127">
        <f t="shared" ref="D58:H58" si="46">D57*$A$15</f>
        <v>296800.41394262394</v>
      </c>
      <c r="E58" s="127">
        <f t="shared" si="46"/>
        <v>447437.80996375473</v>
      </c>
      <c r="F58" s="127">
        <f t="shared" si="46"/>
        <v>749477.06861600489</v>
      </c>
      <c r="G58" s="127">
        <f t="shared" si="46"/>
        <v>753243.28504121094</v>
      </c>
      <c r="H58" s="127">
        <f t="shared" si="46"/>
        <v>757028.42717709637</v>
      </c>
      <c r="I58" s="45">
        <f t="shared" si="36"/>
        <v>3003987.0047406908</v>
      </c>
      <c r="J58" s="163">
        <f>I58*'Electricity Conversions'!$B$20</f>
        <v>1983340.3640619745</v>
      </c>
    </row>
    <row r="59" spans="2:50" ht="14.25" customHeight="1" x14ac:dyDescent="0.35">
      <c r="B59" s="38">
        <v>16</v>
      </c>
      <c r="C59" s="39"/>
      <c r="D59" s="127">
        <f t="shared" ref="D59:H59" si="47">D58*$A$15</f>
        <v>295316.4118729108</v>
      </c>
      <c r="E59" s="127">
        <f t="shared" si="47"/>
        <v>445200.62091393594</v>
      </c>
      <c r="F59" s="127">
        <f t="shared" si="47"/>
        <v>745729.68327292486</v>
      </c>
      <c r="G59" s="127">
        <f t="shared" si="47"/>
        <v>749477.06861600489</v>
      </c>
      <c r="H59" s="127">
        <f t="shared" si="47"/>
        <v>753243.28504121094</v>
      </c>
      <c r="I59" s="45">
        <f t="shared" si="36"/>
        <v>2988967.0697169872</v>
      </c>
      <c r="J59" s="163">
        <f>I59*'Electricity Conversions'!$B$20</f>
        <v>1973423.6622416645</v>
      </c>
    </row>
    <row r="60" spans="2:50" ht="14.25" customHeight="1" x14ac:dyDescent="0.35">
      <c r="B60" s="38">
        <v>17</v>
      </c>
      <c r="C60" s="39"/>
      <c r="D60" s="127">
        <f t="shared" ref="D60:H60" si="48">D59*$A$15</f>
        <v>293839.82981354627</v>
      </c>
      <c r="E60" s="127">
        <f t="shared" si="48"/>
        <v>442974.61780936626</v>
      </c>
      <c r="F60" s="127">
        <f t="shared" si="48"/>
        <v>742001.03485656017</v>
      </c>
      <c r="G60" s="127">
        <f t="shared" si="48"/>
        <v>745729.68327292486</v>
      </c>
      <c r="H60" s="127">
        <f t="shared" si="48"/>
        <v>749477.06861600489</v>
      </c>
      <c r="I60" s="45">
        <f t="shared" si="36"/>
        <v>2974022.2343684025</v>
      </c>
      <c r="J60" s="163">
        <f>I60*'Electricity Conversions'!$B$20</f>
        <v>1963556.5439304565</v>
      </c>
    </row>
    <row r="61" spans="2:50" ht="14.25" customHeight="1" x14ac:dyDescent="0.35">
      <c r="B61" s="38">
        <v>18</v>
      </c>
      <c r="C61" s="39"/>
      <c r="D61" s="127">
        <f t="shared" ref="D61:H61" si="49">D60*$A$15</f>
        <v>292370.63066447852</v>
      </c>
      <c r="E61" s="127">
        <f t="shared" si="49"/>
        <v>440759.7447203194</v>
      </c>
      <c r="F61" s="127">
        <f t="shared" si="49"/>
        <v>738291.02968227735</v>
      </c>
      <c r="G61" s="127">
        <f t="shared" si="49"/>
        <v>742001.03485656017</v>
      </c>
      <c r="H61" s="127">
        <f t="shared" si="49"/>
        <v>745729.68327292486</v>
      </c>
      <c r="I61" s="45">
        <f t="shared" si="36"/>
        <v>2959152.1231965604</v>
      </c>
      <c r="J61" s="163">
        <f>I61*'Electricity Conversions'!$B$20</f>
        <v>1953738.7612108041</v>
      </c>
    </row>
    <row r="62" spans="2:50" ht="14.25" customHeight="1" x14ac:dyDescent="0.35">
      <c r="B62" s="38">
        <v>19</v>
      </c>
      <c r="C62" s="39"/>
      <c r="D62" s="127">
        <f t="shared" ref="D62:H62" si="50">D61*$A$15</f>
        <v>290908.77751115611</v>
      </c>
      <c r="E62" s="127">
        <f t="shared" si="50"/>
        <v>438555.94599671778</v>
      </c>
      <c r="F62" s="127">
        <f t="shared" si="50"/>
        <v>734599.57453386602</v>
      </c>
      <c r="G62" s="127">
        <f t="shared" si="50"/>
        <v>738291.02968227735</v>
      </c>
      <c r="H62" s="127">
        <f t="shared" si="50"/>
        <v>742001.03485656017</v>
      </c>
      <c r="I62" s="45">
        <f t="shared" si="36"/>
        <v>2944356.3625805774</v>
      </c>
      <c r="J62" s="163">
        <f>I62*'Electricity Conversions'!$B$20</f>
        <v>1943970.0674047498</v>
      </c>
    </row>
    <row r="63" spans="2:50" ht="14.25" customHeight="1" x14ac:dyDescent="0.35">
      <c r="B63" s="38">
        <v>20</v>
      </c>
      <c r="C63" s="39"/>
      <c r="D63" s="127">
        <f t="shared" ref="D63:H63" si="51">D62*$A$15</f>
        <v>289454.23362360033</v>
      </c>
      <c r="E63" s="127">
        <f t="shared" si="51"/>
        <v>436363.16626673419</v>
      </c>
      <c r="F63" s="127">
        <f t="shared" si="51"/>
        <v>730926.57666119665</v>
      </c>
      <c r="G63" s="127">
        <f t="shared" si="51"/>
        <v>734599.57453386602</v>
      </c>
      <c r="H63" s="127">
        <f t="shared" si="51"/>
        <v>738291.02968227735</v>
      </c>
      <c r="I63" s="45">
        <f t="shared" si="36"/>
        <v>2929634.5807676748</v>
      </c>
      <c r="J63" s="163">
        <f>I63*'Electricity Conversions'!$B$20</f>
        <v>1934250.2170677264</v>
      </c>
    </row>
    <row r="64" spans="2:50" ht="14.25" customHeight="1" x14ac:dyDescent="0.35">
      <c r="B64" s="38">
        <v>21</v>
      </c>
      <c r="C64" s="39"/>
      <c r="D64" s="127">
        <f t="shared" ref="D64:H64" si="52">D63*$A$15</f>
        <v>288006.96245548234</v>
      </c>
      <c r="E64" s="127">
        <f t="shared" si="52"/>
        <v>434181.3504354005</v>
      </c>
      <c r="F64" s="127">
        <f t="shared" si="52"/>
        <v>727271.94377789064</v>
      </c>
      <c r="G64" s="127">
        <f t="shared" si="52"/>
        <v>730926.57666119665</v>
      </c>
      <c r="H64" s="127">
        <f t="shared" si="52"/>
        <v>734599.57453386602</v>
      </c>
      <c r="I64" s="45">
        <f t="shared" si="36"/>
        <v>2914986.4078638358</v>
      </c>
      <c r="J64" s="163">
        <f>I64*'Electricity Conversions'!$B$20</f>
        <v>1924578.9659823873</v>
      </c>
    </row>
    <row r="65" spans="2:10" ht="14.25" customHeight="1" x14ac:dyDescent="0.35">
      <c r="B65" s="38">
        <v>22</v>
      </c>
      <c r="C65" s="39"/>
      <c r="D65" s="127">
        <f t="shared" ref="D65:H65" si="53">D64*$A$15</f>
        <v>286566.92764320492</v>
      </c>
      <c r="E65" s="127">
        <f t="shared" si="53"/>
        <v>432010.44368322351</v>
      </c>
      <c r="F65" s="127">
        <f t="shared" si="53"/>
        <v>723635.58405900118</v>
      </c>
      <c r="G65" s="127">
        <f t="shared" si="53"/>
        <v>727271.94377789064</v>
      </c>
      <c r="H65" s="127">
        <f t="shared" si="53"/>
        <v>730926.57666119665</v>
      </c>
      <c r="I65" s="45">
        <f t="shared" si="36"/>
        <v>2900411.4758245167</v>
      </c>
      <c r="J65" s="163">
        <f>I65*'Electricity Conversions'!$B$20</f>
        <v>1914956.0711524754</v>
      </c>
    </row>
    <row r="66" spans="2:10" ht="14.25" customHeight="1" x14ac:dyDescent="0.35">
      <c r="B66" s="38">
        <v>23</v>
      </c>
      <c r="C66" s="39"/>
      <c r="D66" s="127">
        <f t="shared" ref="D66:H66" si="54">D65*$A$15</f>
        <v>285134.09300498891</v>
      </c>
      <c r="E66" s="127">
        <f t="shared" si="54"/>
        <v>429850.39146480738</v>
      </c>
      <c r="F66" s="127">
        <f t="shared" si="54"/>
        <v>720017.40613870614</v>
      </c>
      <c r="G66" s="127">
        <f t="shared" si="54"/>
        <v>723635.58405900118</v>
      </c>
      <c r="H66" s="127">
        <f t="shared" si="54"/>
        <v>727271.94377789064</v>
      </c>
      <c r="I66" s="45">
        <f t="shared" si="36"/>
        <v>2885909.4184453944</v>
      </c>
      <c r="J66" s="163">
        <f>I66*'Electricity Conversions'!$B$20</f>
        <v>1905381.2907967132</v>
      </c>
    </row>
    <row r="67" spans="2:10" ht="14.25" customHeight="1" x14ac:dyDescent="0.35">
      <c r="B67" s="38">
        <v>24</v>
      </c>
      <c r="C67" s="39"/>
      <c r="D67" s="127">
        <f t="shared" ref="D67:H67" si="55">D66*$A$15</f>
        <v>283708.42253996397</v>
      </c>
      <c r="E67" s="127">
        <f t="shared" si="55"/>
        <v>427701.13950748334</v>
      </c>
      <c r="F67" s="127">
        <f t="shared" si="55"/>
        <v>716417.3191080126</v>
      </c>
      <c r="G67" s="127">
        <f t="shared" si="55"/>
        <v>720017.40613870614</v>
      </c>
      <c r="H67" s="127">
        <f t="shared" si="55"/>
        <v>723635.58405900118</v>
      </c>
      <c r="I67" s="45">
        <f t="shared" si="36"/>
        <v>2871479.8713531671</v>
      </c>
      <c r="J67" s="163">
        <f>I67*'Electricity Conversions'!$B$20</f>
        <v>1895854.3843427293</v>
      </c>
    </row>
    <row r="68" spans="2:10" ht="14.25" customHeight="1" x14ac:dyDescent="0.35">
      <c r="B68" s="74">
        <v>25</v>
      </c>
      <c r="C68" s="76"/>
      <c r="D68" s="141">
        <f t="shared" ref="D68:H68" si="56">D67*$A$15</f>
        <v>282289.88042726414</v>
      </c>
      <c r="E68" s="141">
        <f t="shared" si="56"/>
        <v>425562.6338099459</v>
      </c>
      <c r="F68" s="141">
        <f t="shared" si="56"/>
        <v>712835.23251247255</v>
      </c>
      <c r="G68" s="141">
        <f t="shared" si="56"/>
        <v>716417.3191080126</v>
      </c>
      <c r="H68" s="141">
        <f t="shared" si="56"/>
        <v>720017.40613870614</v>
      </c>
      <c r="I68" s="164">
        <f t="shared" si="36"/>
        <v>2857122.4719964014</v>
      </c>
      <c r="J68" s="165">
        <f>I68*'Electricity Conversions'!$B$20</f>
        <v>1886375.112421016</v>
      </c>
    </row>
    <row r="69" spans="2:10" ht="14.25" customHeight="1" x14ac:dyDescent="0.35">
      <c r="D69" s="166" t="s">
        <v>231</v>
      </c>
      <c r="J69" s="167">
        <f>SUM(J49:J68)+J48</f>
        <v>45018962.334513098</v>
      </c>
    </row>
    <row r="70" spans="2:10" ht="14.25" customHeight="1" x14ac:dyDescent="0.35"/>
    <row r="71" spans="2:10" ht="14.25" customHeight="1" x14ac:dyDescent="0.35"/>
    <row r="72" spans="2:10" ht="14.25" customHeight="1" x14ac:dyDescent="0.35"/>
    <row r="73" spans="2:10" ht="14.25" customHeight="1" x14ac:dyDescent="0.35"/>
    <row r="74" spans="2:10" ht="14.25" customHeight="1" x14ac:dyDescent="0.35"/>
    <row r="75" spans="2:10" ht="14.25" customHeight="1" x14ac:dyDescent="0.35"/>
    <row r="76" spans="2:10" ht="14.25" customHeight="1" x14ac:dyDescent="0.35"/>
    <row r="77" spans="2:10" ht="14.25" customHeight="1" x14ac:dyDescent="0.35"/>
    <row r="78" spans="2:10" ht="14.25" customHeight="1" x14ac:dyDescent="0.35"/>
    <row r="79" spans="2:10" ht="14.25" customHeight="1" x14ac:dyDescent="0.35"/>
    <row r="80" spans="2:1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33">
    <mergeCell ref="BN12:BO12"/>
    <mergeCell ref="AR12:AS12"/>
    <mergeCell ref="AT12:AU12"/>
    <mergeCell ref="AV12:AW12"/>
    <mergeCell ref="AX12:BA12"/>
    <mergeCell ref="BB12:BC12"/>
    <mergeCell ref="BD12:BE12"/>
    <mergeCell ref="BF12:BG12"/>
    <mergeCell ref="AN12:AO12"/>
    <mergeCell ref="AP12:AQ12"/>
    <mergeCell ref="BH12:BI12"/>
    <mergeCell ref="BJ12:BK12"/>
    <mergeCell ref="BL12:BM12"/>
    <mergeCell ref="AD12:AE12"/>
    <mergeCell ref="AF12:AG12"/>
    <mergeCell ref="AH12:AI12"/>
    <mergeCell ref="AJ12:AK12"/>
    <mergeCell ref="AL12:AM12"/>
    <mergeCell ref="T12:U12"/>
    <mergeCell ref="V12:W12"/>
    <mergeCell ref="X12:Y12"/>
    <mergeCell ref="Z12:AA12"/>
    <mergeCell ref="AB12:AC12"/>
    <mergeCell ref="L12:M12"/>
    <mergeCell ref="N12:O12"/>
    <mergeCell ref="A14:B14"/>
    <mergeCell ref="P12:Q12"/>
    <mergeCell ref="R12:S12"/>
    <mergeCell ref="C4:E4"/>
    <mergeCell ref="D12:E12"/>
    <mergeCell ref="F12:G12"/>
    <mergeCell ref="H12:I12"/>
    <mergeCell ref="J12:K12"/>
  </mergeCells>
  <hyperlinks>
    <hyperlink ref="F3" r:id="rId1" xr:uid="{00000000-0004-0000-0200-000000000000}"/>
    <hyperlink ref="F4" r:id="rId2" xr:uid="{00000000-0004-0000-0200-000001000000}"/>
    <hyperlink ref="F5" r:id="rId3" xr:uid="{00000000-0004-0000-0200-000002000000}"/>
  </hyperlink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1000"/>
  <sheetViews>
    <sheetView workbookViewId="0"/>
  </sheetViews>
  <sheetFormatPr defaultColWidth="14.453125" defaultRowHeight="15" customHeight="1" x14ac:dyDescent="0.35"/>
  <cols>
    <col min="1" max="1" width="21" customWidth="1"/>
    <col min="2" max="2" width="16.26953125" customWidth="1"/>
    <col min="3" max="3" width="14.26953125" customWidth="1"/>
    <col min="4" max="4" width="16" customWidth="1"/>
    <col min="5" max="5" width="17.26953125" customWidth="1"/>
    <col min="6" max="6" width="16.54296875" customWidth="1"/>
    <col min="7" max="7" width="19.81640625" customWidth="1"/>
    <col min="8" max="8" width="22.7265625" customWidth="1"/>
    <col min="9" max="9" width="14.7265625" customWidth="1"/>
    <col min="10" max="10" width="15.26953125" customWidth="1"/>
    <col min="11" max="11" width="67.08984375" customWidth="1"/>
    <col min="12" max="12" width="10.26953125" customWidth="1"/>
    <col min="13" max="13" width="11.7265625" customWidth="1"/>
    <col min="14" max="14" width="11.453125" customWidth="1"/>
    <col min="15" max="15" width="12" customWidth="1"/>
    <col min="16" max="16" width="13.7265625" customWidth="1"/>
    <col min="17" max="18" width="8.7265625" customWidth="1"/>
    <col min="19" max="20" width="13.08984375" customWidth="1"/>
    <col min="21" max="22" width="8.7265625" customWidth="1"/>
    <col min="23" max="23" width="16.26953125" customWidth="1"/>
    <col min="24" max="24" width="13" customWidth="1"/>
    <col min="25" max="29" width="8.7265625" customWidth="1"/>
  </cols>
  <sheetData>
    <row r="1" spans="1:29" ht="14.25" customHeight="1" x14ac:dyDescent="0.35">
      <c r="A1" s="23" t="s">
        <v>232</v>
      </c>
      <c r="B1" s="23"/>
      <c r="C1" s="23"/>
      <c r="D1" s="23"/>
      <c r="E1" s="23"/>
      <c r="F1" s="23"/>
      <c r="G1" s="23"/>
      <c r="H1" s="23"/>
      <c r="I1" s="23"/>
      <c r="J1" s="23"/>
    </row>
    <row r="2" spans="1:29" ht="14.25" customHeight="1" x14ac:dyDescent="0.35">
      <c r="A2" s="168"/>
      <c r="B2" s="168"/>
      <c r="C2" s="168"/>
      <c r="D2" s="168"/>
      <c r="E2" s="168"/>
      <c r="F2" s="168"/>
      <c r="G2" s="168"/>
      <c r="H2" s="168"/>
      <c r="I2" s="168"/>
      <c r="J2" s="168"/>
      <c r="K2" s="169"/>
      <c r="L2" s="170"/>
    </row>
    <row r="3" spans="1:29" ht="14.25" customHeight="1" x14ac:dyDescent="0.35">
      <c r="A3" s="171" t="s">
        <v>233</v>
      </c>
      <c r="B3" s="172"/>
      <c r="C3" s="172"/>
      <c r="D3" s="172"/>
      <c r="E3" s="172"/>
      <c r="F3" s="172"/>
      <c r="G3" s="172"/>
      <c r="H3" s="172"/>
      <c r="I3" s="172"/>
      <c r="J3" s="172"/>
      <c r="K3" s="173"/>
      <c r="L3" s="174"/>
    </row>
    <row r="4" spans="1:29" ht="14.25" customHeight="1" x14ac:dyDescent="0.35">
      <c r="A4" s="106"/>
      <c r="B4" s="175" t="s">
        <v>234</v>
      </c>
      <c r="C4" s="175" t="s">
        <v>235</v>
      </c>
      <c r="D4" s="175" t="s">
        <v>236</v>
      </c>
      <c r="E4" s="176" t="s">
        <v>237</v>
      </c>
      <c r="F4" s="177" t="s">
        <v>238</v>
      </c>
      <c r="G4" s="18"/>
      <c r="H4" s="18"/>
      <c r="I4" s="18"/>
      <c r="J4" s="18"/>
      <c r="K4" s="178"/>
      <c r="L4" s="179"/>
    </row>
    <row r="5" spans="1:29" ht="14.25" customHeight="1" x14ac:dyDescent="0.35">
      <c r="A5" s="38" t="s">
        <v>239</v>
      </c>
      <c r="B5" s="180">
        <v>7.07</v>
      </c>
      <c r="C5" s="181">
        <f t="shared" ref="C5:C7" si="0">B5*260</f>
        <v>1838.2</v>
      </c>
      <c r="D5" s="180">
        <v>6.15</v>
      </c>
      <c r="E5" s="182">
        <f t="shared" ref="E5:E7" si="1">104*D5</f>
        <v>639.6</v>
      </c>
      <c r="F5" s="183">
        <f t="shared" ref="F5:F7" si="2">C5+E5</f>
        <v>2477.8000000000002</v>
      </c>
      <c r="G5" s="18"/>
      <c r="H5" s="18"/>
      <c r="I5" s="18"/>
      <c r="J5" s="168"/>
      <c r="K5" s="178"/>
      <c r="L5" s="179"/>
    </row>
    <row r="6" spans="1:29" ht="14.25" customHeight="1" x14ac:dyDescent="0.35">
      <c r="A6" s="9" t="s">
        <v>240</v>
      </c>
      <c r="B6" s="7">
        <v>23.3</v>
      </c>
      <c r="C6" s="4">
        <f t="shared" si="0"/>
        <v>6058</v>
      </c>
      <c r="D6" s="7">
        <v>24.43</v>
      </c>
      <c r="E6" s="16">
        <f t="shared" si="1"/>
        <v>2540.7199999999998</v>
      </c>
      <c r="F6" s="184">
        <f t="shared" si="2"/>
        <v>8598.7199999999993</v>
      </c>
      <c r="G6" s="185">
        <f>F5+F6</f>
        <v>11076.52</v>
      </c>
      <c r="H6" s="186" t="s">
        <v>241</v>
      </c>
      <c r="J6" s="168"/>
      <c r="K6" s="178"/>
      <c r="L6" s="179"/>
    </row>
    <row r="7" spans="1:29" ht="14.25" customHeight="1" x14ac:dyDescent="0.35">
      <c r="A7" s="74" t="s">
        <v>242</v>
      </c>
      <c r="B7" s="187">
        <v>19.25</v>
      </c>
      <c r="C7" s="188">
        <f t="shared" si="0"/>
        <v>5005</v>
      </c>
      <c r="D7" s="187">
        <v>22.1</v>
      </c>
      <c r="E7" s="189">
        <f t="shared" si="1"/>
        <v>2298.4</v>
      </c>
      <c r="F7" s="190">
        <f t="shared" si="2"/>
        <v>7303.4</v>
      </c>
      <c r="G7" s="18"/>
      <c r="H7" s="18"/>
      <c r="I7" s="18"/>
      <c r="J7" s="168"/>
      <c r="K7" s="178"/>
      <c r="L7" s="179"/>
    </row>
    <row r="8" spans="1:29" ht="14.25" customHeight="1" x14ac:dyDescent="0.35">
      <c r="A8" s="38"/>
      <c r="B8" s="18"/>
      <c r="C8" s="18"/>
      <c r="D8" s="18"/>
      <c r="E8" s="18"/>
      <c r="F8" s="18"/>
      <c r="G8" s="18"/>
      <c r="H8" s="18"/>
      <c r="I8" s="18"/>
      <c r="J8" s="18"/>
      <c r="K8" s="178"/>
      <c r="L8" s="179"/>
    </row>
    <row r="9" spans="1:29" ht="14.25" customHeight="1" x14ac:dyDescent="0.35"/>
    <row r="10" spans="1:29" ht="14.25" customHeight="1" x14ac:dyDescent="0.35"/>
    <row r="11" spans="1:29" ht="14.25" customHeight="1" x14ac:dyDescent="0.35"/>
    <row r="12" spans="1:29" ht="14.25" customHeight="1" x14ac:dyDescent="0.35">
      <c r="A12" s="23" t="s">
        <v>243</v>
      </c>
      <c r="B12" s="23"/>
      <c r="C12" s="23"/>
      <c r="D12" s="23"/>
      <c r="E12" s="23"/>
      <c r="F12" s="23"/>
      <c r="G12" s="191"/>
      <c r="H12" s="192"/>
      <c r="I12" s="193"/>
      <c r="J12" s="193"/>
      <c r="K12" s="194"/>
      <c r="L12" s="194"/>
      <c r="M12" s="194"/>
      <c r="N12" s="194"/>
      <c r="O12" s="194"/>
      <c r="P12" s="194"/>
      <c r="Q12" s="194"/>
      <c r="R12" s="194"/>
      <c r="S12" s="194"/>
      <c r="T12" s="194"/>
      <c r="U12" s="194"/>
      <c r="V12" s="194"/>
      <c r="W12" s="194"/>
      <c r="X12" s="194"/>
    </row>
    <row r="13" spans="1:29" ht="14.25" customHeight="1" x14ac:dyDescent="0.35">
      <c r="A13" s="91"/>
      <c r="B13" s="545">
        <v>2022</v>
      </c>
      <c r="C13" s="533"/>
      <c r="D13" s="533"/>
      <c r="E13" s="533"/>
      <c r="F13" s="533"/>
      <c r="G13" s="535"/>
      <c r="H13" s="48"/>
      <c r="I13" s="195"/>
      <c r="J13" s="196"/>
      <c r="K13" s="197"/>
      <c r="L13" s="198"/>
      <c r="M13" s="198"/>
      <c r="N13" s="198"/>
      <c r="O13" s="198"/>
      <c r="P13" s="198"/>
      <c r="Q13" s="198"/>
      <c r="R13" s="198"/>
      <c r="S13" s="198"/>
      <c r="T13" s="556"/>
      <c r="U13" s="557"/>
      <c r="V13" s="557"/>
      <c r="W13" s="558"/>
      <c r="X13" s="198"/>
    </row>
    <row r="14" spans="1:29" ht="14.25" customHeight="1" x14ac:dyDescent="0.35">
      <c r="A14" s="153"/>
      <c r="B14" s="199" t="s">
        <v>244</v>
      </c>
      <c r="C14" s="175" t="s">
        <v>245</v>
      </c>
      <c r="D14" s="175" t="s">
        <v>246</v>
      </c>
      <c r="E14" s="175" t="s">
        <v>247</v>
      </c>
      <c r="F14" s="175" t="s">
        <v>248</v>
      </c>
      <c r="G14" s="200" t="s">
        <v>249</v>
      </c>
      <c r="H14" s="554" t="s">
        <v>250</v>
      </c>
      <c r="I14" s="533"/>
      <c r="J14" s="535"/>
      <c r="K14" s="201" t="s">
        <v>132</v>
      </c>
      <c r="L14" s="202"/>
      <c r="M14" s="203" t="s">
        <v>251</v>
      </c>
      <c r="N14" s="204"/>
      <c r="O14" s="204"/>
      <c r="P14" s="205"/>
      <c r="Q14" s="205"/>
      <c r="R14" s="205"/>
      <c r="S14" s="205"/>
      <c r="T14" s="205"/>
      <c r="U14" s="205"/>
      <c r="V14" s="205"/>
      <c r="W14" s="205"/>
      <c r="X14" s="204"/>
      <c r="Y14" s="204"/>
      <c r="Z14" s="204"/>
      <c r="AA14" s="204"/>
      <c r="AB14" s="205"/>
      <c r="AC14" s="202"/>
    </row>
    <row r="15" spans="1:29" ht="14.25" customHeight="1" x14ac:dyDescent="0.35">
      <c r="A15" s="206">
        <v>2022</v>
      </c>
      <c r="B15" s="207">
        <v>116994</v>
      </c>
      <c r="C15" s="208">
        <v>2130000</v>
      </c>
      <c r="D15" s="3">
        <f>F5</f>
        <v>2477.8000000000002</v>
      </c>
      <c r="E15" s="208">
        <f t="shared" ref="E15:E22" si="3">D15*B15</f>
        <v>289887733.20000005</v>
      </c>
      <c r="F15" s="208">
        <f t="shared" ref="F15:F22" si="4">E15/C15</f>
        <v>136.09752732394369</v>
      </c>
      <c r="G15" s="1">
        <f t="shared" ref="G15:G22" si="5">C15/B15</f>
        <v>18.206061849325607</v>
      </c>
      <c r="H15" s="127">
        <f t="shared" ref="H15:H22" si="6">G15/$G$22</f>
        <v>0.55169884391895785</v>
      </c>
      <c r="I15" s="18"/>
      <c r="J15" s="39"/>
      <c r="K15" s="202"/>
      <c r="L15" s="202"/>
      <c r="M15" s="209"/>
      <c r="N15" s="205"/>
      <c r="O15" s="205"/>
      <c r="P15" s="205"/>
      <c r="Q15" s="205"/>
      <c r="R15" s="210" t="s">
        <v>252</v>
      </c>
      <c r="S15" s="205"/>
      <c r="T15" s="205"/>
      <c r="U15" s="205"/>
      <c r="V15" s="205"/>
      <c r="W15" s="205"/>
      <c r="X15" s="205"/>
      <c r="Y15" s="205"/>
      <c r="Z15" s="205"/>
      <c r="AA15" s="205"/>
      <c r="AB15" s="205"/>
      <c r="AC15" s="202"/>
    </row>
    <row r="16" spans="1:29" ht="14.25" customHeight="1" x14ac:dyDescent="0.35">
      <c r="A16" s="211">
        <v>2023</v>
      </c>
      <c r="B16" s="207">
        <f>181026*0.775</f>
        <v>140295.15</v>
      </c>
      <c r="C16" s="208">
        <f>C15*N17</f>
        <v>2875500</v>
      </c>
      <c r="D16" s="3">
        <f t="shared" ref="D16:D22" si="7">D15*K16</f>
        <v>2775.1360000000004</v>
      </c>
      <c r="E16" s="208">
        <f t="shared" si="3"/>
        <v>389338121.39040005</v>
      </c>
      <c r="F16" s="208">
        <f t="shared" si="4"/>
        <v>135.39840771705792</v>
      </c>
      <c r="G16" s="1">
        <f t="shared" si="5"/>
        <v>20.496075594915435</v>
      </c>
      <c r="H16" s="127">
        <f t="shared" si="6"/>
        <v>0.62109319984592226</v>
      </c>
      <c r="I16" s="18">
        <v>7.0000000000000007E-2</v>
      </c>
      <c r="J16" s="39"/>
      <c r="K16" s="202">
        <f t="shared" ref="K16:K22" si="8">$O$17+I16</f>
        <v>1.1200000000000001</v>
      </c>
      <c r="L16" s="202"/>
      <c r="M16" s="209"/>
      <c r="N16" s="205"/>
      <c r="O16" s="205"/>
      <c r="P16" s="205"/>
      <c r="Q16" s="205"/>
      <c r="R16" s="205"/>
      <c r="S16" s="205"/>
      <c r="T16" s="205"/>
      <c r="U16" s="205"/>
      <c r="V16" s="205"/>
      <c r="W16" s="205"/>
      <c r="X16" s="205"/>
      <c r="Y16" s="205"/>
      <c r="Z16" s="205"/>
      <c r="AA16" s="205"/>
      <c r="AB16" s="205"/>
      <c r="AC16" s="202"/>
    </row>
    <row r="17" spans="1:29" ht="14.25" customHeight="1" x14ac:dyDescent="0.35">
      <c r="A17" s="211">
        <v>2024</v>
      </c>
      <c r="B17" s="207">
        <f>B16*2.4</f>
        <v>336708.36</v>
      </c>
      <c r="C17" s="208">
        <f>C16*2.7</f>
        <v>7763850.0000000009</v>
      </c>
      <c r="D17" s="3">
        <f t="shared" si="7"/>
        <v>3330.1632000000004</v>
      </c>
      <c r="E17" s="208">
        <f t="shared" si="3"/>
        <v>1121293789.604352</v>
      </c>
      <c r="F17" s="208">
        <f t="shared" si="4"/>
        <v>144.42496823152842</v>
      </c>
      <c r="G17" s="1">
        <f t="shared" si="5"/>
        <v>23.058085044279867</v>
      </c>
      <c r="H17" s="127">
        <f t="shared" si="6"/>
        <v>0.69872984982666264</v>
      </c>
      <c r="I17" s="18">
        <v>0.15</v>
      </c>
      <c r="J17" s="39" t="s">
        <v>253</v>
      </c>
      <c r="K17" s="202">
        <f t="shared" si="8"/>
        <v>1.2</v>
      </c>
      <c r="L17" s="202"/>
      <c r="M17" s="209">
        <v>1.25</v>
      </c>
      <c r="N17" s="205">
        <v>1.35</v>
      </c>
      <c r="O17" s="205">
        <v>1.05</v>
      </c>
      <c r="P17" s="205"/>
      <c r="Q17" s="205"/>
      <c r="R17" s="205"/>
      <c r="S17" s="205"/>
      <c r="T17" s="205"/>
      <c r="U17" s="205"/>
      <c r="V17" s="205"/>
      <c r="W17" s="205"/>
      <c r="X17" s="205"/>
      <c r="Y17" s="205"/>
      <c r="Z17" s="205"/>
      <c r="AA17" s="205"/>
      <c r="AB17" s="205"/>
      <c r="AC17" s="202"/>
    </row>
    <row r="18" spans="1:29" ht="14.25" customHeight="1" x14ac:dyDescent="0.35">
      <c r="A18" s="211">
        <v>2025</v>
      </c>
      <c r="B18" s="207">
        <f t="shared" ref="B18:B21" si="9">B17*$M$17</f>
        <v>420885.44999999995</v>
      </c>
      <c r="C18" s="208">
        <f t="shared" ref="C18:C21" si="10">C17*$N$17</f>
        <v>10481197.500000002</v>
      </c>
      <c r="D18" s="3">
        <f t="shared" si="7"/>
        <v>3663.1795200000006</v>
      </c>
      <c r="E18" s="208">
        <f t="shared" si="3"/>
        <v>1541778960.7059841</v>
      </c>
      <c r="F18" s="208">
        <f t="shared" si="4"/>
        <v>147.09950468026042</v>
      </c>
      <c r="G18" s="1">
        <f t="shared" si="5"/>
        <v>24.90273184782226</v>
      </c>
      <c r="H18" s="127">
        <f t="shared" si="6"/>
        <v>0.75462823781279575</v>
      </c>
      <c r="I18" s="18">
        <v>0.05</v>
      </c>
      <c r="J18" s="39" t="s">
        <v>254</v>
      </c>
      <c r="K18" s="202">
        <f t="shared" si="8"/>
        <v>1.1000000000000001</v>
      </c>
      <c r="L18" s="202"/>
      <c r="M18" s="209"/>
      <c r="N18" s="202"/>
      <c r="O18" s="202" t="s">
        <v>255</v>
      </c>
      <c r="P18" s="202"/>
      <c r="Q18" s="202"/>
      <c r="R18" s="202"/>
      <c r="S18" s="202"/>
      <c r="T18" s="202"/>
      <c r="U18" s="202"/>
      <c r="V18" s="202"/>
      <c r="W18" s="202"/>
      <c r="X18" s="202"/>
      <c r="Y18" s="202"/>
      <c r="Z18" s="205"/>
      <c r="AA18" s="205"/>
      <c r="AB18" s="205"/>
      <c r="AC18" s="202"/>
    </row>
    <row r="19" spans="1:29" ht="14.25" customHeight="1" x14ac:dyDescent="0.35">
      <c r="A19" s="211">
        <v>2026</v>
      </c>
      <c r="B19" s="207">
        <f t="shared" si="9"/>
        <v>526106.8125</v>
      </c>
      <c r="C19" s="208">
        <f t="shared" si="10"/>
        <v>14149616.625000004</v>
      </c>
      <c r="D19" s="3">
        <f t="shared" si="7"/>
        <v>4066.1292672000009</v>
      </c>
      <c r="E19" s="208">
        <f t="shared" si="3"/>
        <v>2139218307.9795532</v>
      </c>
      <c r="F19" s="208">
        <f t="shared" si="4"/>
        <v>151.1856020324899</v>
      </c>
      <c r="G19" s="1">
        <f t="shared" si="5"/>
        <v>26.894950395648038</v>
      </c>
      <c r="H19" s="127">
        <f t="shared" si="6"/>
        <v>0.81499849683781933</v>
      </c>
      <c r="I19" s="18">
        <v>0.06</v>
      </c>
      <c r="J19" s="39" t="s">
        <v>254</v>
      </c>
      <c r="K19" s="202">
        <f t="shared" si="8"/>
        <v>1.1100000000000001</v>
      </c>
      <c r="L19" s="202"/>
      <c r="M19" s="209"/>
      <c r="N19" s="202"/>
      <c r="O19" s="202"/>
      <c r="P19" s="202"/>
      <c r="Q19" s="202"/>
      <c r="R19" s="202"/>
      <c r="S19" s="202"/>
      <c r="T19" s="202"/>
      <c r="U19" s="202"/>
      <c r="V19" s="202"/>
      <c r="W19" s="202"/>
      <c r="X19" s="202"/>
      <c r="Y19" s="202"/>
      <c r="Z19" s="205"/>
      <c r="AA19" s="205"/>
      <c r="AB19" s="205"/>
      <c r="AC19" s="202"/>
    </row>
    <row r="20" spans="1:29" ht="14.25" customHeight="1" x14ac:dyDescent="0.35">
      <c r="A20" s="211">
        <v>2027</v>
      </c>
      <c r="B20" s="207">
        <f t="shared" si="9"/>
        <v>657633.515625</v>
      </c>
      <c r="C20" s="208">
        <f t="shared" si="10"/>
        <v>19101982.443750005</v>
      </c>
      <c r="D20" s="3">
        <f t="shared" si="7"/>
        <v>4554.0647792640011</v>
      </c>
      <c r="E20" s="208">
        <f t="shared" si="3"/>
        <v>2994905631.1713748</v>
      </c>
      <c r="F20" s="208">
        <f t="shared" si="4"/>
        <v>156.78506877443397</v>
      </c>
      <c r="G20" s="1">
        <f t="shared" si="5"/>
        <v>29.046546427299884</v>
      </c>
      <c r="H20" s="127">
        <f t="shared" si="6"/>
        <v>0.88019837658484501</v>
      </c>
      <c r="I20" s="18">
        <v>7.0000000000000007E-2</v>
      </c>
      <c r="J20" s="39" t="s">
        <v>254</v>
      </c>
      <c r="K20" s="202">
        <f t="shared" si="8"/>
        <v>1.1200000000000001</v>
      </c>
      <c r="L20" s="202"/>
      <c r="M20" s="209"/>
      <c r="N20" s="205"/>
      <c r="O20" s="205"/>
      <c r="P20" s="205"/>
      <c r="Q20" s="205"/>
      <c r="R20" s="205"/>
      <c r="S20" s="205"/>
      <c r="T20" s="205"/>
      <c r="U20" s="205"/>
      <c r="V20" s="205"/>
      <c r="W20" s="205"/>
      <c r="X20" s="205"/>
      <c r="Y20" s="205"/>
      <c r="Z20" s="205"/>
      <c r="AA20" s="205"/>
      <c r="AB20" s="205"/>
      <c r="AC20" s="202"/>
    </row>
    <row r="21" spans="1:29" ht="14.25" customHeight="1" x14ac:dyDescent="0.35">
      <c r="A21" s="211">
        <v>2028</v>
      </c>
      <c r="B21" s="207">
        <f t="shared" si="9"/>
        <v>822041.89453125</v>
      </c>
      <c r="C21" s="208">
        <f t="shared" si="10"/>
        <v>25787676.299062509</v>
      </c>
      <c r="D21" s="3">
        <f t="shared" si="7"/>
        <v>5100.5525527756818</v>
      </c>
      <c r="E21" s="208">
        <f t="shared" si="3"/>
        <v>4192867883.639925</v>
      </c>
      <c r="F21" s="208">
        <f t="shared" si="4"/>
        <v>162.59192317348709</v>
      </c>
      <c r="G21" s="1">
        <f t="shared" si="5"/>
        <v>31.370270141483875</v>
      </c>
      <c r="H21" s="127">
        <f t="shared" si="6"/>
        <v>0.95061424671163253</v>
      </c>
      <c r="I21" s="18">
        <v>7.0000000000000007E-2</v>
      </c>
      <c r="J21" s="39" t="s">
        <v>254</v>
      </c>
      <c r="K21" s="202">
        <f t="shared" si="8"/>
        <v>1.1200000000000001</v>
      </c>
      <c r="L21" s="202"/>
      <c r="M21" s="212">
        <f>B21*M17</f>
        <v>1027552.3681640625</v>
      </c>
      <c r="N21" s="212">
        <f>C21*M17</f>
        <v>32234595.373828135</v>
      </c>
      <c r="O21" s="205"/>
      <c r="P21" s="205"/>
      <c r="Q21" s="205"/>
      <c r="R21" s="205"/>
      <c r="S21" s="205"/>
      <c r="T21" s="205"/>
      <c r="U21" s="205"/>
      <c r="V21" s="205"/>
      <c r="W21" s="205"/>
      <c r="X21" s="205"/>
      <c r="Y21" s="205"/>
      <c r="Z21" s="205"/>
      <c r="AA21" s="205"/>
      <c r="AB21" s="205"/>
      <c r="AC21" s="202"/>
    </row>
    <row r="22" spans="1:29" ht="14.25" customHeight="1" x14ac:dyDescent="0.35">
      <c r="A22" s="9">
        <v>2029</v>
      </c>
      <c r="B22" s="213">
        <v>1000000</v>
      </c>
      <c r="C22" s="214">
        <v>33000000</v>
      </c>
      <c r="D22" s="215">
        <f t="shared" si="7"/>
        <v>5610.6078080532507</v>
      </c>
      <c r="E22" s="216">
        <f t="shared" si="3"/>
        <v>5610607808.0532503</v>
      </c>
      <c r="F22" s="216">
        <f t="shared" si="4"/>
        <v>170.01841842585608</v>
      </c>
      <c r="G22" s="217">
        <f t="shared" si="5"/>
        <v>33</v>
      </c>
      <c r="H22" s="141">
        <f t="shared" si="6"/>
        <v>1</v>
      </c>
      <c r="I22" s="75">
        <v>0.05</v>
      </c>
      <c r="J22" s="76"/>
      <c r="K22" s="202">
        <f t="shared" si="8"/>
        <v>1.1000000000000001</v>
      </c>
      <c r="L22" s="202"/>
      <c r="M22" s="210" t="s">
        <v>256</v>
      </c>
      <c r="N22" s="205"/>
      <c r="O22" s="205"/>
      <c r="P22" s="205"/>
      <c r="Q22" s="205"/>
      <c r="R22" s="205"/>
      <c r="S22" s="205"/>
      <c r="T22" s="205"/>
      <c r="U22" s="205"/>
      <c r="V22" s="205"/>
      <c r="W22" s="205"/>
      <c r="X22" s="205" t="s">
        <v>257</v>
      </c>
      <c r="Y22" s="202"/>
      <c r="Z22" s="205"/>
      <c r="AA22" s="205"/>
      <c r="AB22" s="205"/>
      <c r="AC22" s="202"/>
    </row>
    <row r="23" spans="1:29" ht="14.25" customHeight="1" x14ac:dyDescent="0.35">
      <c r="A23" s="9">
        <v>2030</v>
      </c>
      <c r="B23" s="213"/>
      <c r="C23" s="8"/>
      <c r="D23" s="4">
        <f t="shared" ref="D23:D27" si="11">D22*$O$17</f>
        <v>5891.1381984559139</v>
      </c>
      <c r="E23" s="7"/>
      <c r="F23" s="7"/>
      <c r="G23" s="217"/>
      <c r="H23" s="218"/>
      <c r="J23" s="219"/>
      <c r="K23" s="205"/>
      <c r="L23" s="205"/>
      <c r="M23" s="205"/>
      <c r="N23" s="205"/>
      <c r="O23" s="205"/>
      <c r="P23" s="205"/>
      <c r="Q23" s="205"/>
      <c r="R23" s="205"/>
      <c r="S23" s="205"/>
      <c r="T23" s="205"/>
      <c r="U23" s="205"/>
      <c r="V23" s="205"/>
      <c r="W23" s="205"/>
      <c r="X23" s="205"/>
      <c r="Y23" s="205"/>
      <c r="Z23" s="202"/>
      <c r="AA23" s="202"/>
      <c r="AB23" s="202"/>
      <c r="AC23" s="202"/>
    </row>
    <row r="24" spans="1:29" ht="14.25" customHeight="1" x14ac:dyDescent="0.35">
      <c r="A24" s="9">
        <v>2031</v>
      </c>
      <c r="B24" s="213"/>
      <c r="C24" s="8"/>
      <c r="D24" s="4">
        <f t="shared" si="11"/>
        <v>6185.6951083787098</v>
      </c>
      <c r="E24" s="7"/>
      <c r="F24" s="7"/>
      <c r="G24" s="217"/>
      <c r="H24" s="218"/>
      <c r="I24" s="220"/>
      <c r="J24" s="198"/>
      <c r="K24" s="198"/>
      <c r="L24" s="198"/>
      <c r="M24" s="198"/>
      <c r="N24" s="198"/>
      <c r="O24" s="198"/>
      <c r="P24" s="198"/>
      <c r="Q24" s="198"/>
      <c r="R24" s="198"/>
      <c r="S24" s="198"/>
      <c r="T24" s="198"/>
      <c r="U24" s="198"/>
      <c r="V24" s="198"/>
      <c r="W24" s="198"/>
      <c r="X24" s="198"/>
    </row>
    <row r="25" spans="1:29" ht="14.25" customHeight="1" x14ac:dyDescent="0.35">
      <c r="A25" s="9">
        <v>2032</v>
      </c>
      <c r="B25" s="213"/>
      <c r="C25" s="8"/>
      <c r="D25" s="4">
        <f t="shared" si="11"/>
        <v>6494.9798637976455</v>
      </c>
      <c r="E25" s="7"/>
      <c r="F25" s="7"/>
      <c r="G25" s="217"/>
      <c r="H25" s="218"/>
      <c r="I25" s="220"/>
      <c r="J25" s="198"/>
      <c r="K25" s="198"/>
      <c r="L25" s="198"/>
      <c r="M25" s="198"/>
      <c r="N25" s="198"/>
      <c r="O25" s="198"/>
      <c r="P25" s="198"/>
      <c r="Q25" s="198"/>
      <c r="R25" s="198"/>
      <c r="S25" s="198"/>
      <c r="T25" s="198"/>
      <c r="U25" s="198"/>
      <c r="V25" s="198"/>
      <c r="W25" s="198"/>
      <c r="X25" s="198"/>
    </row>
    <row r="26" spans="1:29" ht="14.25" customHeight="1" x14ac:dyDescent="0.35">
      <c r="A26" s="9">
        <v>2033</v>
      </c>
      <c r="B26" s="213"/>
      <c r="C26" s="8"/>
      <c r="D26" s="4">
        <f t="shared" si="11"/>
        <v>6819.7288569875282</v>
      </c>
      <c r="E26" s="7"/>
      <c r="F26" s="7"/>
      <c r="G26" s="217"/>
      <c r="H26" s="218"/>
      <c r="I26" s="220"/>
      <c r="J26" s="205"/>
      <c r="K26" s="205"/>
      <c r="L26" s="205"/>
      <c r="M26" s="205"/>
      <c r="N26" s="205"/>
      <c r="O26" s="205"/>
      <c r="P26" s="205"/>
      <c r="Q26" s="205"/>
      <c r="R26" s="205"/>
      <c r="S26" s="205"/>
      <c r="T26" s="205"/>
      <c r="U26" s="205"/>
      <c r="V26" s="205"/>
      <c r="W26" s="205"/>
      <c r="X26" s="205"/>
      <c r="Y26" s="202"/>
      <c r="Z26" s="202"/>
      <c r="AA26" s="202"/>
      <c r="AB26" s="202"/>
      <c r="AC26" s="202"/>
    </row>
    <row r="27" spans="1:29" ht="14.25" customHeight="1" x14ac:dyDescent="0.35">
      <c r="A27" s="221">
        <v>2034</v>
      </c>
      <c r="B27" s="222"/>
      <c r="C27" s="17"/>
      <c r="D27" s="15">
        <f t="shared" si="11"/>
        <v>7160.7152998369047</v>
      </c>
      <c r="E27" s="14"/>
      <c r="F27" s="14"/>
      <c r="G27" s="223"/>
      <c r="H27" s="218"/>
      <c r="I27" s="220"/>
      <c r="J27" s="205"/>
      <c r="K27" s="205"/>
      <c r="L27" s="205"/>
      <c r="M27" s="205"/>
      <c r="N27" s="205"/>
      <c r="O27" s="205"/>
      <c r="P27" s="205"/>
      <c r="Q27" s="205"/>
      <c r="R27" s="205"/>
      <c r="S27" s="205"/>
      <c r="T27" s="205"/>
      <c r="U27" s="205"/>
      <c r="V27" s="205"/>
      <c r="W27" s="205"/>
      <c r="X27" s="205"/>
      <c r="Y27" s="202"/>
      <c r="Z27" s="202"/>
      <c r="AA27" s="202"/>
      <c r="AB27" s="202"/>
      <c r="AC27" s="202"/>
    </row>
    <row r="28" spans="1:29" ht="14.25" customHeight="1" x14ac:dyDescent="0.35">
      <c r="A28" s="224">
        <v>2035</v>
      </c>
      <c r="B28" s="225"/>
      <c r="C28" s="226"/>
      <c r="D28" s="227">
        <f>D27*$O$17*$O$17</f>
        <v>7894.6886180701877</v>
      </c>
      <c r="E28" s="228"/>
      <c r="F28" s="228"/>
      <c r="G28" s="229"/>
      <c r="H28" s="230" t="s">
        <v>258</v>
      </c>
      <c r="I28" s="220"/>
      <c r="J28" s="205"/>
      <c r="K28" s="205"/>
      <c r="L28" s="205"/>
      <c r="M28" s="205"/>
      <c r="N28" s="205"/>
      <c r="O28" s="205"/>
      <c r="P28" s="205"/>
      <c r="Q28" s="205"/>
      <c r="R28" s="205"/>
      <c r="S28" s="205"/>
      <c r="T28" s="205"/>
      <c r="U28" s="205"/>
      <c r="V28" s="205"/>
      <c r="W28" s="205"/>
      <c r="X28" s="205"/>
      <c r="Y28" s="202"/>
      <c r="Z28" s="202"/>
      <c r="AA28" s="202"/>
      <c r="AB28" s="202"/>
      <c r="AC28" s="202"/>
    </row>
    <row r="29" spans="1:29" ht="14.25" customHeight="1" x14ac:dyDescent="0.35">
      <c r="A29" s="231"/>
      <c r="B29" s="232"/>
      <c r="C29" s="233" t="s">
        <v>259</v>
      </c>
      <c r="D29" s="231"/>
      <c r="E29" s="231"/>
      <c r="F29" s="231"/>
      <c r="G29" s="232"/>
      <c r="H29" s="232"/>
      <c r="I29" s="220"/>
      <c r="J29" s="205"/>
      <c r="K29" s="205"/>
      <c r="L29" s="205"/>
      <c r="M29" s="205"/>
      <c r="N29" s="205"/>
      <c r="O29" s="205"/>
      <c r="P29" s="205"/>
      <c r="Q29" s="205"/>
      <c r="R29" s="205"/>
      <c r="S29" s="205"/>
      <c r="T29" s="205"/>
      <c r="U29" s="205"/>
      <c r="V29" s="205"/>
      <c r="W29" s="205"/>
      <c r="X29" s="205"/>
      <c r="Y29" s="202"/>
      <c r="Z29" s="202"/>
      <c r="AA29" s="202"/>
      <c r="AB29" s="202"/>
      <c r="AC29" s="202"/>
    </row>
    <row r="30" spans="1:29" ht="14.25" customHeight="1" x14ac:dyDescent="0.35">
      <c r="A30" s="30"/>
      <c r="B30" s="234"/>
      <c r="C30" s="235"/>
      <c r="D30" s="30"/>
      <c r="E30" s="30"/>
      <c r="F30" s="30"/>
      <c r="G30" s="234"/>
      <c r="H30" s="234"/>
      <c r="I30" s="220"/>
      <c r="J30" s="236" t="s">
        <v>260</v>
      </c>
      <c r="K30" s="205"/>
      <c r="L30" s="205"/>
      <c r="M30" s="205"/>
      <c r="N30" s="205"/>
      <c r="O30" s="205"/>
      <c r="P30" s="205"/>
      <c r="Q30" s="205"/>
      <c r="R30" s="205"/>
      <c r="S30" s="205"/>
      <c r="T30" s="205"/>
      <c r="U30" s="205"/>
      <c r="V30" s="205"/>
      <c r="W30" s="205"/>
      <c r="X30" s="205"/>
      <c r="Y30" s="202"/>
      <c r="Z30" s="202"/>
      <c r="AA30" s="202"/>
      <c r="AB30" s="202"/>
      <c r="AC30" s="202"/>
    </row>
    <row r="31" spans="1:29" ht="14.25" customHeight="1" x14ac:dyDescent="0.35">
      <c r="A31" s="30"/>
      <c r="B31" s="234"/>
      <c r="C31" s="235"/>
      <c r="D31" s="30"/>
      <c r="E31" s="30"/>
      <c r="F31" s="30"/>
      <c r="G31" s="234"/>
      <c r="H31" s="234"/>
      <c r="I31" s="220"/>
      <c r="J31" s="210" t="s">
        <v>261</v>
      </c>
      <c r="K31" s="205"/>
      <c r="L31" s="205"/>
      <c r="M31" s="205"/>
      <c r="N31" s="205"/>
      <c r="O31" s="202"/>
      <c r="P31" s="202"/>
      <c r="Q31" s="202"/>
      <c r="R31" s="202"/>
      <c r="S31" s="205"/>
      <c r="T31" s="205"/>
      <c r="U31" s="205"/>
      <c r="V31" s="205"/>
      <c r="W31" s="205"/>
      <c r="X31" s="205"/>
      <c r="Y31" s="202"/>
      <c r="Z31" s="202"/>
      <c r="AA31" s="202"/>
      <c r="AB31" s="202"/>
      <c r="AC31" s="202"/>
    </row>
    <row r="32" spans="1:29" ht="14.25" hidden="1" customHeight="1" x14ac:dyDescent="0.35">
      <c r="A32" s="30"/>
      <c r="B32" s="234"/>
      <c r="C32" s="235"/>
      <c r="D32" s="30"/>
      <c r="E32" s="30"/>
      <c r="F32" s="30"/>
      <c r="G32" s="234"/>
      <c r="H32" s="234"/>
      <c r="I32" s="220"/>
      <c r="J32" s="205"/>
      <c r="K32" s="205"/>
      <c r="L32" s="205"/>
      <c r="M32" s="205"/>
      <c r="N32" s="205"/>
      <c r="O32" s="202"/>
      <c r="P32" s="202"/>
      <c r="Q32" s="202"/>
      <c r="R32" s="202"/>
      <c r="S32" s="205"/>
      <c r="T32" s="205"/>
      <c r="U32" s="205"/>
      <c r="V32" s="205"/>
      <c r="W32" s="205"/>
      <c r="X32" s="205"/>
      <c r="Y32" s="202"/>
      <c r="Z32" s="202"/>
      <c r="AA32" s="202"/>
      <c r="AB32" s="202"/>
      <c r="AC32" s="202"/>
    </row>
    <row r="33" spans="1:29" ht="14.25" hidden="1" customHeight="1" x14ac:dyDescent="0.35">
      <c r="A33" s="30"/>
      <c r="B33" s="234"/>
      <c r="C33" s="235"/>
      <c r="D33" s="30"/>
      <c r="E33" s="30"/>
      <c r="F33" s="30"/>
      <c r="G33" s="234"/>
      <c r="H33" s="234"/>
      <c r="I33" s="220"/>
      <c r="J33" s="237">
        <f>C22/288500000</f>
        <v>0.11438474870017332</v>
      </c>
      <c r="K33" s="205" t="s">
        <v>262</v>
      </c>
      <c r="L33" s="205"/>
      <c r="M33" s="205"/>
      <c r="N33" s="205"/>
      <c r="O33" s="205"/>
      <c r="P33" s="205"/>
      <c r="Q33" s="205"/>
      <c r="R33" s="205"/>
      <c r="S33" s="205"/>
      <c r="T33" s="205"/>
      <c r="U33" s="205"/>
      <c r="V33" s="205"/>
      <c r="W33" s="205"/>
      <c r="X33" s="205"/>
      <c r="Y33" s="202"/>
      <c r="Z33" s="202"/>
      <c r="AA33" s="202"/>
      <c r="AB33" s="202"/>
      <c r="AC33" s="202"/>
    </row>
    <row r="34" spans="1:29" ht="14.25" hidden="1" customHeight="1" x14ac:dyDescent="0.35">
      <c r="A34" s="30"/>
      <c r="B34" s="234"/>
      <c r="C34" s="235"/>
      <c r="D34" s="30"/>
      <c r="E34" s="30"/>
      <c r="F34" s="30"/>
      <c r="G34" s="234"/>
      <c r="H34" s="234"/>
      <c r="I34" s="220"/>
      <c r="J34" s="238">
        <v>0.15</v>
      </c>
      <c r="K34" s="205">
        <v>2035</v>
      </c>
      <c r="L34" s="205"/>
      <c r="M34" s="205"/>
      <c r="N34" s="205"/>
      <c r="O34" s="205"/>
      <c r="P34" s="205"/>
      <c r="Q34" s="205"/>
      <c r="R34" s="205"/>
      <c r="S34" s="205"/>
      <c r="T34" s="205"/>
      <c r="U34" s="205"/>
      <c r="V34" s="205"/>
      <c r="W34" s="205"/>
      <c r="X34" s="205"/>
      <c r="Y34" s="202"/>
      <c r="Z34" s="202"/>
      <c r="AA34" s="202"/>
      <c r="AB34" s="202"/>
      <c r="AC34" s="202"/>
    </row>
    <row r="35" spans="1:29" ht="14.25" hidden="1" customHeight="1" x14ac:dyDescent="0.35">
      <c r="A35" s="30"/>
      <c r="B35" s="234"/>
      <c r="C35" s="235"/>
      <c r="D35" s="30"/>
      <c r="E35" s="30"/>
      <c r="F35" s="30"/>
      <c r="G35" s="234"/>
      <c r="H35" s="234"/>
      <c r="I35" s="220"/>
      <c r="J35" s="238">
        <v>0.5</v>
      </c>
      <c r="K35" s="205">
        <v>2050</v>
      </c>
      <c r="L35" s="205"/>
      <c r="M35" s="205"/>
      <c r="N35" s="205"/>
      <c r="O35" s="205"/>
      <c r="P35" s="205"/>
      <c r="Q35" s="205"/>
      <c r="R35" s="205"/>
      <c r="S35" s="205"/>
      <c r="T35" s="205"/>
      <c r="U35" s="205"/>
      <c r="V35" s="205"/>
      <c r="W35" s="205"/>
      <c r="X35" s="205"/>
      <c r="Y35" s="202"/>
      <c r="Z35" s="202"/>
      <c r="AA35" s="202"/>
      <c r="AB35" s="202"/>
      <c r="AC35" s="202"/>
    </row>
    <row r="36" spans="1:29" ht="14.25" hidden="1" customHeight="1" x14ac:dyDescent="0.35">
      <c r="A36" s="30"/>
      <c r="B36" s="234"/>
      <c r="C36" s="235"/>
      <c r="D36" s="30"/>
      <c r="E36" s="30"/>
      <c r="F36" s="30"/>
      <c r="G36" s="234"/>
      <c r="H36" s="234"/>
      <c r="I36" s="220"/>
      <c r="J36" s="205"/>
      <c r="K36" s="205"/>
      <c r="L36" s="205"/>
      <c r="M36" s="205"/>
      <c r="N36" s="205"/>
      <c r="O36" s="205"/>
      <c r="P36" s="205"/>
      <c r="Q36" s="205"/>
      <c r="R36" s="205"/>
      <c r="S36" s="205"/>
      <c r="T36" s="205"/>
      <c r="U36" s="205"/>
      <c r="V36" s="205"/>
      <c r="W36" s="205"/>
      <c r="X36" s="205"/>
      <c r="Y36" s="202"/>
      <c r="Z36" s="202"/>
      <c r="AA36" s="202"/>
      <c r="AB36" s="202"/>
      <c r="AC36" s="202"/>
    </row>
    <row r="37" spans="1:29" ht="14.25" hidden="1" customHeight="1" x14ac:dyDescent="0.35">
      <c r="A37" s="30"/>
      <c r="B37" s="234"/>
      <c r="C37" s="235"/>
      <c r="D37" s="30"/>
      <c r="E37" s="30"/>
      <c r="F37" s="30"/>
      <c r="G37" s="234"/>
      <c r="H37" s="234"/>
      <c r="I37" s="220"/>
      <c r="J37" s="205" t="s">
        <v>263</v>
      </c>
      <c r="K37" s="205"/>
      <c r="L37" s="205"/>
      <c r="M37" s="205"/>
      <c r="N37" s="205"/>
      <c r="O37" s="205"/>
      <c r="P37" s="205"/>
      <c r="Q37" s="205"/>
      <c r="R37" s="205"/>
      <c r="S37" s="205"/>
      <c r="T37" s="205"/>
      <c r="U37" s="205"/>
      <c r="V37" s="205"/>
      <c r="W37" s="205"/>
      <c r="X37" s="205"/>
      <c r="Y37" s="202"/>
      <c r="Z37" s="202"/>
      <c r="AA37" s="202"/>
      <c r="AB37" s="202"/>
      <c r="AC37" s="202"/>
    </row>
    <row r="38" spans="1:29" ht="14.25" hidden="1" customHeight="1" x14ac:dyDescent="0.35">
      <c r="G38" s="18"/>
      <c r="H38" s="18"/>
    </row>
    <row r="39" spans="1:29" ht="14.25" hidden="1" customHeight="1" x14ac:dyDescent="0.35"/>
    <row r="40" spans="1:29" ht="14.25" hidden="1" customHeight="1" x14ac:dyDescent="0.35"/>
    <row r="41" spans="1:29" ht="14.25" hidden="1" customHeight="1" x14ac:dyDescent="0.35"/>
    <row r="42" spans="1:29" ht="14.25" hidden="1" customHeight="1" x14ac:dyDescent="0.35"/>
    <row r="43" spans="1:29" ht="14.25" hidden="1" customHeight="1" x14ac:dyDescent="0.35"/>
    <row r="44" spans="1:29" ht="14.25" hidden="1" customHeight="1" x14ac:dyDescent="0.35"/>
    <row r="45" spans="1:29" ht="14.25" hidden="1" customHeight="1" x14ac:dyDescent="0.35"/>
    <row r="46" spans="1:29" ht="14.25" hidden="1" customHeight="1" x14ac:dyDescent="0.35"/>
    <row r="47" spans="1:29" ht="14.25" hidden="1" customHeight="1" x14ac:dyDescent="0.35"/>
    <row r="48" spans="1:29" ht="14.25" hidden="1" customHeight="1" x14ac:dyDescent="0.35"/>
    <row r="49" spans="1:12" ht="14.25" customHeight="1" x14ac:dyDescent="0.35"/>
    <row r="50" spans="1:12" ht="14.25" customHeight="1" x14ac:dyDescent="0.35">
      <c r="A50" s="23" t="s">
        <v>264</v>
      </c>
      <c r="B50" s="24"/>
      <c r="C50" s="24"/>
      <c r="D50" s="24"/>
      <c r="E50" s="24"/>
      <c r="F50" s="24"/>
      <c r="G50" s="24"/>
      <c r="H50" s="18"/>
      <c r="I50" s="18"/>
      <c r="J50" s="18"/>
      <c r="K50" s="18"/>
    </row>
    <row r="51" spans="1:12" ht="14.25" customHeight="1" x14ac:dyDescent="0.35">
      <c r="A51" s="153">
        <v>36</v>
      </c>
      <c r="B51" s="239" t="s">
        <v>265</v>
      </c>
      <c r="C51" s="239" t="s">
        <v>266</v>
      </c>
      <c r="D51" s="239"/>
      <c r="E51" s="240" t="s">
        <v>267</v>
      </c>
      <c r="F51" s="239"/>
      <c r="G51" s="117"/>
    </row>
    <row r="52" spans="1:12" ht="14.25" customHeight="1" x14ac:dyDescent="0.35">
      <c r="A52" s="241">
        <f>A51/100</f>
        <v>0.36</v>
      </c>
      <c r="B52" s="241" t="s">
        <v>268</v>
      </c>
      <c r="C52" s="18"/>
      <c r="D52" s="18"/>
      <c r="E52" s="18"/>
      <c r="F52" s="18"/>
      <c r="G52" s="39"/>
    </row>
    <row r="53" spans="1:12" ht="14.25" customHeight="1" x14ac:dyDescent="0.35">
      <c r="A53" s="74"/>
      <c r="B53" s="75"/>
      <c r="C53" s="75"/>
      <c r="D53" s="75"/>
      <c r="E53" s="75"/>
      <c r="F53" s="75"/>
      <c r="G53" s="76"/>
    </row>
    <row r="54" spans="1:12" ht="14.25" customHeight="1" x14ac:dyDescent="0.35"/>
    <row r="55" spans="1:12" ht="14.25" customHeight="1" x14ac:dyDescent="0.35"/>
    <row r="56" spans="1:12" ht="14.25" customHeight="1" x14ac:dyDescent="0.35"/>
    <row r="57" spans="1:12" ht="14.25" customHeight="1" x14ac:dyDescent="0.35"/>
    <row r="58" spans="1:12" ht="14.25" customHeight="1" x14ac:dyDescent="0.35"/>
    <row r="59" spans="1:12" ht="14.25" customHeight="1" x14ac:dyDescent="0.35"/>
    <row r="60" spans="1:12" ht="14.25" customHeight="1" x14ac:dyDescent="0.35">
      <c r="A60" s="242" t="s">
        <v>269</v>
      </c>
      <c r="B60" s="242">
        <v>2022</v>
      </c>
      <c r="C60" s="242"/>
      <c r="D60" s="242"/>
      <c r="E60" s="242"/>
      <c r="F60" s="242"/>
      <c r="G60" s="242"/>
      <c r="H60" s="554" t="s">
        <v>270</v>
      </c>
      <c r="I60" s="533"/>
      <c r="J60" s="533"/>
      <c r="K60" s="535"/>
    </row>
    <row r="61" spans="1:12" ht="14.25" customHeight="1" x14ac:dyDescent="0.35">
      <c r="A61" s="243"/>
      <c r="B61" s="244" t="s">
        <v>244</v>
      </c>
      <c r="C61" s="245" t="s">
        <v>245</v>
      </c>
      <c r="D61" s="245" t="s">
        <v>246</v>
      </c>
      <c r="E61" s="245" t="s">
        <v>271</v>
      </c>
      <c r="F61" s="245" t="s">
        <v>248</v>
      </c>
      <c r="G61" s="246" t="s">
        <v>272</v>
      </c>
      <c r="H61" s="100" t="s">
        <v>273</v>
      </c>
      <c r="I61" s="104" t="s">
        <v>274</v>
      </c>
      <c r="J61" s="247" t="s">
        <v>275</v>
      </c>
      <c r="K61" s="104" t="s">
        <v>276</v>
      </c>
      <c r="L61" s="99" t="s">
        <v>277</v>
      </c>
    </row>
    <row r="62" spans="1:12" ht="14.25" customHeight="1" x14ac:dyDescent="0.35">
      <c r="A62" s="38">
        <v>2022</v>
      </c>
      <c r="B62" s="12">
        <v>116994</v>
      </c>
      <c r="C62" s="12">
        <v>2130000</v>
      </c>
      <c r="D62" s="12">
        <v>2477.8000000000002</v>
      </c>
      <c r="E62" s="12">
        <v>289887733.20000005</v>
      </c>
      <c r="F62" s="12">
        <v>136.09752732394369</v>
      </c>
      <c r="G62" s="124">
        <v>18.206061849325607</v>
      </c>
      <c r="H62" s="248">
        <f t="shared" ref="H62:H74" si="12">D62/$B$77</f>
        <v>6882.7777777777783</v>
      </c>
      <c r="I62" s="249">
        <f t="shared" ref="I62:I74" si="13">(H62*$E$77)*0.9</f>
        <v>1472.33948472</v>
      </c>
      <c r="J62" s="250">
        <f t="shared" ref="J62:J74" si="14">(H62*$E$77)*0.1</f>
        <v>163.59327608000001</v>
      </c>
      <c r="K62" s="249">
        <f t="shared" ref="K62:K74" si="15">H62*$G$79</f>
        <v>6226.2070934466092</v>
      </c>
      <c r="L62" s="251">
        <f t="shared" ref="L62:L74" si="16">K62-(I62+J62)</f>
        <v>4590.2743326466098</v>
      </c>
    </row>
    <row r="63" spans="1:12" ht="14.25" customHeight="1" x14ac:dyDescent="0.35">
      <c r="A63" s="38">
        <v>2023</v>
      </c>
      <c r="B63" s="12">
        <v>140295.15</v>
      </c>
      <c r="C63" s="12">
        <v>2875500</v>
      </c>
      <c r="D63" s="12">
        <v>2775.1360000000004</v>
      </c>
      <c r="E63" s="12">
        <v>389338121.39040005</v>
      </c>
      <c r="F63" s="12">
        <v>135.39840771705792</v>
      </c>
      <c r="G63" s="124">
        <v>20.496075594915435</v>
      </c>
      <c r="H63" s="252">
        <f t="shared" si="12"/>
        <v>7708.7111111111126</v>
      </c>
      <c r="I63" s="11">
        <f t="shared" si="13"/>
        <v>1649.0202228864002</v>
      </c>
      <c r="J63" s="250">
        <f t="shared" si="14"/>
        <v>183.22446920960002</v>
      </c>
      <c r="K63" s="249">
        <f t="shared" si="15"/>
        <v>6973.3519446602022</v>
      </c>
      <c r="L63" s="10">
        <f t="shared" si="16"/>
        <v>5141.1072525642021</v>
      </c>
    </row>
    <row r="64" spans="1:12" ht="14.25" customHeight="1" x14ac:dyDescent="0.35">
      <c r="A64" s="253">
        <v>2025</v>
      </c>
      <c r="B64" s="254">
        <v>336708.36</v>
      </c>
      <c r="C64" s="254">
        <v>7763850.0000000009</v>
      </c>
      <c r="D64" s="254">
        <v>3330.1632000000004</v>
      </c>
      <c r="E64" s="254">
        <v>1121293789.604352</v>
      </c>
      <c r="F64" s="254">
        <v>144.42496823152842</v>
      </c>
      <c r="G64" s="255">
        <v>23.058085044279867</v>
      </c>
      <c r="H64" s="256">
        <f t="shared" si="12"/>
        <v>9250.4533333333347</v>
      </c>
      <c r="I64" s="257">
        <f t="shared" si="13"/>
        <v>1978.8242674636799</v>
      </c>
      <c r="J64" s="258">
        <f t="shared" si="14"/>
        <v>219.86936305152</v>
      </c>
      <c r="K64" s="259">
        <f t="shared" si="15"/>
        <v>8368.0223335922419</v>
      </c>
      <c r="L64" s="260">
        <f t="shared" si="16"/>
        <v>6169.3287030770425</v>
      </c>
    </row>
    <row r="65" spans="1:29" ht="14.25" customHeight="1" x14ac:dyDescent="0.35">
      <c r="A65" s="253">
        <v>2026</v>
      </c>
      <c r="B65" s="254">
        <v>420885.44999999995</v>
      </c>
      <c r="C65" s="254">
        <v>10481197.500000002</v>
      </c>
      <c r="D65" s="254">
        <v>3663.1795200000006</v>
      </c>
      <c r="E65" s="254">
        <v>1541778960.7059841</v>
      </c>
      <c r="F65" s="254">
        <v>147.09950468026042</v>
      </c>
      <c r="G65" s="255">
        <v>24.90273184782226</v>
      </c>
      <c r="H65" s="256">
        <f t="shared" si="12"/>
        <v>10175.498666666668</v>
      </c>
      <c r="I65" s="257">
        <f t="shared" si="13"/>
        <v>2176.7066942100482</v>
      </c>
      <c r="J65" s="258">
        <f t="shared" si="14"/>
        <v>241.85629935667203</v>
      </c>
      <c r="K65" s="259">
        <f t="shared" si="15"/>
        <v>9204.8245669514672</v>
      </c>
      <c r="L65" s="260">
        <f t="shared" si="16"/>
        <v>6786.261573384747</v>
      </c>
    </row>
    <row r="66" spans="1:29" ht="14.25" customHeight="1" x14ac:dyDescent="0.35">
      <c r="A66" s="253">
        <v>2027</v>
      </c>
      <c r="B66" s="254">
        <v>526106.8125</v>
      </c>
      <c r="C66" s="254">
        <v>14149616.625000004</v>
      </c>
      <c r="D66" s="254">
        <v>4066.1292672000009</v>
      </c>
      <c r="E66" s="254">
        <v>2139218307.9795532</v>
      </c>
      <c r="F66" s="254">
        <v>151.1856020324899</v>
      </c>
      <c r="G66" s="255">
        <v>26.894950395648038</v>
      </c>
      <c r="H66" s="256">
        <f t="shared" si="12"/>
        <v>11294.803520000003</v>
      </c>
      <c r="I66" s="257">
        <f t="shared" si="13"/>
        <v>2416.1444305731538</v>
      </c>
      <c r="J66" s="258">
        <f t="shared" si="14"/>
        <v>268.46049228590596</v>
      </c>
      <c r="K66" s="259">
        <f t="shared" si="15"/>
        <v>10217.355269316129</v>
      </c>
      <c r="L66" s="260">
        <f t="shared" si="16"/>
        <v>7532.7503464570691</v>
      </c>
    </row>
    <row r="67" spans="1:29" ht="14.25" customHeight="1" x14ac:dyDescent="0.35">
      <c r="A67" s="253">
        <v>2028</v>
      </c>
      <c r="B67" s="254">
        <v>657633.515625</v>
      </c>
      <c r="C67" s="254">
        <v>19101982.443750005</v>
      </c>
      <c r="D67" s="254">
        <v>4554.0647792640011</v>
      </c>
      <c r="E67" s="254">
        <v>2994905631.1713748</v>
      </c>
      <c r="F67" s="254">
        <v>156.78506877443397</v>
      </c>
      <c r="G67" s="255">
        <v>29.046546427299884</v>
      </c>
      <c r="H67" s="256">
        <f t="shared" si="12"/>
        <v>12650.179942400004</v>
      </c>
      <c r="I67" s="257">
        <f t="shared" si="13"/>
        <v>2706.0817622419322</v>
      </c>
      <c r="J67" s="258">
        <f t="shared" si="14"/>
        <v>300.67575136021469</v>
      </c>
      <c r="K67" s="259">
        <f t="shared" si="15"/>
        <v>11443.437901634066</v>
      </c>
      <c r="L67" s="260">
        <f t="shared" si="16"/>
        <v>8436.6803880319203</v>
      </c>
      <c r="O67" s="70">
        <f>383.7-260</f>
        <v>123.69999999999999</v>
      </c>
    </row>
    <row r="68" spans="1:29" ht="14.25" customHeight="1" x14ac:dyDescent="0.35">
      <c r="A68" s="253">
        <v>2029</v>
      </c>
      <c r="B68" s="254">
        <v>822041.89453125</v>
      </c>
      <c r="C68" s="254">
        <v>25787676.299062509</v>
      </c>
      <c r="D68" s="254">
        <v>5100.5525527756818</v>
      </c>
      <c r="E68" s="254">
        <v>4192867883.639925</v>
      </c>
      <c r="F68" s="254">
        <v>162.59192317348709</v>
      </c>
      <c r="G68" s="255">
        <v>31.370270141483875</v>
      </c>
      <c r="H68" s="256">
        <f t="shared" si="12"/>
        <v>14168.201535488006</v>
      </c>
      <c r="I68" s="257">
        <f t="shared" si="13"/>
        <v>3030.8115737109642</v>
      </c>
      <c r="J68" s="258">
        <f t="shared" si="14"/>
        <v>336.75684152344047</v>
      </c>
      <c r="K68" s="259">
        <f t="shared" si="15"/>
        <v>12816.650449830155</v>
      </c>
      <c r="L68" s="260">
        <f t="shared" si="16"/>
        <v>9449.0820345957509</v>
      </c>
      <c r="O68" s="70">
        <f>O67/383.7</f>
        <v>0.32238728173051862</v>
      </c>
    </row>
    <row r="69" spans="1:29" ht="14.25" customHeight="1" x14ac:dyDescent="0.35">
      <c r="A69" s="253">
        <v>2030</v>
      </c>
      <c r="B69" s="254">
        <v>1000000</v>
      </c>
      <c r="C69" s="254">
        <v>33000000</v>
      </c>
      <c r="D69" s="254">
        <v>5610.6078080532507</v>
      </c>
      <c r="E69" s="254">
        <v>5610607808.0532503</v>
      </c>
      <c r="F69" s="254">
        <v>170.01841842585608</v>
      </c>
      <c r="G69" s="255">
        <v>33</v>
      </c>
      <c r="H69" s="256">
        <f t="shared" si="12"/>
        <v>15585.021689036808</v>
      </c>
      <c r="I69" s="257">
        <f t="shared" si="13"/>
        <v>3333.8927310820613</v>
      </c>
      <c r="J69" s="258">
        <f t="shared" si="14"/>
        <v>370.43252567578458</v>
      </c>
      <c r="K69" s="259">
        <f t="shared" si="15"/>
        <v>14098.315494813172</v>
      </c>
      <c r="L69" s="260">
        <f t="shared" si="16"/>
        <v>10393.990238055327</v>
      </c>
      <c r="M69" s="261">
        <f>SUM(L64:L69)</f>
        <v>48768.093283601855</v>
      </c>
    </row>
    <row r="70" spans="1:29" ht="14.25" customHeight="1" x14ac:dyDescent="0.35">
      <c r="A70" s="38">
        <v>2031</v>
      </c>
      <c r="B70" s="12"/>
      <c r="C70" s="12"/>
      <c r="D70" s="12">
        <v>5891.1381984559139</v>
      </c>
      <c r="E70" s="12"/>
      <c r="F70" s="12"/>
      <c r="G70" s="124"/>
      <c r="H70" s="252">
        <f t="shared" si="12"/>
        <v>16364.27277348865</v>
      </c>
      <c r="I70" s="11">
        <f t="shared" si="13"/>
        <v>3500.5873676361648</v>
      </c>
      <c r="J70" s="250">
        <f t="shared" si="14"/>
        <v>388.95415195957389</v>
      </c>
      <c r="K70" s="249">
        <f t="shared" si="15"/>
        <v>14803.231269553831</v>
      </c>
      <c r="L70" s="10">
        <f t="shared" si="16"/>
        <v>10913.689749958092</v>
      </c>
      <c r="M70" s="91"/>
      <c r="P70" s="70">
        <f>D69/D64</f>
        <v>1.6847846400000006</v>
      </c>
    </row>
    <row r="71" spans="1:29" ht="14.25" customHeight="1" x14ac:dyDescent="0.35">
      <c r="A71" s="38">
        <v>2032</v>
      </c>
      <c r="B71" s="12"/>
      <c r="C71" s="12"/>
      <c r="D71" s="12">
        <v>6185.6951083787098</v>
      </c>
      <c r="E71" s="12"/>
      <c r="F71" s="12"/>
      <c r="G71" s="124"/>
      <c r="H71" s="252">
        <f t="shared" si="12"/>
        <v>17182.486412163085</v>
      </c>
      <c r="I71" s="11">
        <f t="shared" si="13"/>
        <v>3675.6167360179734</v>
      </c>
      <c r="J71" s="250">
        <f t="shared" si="14"/>
        <v>408.4018595575526</v>
      </c>
      <c r="K71" s="249">
        <f t="shared" si="15"/>
        <v>15543.392833031527</v>
      </c>
      <c r="L71" s="10">
        <f t="shared" si="16"/>
        <v>11459.374237456001</v>
      </c>
      <c r="M71" s="91"/>
    </row>
    <row r="72" spans="1:29" ht="14.25" customHeight="1" x14ac:dyDescent="0.35">
      <c r="A72" s="38">
        <v>2033</v>
      </c>
      <c r="B72" s="12"/>
      <c r="C72" s="12"/>
      <c r="D72" s="12">
        <v>6494.9798637976455</v>
      </c>
      <c r="E72" s="12"/>
      <c r="F72" s="12"/>
      <c r="G72" s="124"/>
      <c r="H72" s="252">
        <f t="shared" si="12"/>
        <v>18041.610732771238</v>
      </c>
      <c r="I72" s="11">
        <f t="shared" si="13"/>
        <v>3859.397572818872</v>
      </c>
      <c r="J72" s="250">
        <f t="shared" si="14"/>
        <v>428.82195253543023</v>
      </c>
      <c r="K72" s="249">
        <f t="shared" si="15"/>
        <v>16320.5624746831</v>
      </c>
      <c r="L72" s="10">
        <f t="shared" si="16"/>
        <v>12032.342949328799</v>
      </c>
      <c r="M72" s="91"/>
    </row>
    <row r="73" spans="1:29" ht="14.25" customHeight="1" x14ac:dyDescent="0.35">
      <c r="A73" s="38">
        <v>2034</v>
      </c>
      <c r="B73" s="12"/>
      <c r="C73" s="12"/>
      <c r="D73" s="12">
        <v>6819.7288569875282</v>
      </c>
      <c r="E73" s="12"/>
      <c r="F73" s="12"/>
      <c r="G73" s="124"/>
      <c r="H73" s="262">
        <f t="shared" si="12"/>
        <v>18943.691269409803</v>
      </c>
      <c r="I73" s="263">
        <f t="shared" si="13"/>
        <v>4052.367451459816</v>
      </c>
      <c r="J73" s="250">
        <f t="shared" si="14"/>
        <v>450.26305016220181</v>
      </c>
      <c r="K73" s="249">
        <f t="shared" si="15"/>
        <v>17136.590598417257</v>
      </c>
      <c r="L73" s="264">
        <f t="shared" si="16"/>
        <v>12633.960096795239</v>
      </c>
      <c r="M73" s="91"/>
    </row>
    <row r="74" spans="1:29" ht="14.25" customHeight="1" x14ac:dyDescent="0.35">
      <c r="A74" s="265">
        <v>2035</v>
      </c>
      <c r="B74" s="266"/>
      <c r="C74" s="266"/>
      <c r="D74" s="227">
        <f>D73*$O$17</f>
        <v>7160.7152998369047</v>
      </c>
      <c r="E74" s="266"/>
      <c r="F74" s="266"/>
      <c r="G74" s="267"/>
      <c r="H74" s="268">
        <f t="shared" si="12"/>
        <v>19890.875832880291</v>
      </c>
      <c r="I74" s="269">
        <f t="shared" si="13"/>
        <v>4254.9858240328067</v>
      </c>
      <c r="J74" s="270">
        <f t="shared" si="14"/>
        <v>472.77620267031182</v>
      </c>
      <c r="K74" s="271">
        <f t="shared" si="15"/>
        <v>17993.420128338119</v>
      </c>
      <c r="L74" s="272">
        <f t="shared" si="16"/>
        <v>13265.658101634999</v>
      </c>
      <c r="M74" s="261">
        <f>SUM(L64:L74)</f>
        <v>109073.11841877497</v>
      </c>
    </row>
    <row r="75" spans="1:29" ht="14.25" customHeight="1" x14ac:dyDescent="0.35">
      <c r="A75" s="70" t="s">
        <v>278</v>
      </c>
      <c r="D75" s="78" t="s">
        <v>279</v>
      </c>
      <c r="J75" s="70" t="s">
        <v>280</v>
      </c>
    </row>
    <row r="76" spans="1:29" ht="14.25" customHeight="1" x14ac:dyDescent="0.35">
      <c r="B76" s="48" t="s">
        <v>281</v>
      </c>
      <c r="C76" s="48" t="s">
        <v>282</v>
      </c>
      <c r="D76" s="91" t="s">
        <v>283</v>
      </c>
      <c r="E76" s="48" t="s">
        <v>284</v>
      </c>
      <c r="F76" s="273" t="s">
        <v>285</v>
      </c>
      <c r="G76" s="273" t="s">
        <v>286</v>
      </c>
    </row>
    <row r="77" spans="1:29" ht="14.25" customHeight="1" x14ac:dyDescent="0.35">
      <c r="A77" s="70" t="s">
        <v>287</v>
      </c>
      <c r="B77" s="22">
        <f>A52</f>
        <v>0.36</v>
      </c>
      <c r="C77" s="22">
        <v>0</v>
      </c>
      <c r="D77" s="274">
        <f>'Electricity Conversions'!B20</f>
        <v>0.66023599999999993</v>
      </c>
      <c r="E77" s="275">
        <f>D77*B77</f>
        <v>0.23768495999999997</v>
      </c>
      <c r="F77" s="12">
        <f>O92*S92</f>
        <v>19.592457939999999</v>
      </c>
      <c r="G77" s="274">
        <f>(O93*S92)*1.03</f>
        <v>0.9332817846</v>
      </c>
      <c r="J77" s="276" t="s">
        <v>288</v>
      </c>
    </row>
    <row r="78" spans="1:29" ht="14.25" customHeight="1" x14ac:dyDescent="0.35">
      <c r="A78" s="70" t="s">
        <v>289</v>
      </c>
      <c r="B78" s="22">
        <f>B77*0.45</f>
        <v>0.16200000000000001</v>
      </c>
      <c r="C78" s="277">
        <f>C79*0.55</f>
        <v>2.4774774774774778E-2</v>
      </c>
      <c r="E78" s="278">
        <f>D77*B78</f>
        <v>0.10695823199999999</v>
      </c>
      <c r="G78" s="279">
        <f>(C78*F77)*1.03</f>
        <v>0.49996069473018023</v>
      </c>
      <c r="H78" s="280">
        <f>E78+G78</f>
        <v>0.60691892673018022</v>
      </c>
      <c r="J78" s="281">
        <f>1/0.35</f>
        <v>2.8571428571428572</v>
      </c>
    </row>
    <row r="79" spans="1:29" ht="14.25" customHeight="1" x14ac:dyDescent="0.35">
      <c r="A79" s="70" t="s">
        <v>290</v>
      </c>
      <c r="B79" s="22">
        <v>0</v>
      </c>
      <c r="C79" s="277">
        <f>1/22.2</f>
        <v>4.504504504504505E-2</v>
      </c>
      <c r="D79" s="70">
        <v>0</v>
      </c>
      <c r="G79" s="282">
        <f>S95</f>
        <v>0.90460672921171159</v>
      </c>
    </row>
    <row r="80" spans="1:29" ht="14.25" customHeight="1" x14ac:dyDescent="0.35">
      <c r="A80" s="18"/>
      <c r="B80" s="22"/>
      <c r="C80" s="277"/>
      <c r="D80" s="18"/>
      <c r="E80" s="18"/>
      <c r="F80" s="18"/>
      <c r="G80" s="274"/>
      <c r="H80" s="18"/>
      <c r="I80" s="18"/>
      <c r="J80" s="18"/>
      <c r="K80" s="18"/>
      <c r="L80" s="18"/>
      <c r="M80" s="18"/>
      <c r="N80" s="18"/>
      <c r="O80" s="18"/>
      <c r="P80" s="18"/>
      <c r="Q80" s="18"/>
      <c r="R80" s="18"/>
      <c r="S80" s="18"/>
      <c r="T80" s="18"/>
      <c r="U80" s="18"/>
      <c r="V80" s="18"/>
      <c r="W80" s="18"/>
      <c r="X80" s="18"/>
      <c r="Y80" s="18"/>
      <c r="Z80" s="18"/>
      <c r="AA80" s="18"/>
      <c r="AB80" s="18"/>
      <c r="AC80" s="18"/>
    </row>
    <row r="81" spans="1:29" ht="14.25" customHeight="1" x14ac:dyDescent="0.35">
      <c r="A81" s="18"/>
      <c r="B81" s="22"/>
      <c r="C81" s="277"/>
      <c r="D81" s="18"/>
      <c r="E81" s="18"/>
      <c r="F81" s="18"/>
      <c r="G81" s="283" t="s">
        <v>291</v>
      </c>
      <c r="H81" s="284">
        <f>G79-E77</f>
        <v>0.66692176921171165</v>
      </c>
      <c r="I81" s="18"/>
      <c r="J81" s="18"/>
      <c r="K81" s="18"/>
      <c r="L81" s="18"/>
      <c r="M81" s="18"/>
      <c r="N81" s="18"/>
      <c r="O81" s="18"/>
      <c r="P81" s="18"/>
      <c r="Q81" s="18"/>
      <c r="R81" s="18"/>
      <c r="S81" s="18"/>
      <c r="T81" s="18"/>
      <c r="U81" s="18"/>
      <c r="V81" s="18"/>
      <c r="W81" s="18"/>
      <c r="X81" s="18"/>
      <c r="Y81" s="18"/>
      <c r="Z81" s="18"/>
      <c r="AA81" s="18"/>
      <c r="AB81" s="18"/>
      <c r="AC81" s="18"/>
    </row>
    <row r="82" spans="1:29" ht="14.25" customHeight="1" x14ac:dyDescent="0.35">
      <c r="A82" s="18"/>
      <c r="B82" s="22"/>
      <c r="C82" s="277"/>
      <c r="D82" s="18"/>
      <c r="E82" s="18"/>
      <c r="F82" s="18"/>
      <c r="G82" s="274"/>
      <c r="H82" s="18"/>
      <c r="I82" s="18"/>
      <c r="J82" s="18"/>
      <c r="K82" s="18"/>
      <c r="L82" s="18"/>
      <c r="M82" s="18"/>
      <c r="N82" s="18"/>
      <c r="O82" s="18"/>
      <c r="P82" s="18"/>
      <c r="Q82" s="18"/>
      <c r="R82" s="18"/>
      <c r="S82" s="18"/>
      <c r="T82" s="18"/>
      <c r="U82" s="18"/>
      <c r="V82" s="18"/>
      <c r="W82" s="18"/>
      <c r="X82" s="18"/>
      <c r="Y82" s="18"/>
      <c r="Z82" s="18"/>
      <c r="AA82" s="18"/>
      <c r="AB82" s="18"/>
      <c r="AC82" s="18"/>
    </row>
    <row r="83" spans="1:29" ht="14.25" customHeight="1" x14ac:dyDescent="0.35">
      <c r="A83" s="18"/>
      <c r="B83" s="22"/>
      <c r="C83" s="277"/>
      <c r="D83" s="18"/>
      <c r="E83" s="18"/>
      <c r="F83" s="18"/>
      <c r="G83" s="274"/>
      <c r="H83" s="18"/>
      <c r="I83" s="18"/>
      <c r="J83" s="18"/>
      <c r="K83" s="18"/>
      <c r="L83" s="18"/>
      <c r="M83" s="18"/>
      <c r="N83" s="18"/>
      <c r="O83" s="18"/>
      <c r="P83" s="18"/>
      <c r="Q83" s="18"/>
      <c r="R83" s="18"/>
      <c r="S83" s="18"/>
      <c r="T83" s="18"/>
      <c r="U83" s="18"/>
      <c r="V83" s="18"/>
      <c r="W83" s="18"/>
      <c r="X83" s="18"/>
      <c r="Y83" s="18"/>
      <c r="Z83" s="18"/>
      <c r="AA83" s="18"/>
      <c r="AB83" s="18"/>
      <c r="AC83" s="18"/>
    </row>
    <row r="84" spans="1:29" ht="14.25" customHeight="1" x14ac:dyDescent="0.35">
      <c r="B84" s="22"/>
      <c r="C84" s="22"/>
      <c r="M84" s="18" t="s">
        <v>292</v>
      </c>
    </row>
    <row r="85" spans="1:29" ht="14.25" customHeight="1" x14ac:dyDescent="0.35">
      <c r="B85" s="22"/>
      <c r="C85" s="22"/>
    </row>
    <row r="86" spans="1:29" ht="14.25" customHeight="1" x14ac:dyDescent="0.35">
      <c r="A86" s="18"/>
      <c r="B86" s="18"/>
      <c r="C86" s="18"/>
      <c r="D86" s="18"/>
      <c r="E86" s="18"/>
      <c r="F86" s="18"/>
      <c r="G86" s="18"/>
      <c r="H86" s="18"/>
      <c r="I86" s="18"/>
      <c r="J86" s="18"/>
      <c r="K86" s="18"/>
      <c r="L86" s="18"/>
      <c r="M86" s="153"/>
      <c r="N86" s="239"/>
      <c r="O86" s="239"/>
      <c r="P86" s="239"/>
      <c r="Q86" s="239"/>
      <c r="R86" s="239"/>
      <c r="S86" s="239"/>
      <c r="T86" s="239"/>
      <c r="U86" s="239"/>
      <c r="V86" s="239"/>
      <c r="W86" s="239"/>
      <c r="X86" s="117"/>
      <c r="Y86" s="18"/>
      <c r="Z86" s="18"/>
      <c r="AA86" s="18"/>
      <c r="AB86" s="18"/>
      <c r="AC86" s="18"/>
    </row>
    <row r="87" spans="1:29" ht="14.25" customHeight="1" x14ac:dyDescent="0.35">
      <c r="A87" s="285" t="s">
        <v>293</v>
      </c>
      <c r="B87" s="286"/>
      <c r="C87" s="286"/>
      <c r="D87" s="287"/>
      <c r="E87" s="287"/>
      <c r="F87" s="287"/>
      <c r="G87" s="287"/>
      <c r="H87" s="287"/>
      <c r="I87" s="18"/>
      <c r="J87" s="18"/>
      <c r="K87" s="18"/>
      <c r="L87" s="18"/>
      <c r="M87" s="38" t="s">
        <v>294</v>
      </c>
      <c r="N87" s="18"/>
      <c r="O87" s="18"/>
      <c r="P87" s="18"/>
      <c r="Q87" s="18" t="s">
        <v>295</v>
      </c>
      <c r="R87" s="18"/>
      <c r="S87" s="18"/>
      <c r="T87" s="78" t="s">
        <v>296</v>
      </c>
      <c r="U87" s="18"/>
      <c r="V87" s="18"/>
      <c r="W87" s="18"/>
      <c r="X87" s="39"/>
      <c r="Y87" s="18"/>
      <c r="Z87" s="18"/>
      <c r="AA87" s="18"/>
      <c r="AB87" s="18"/>
      <c r="AC87" s="18"/>
    </row>
    <row r="88" spans="1:29" ht="14.25" customHeight="1" x14ac:dyDescent="0.35">
      <c r="A88" s="66" t="s">
        <v>297</v>
      </c>
      <c r="B88" s="288" t="s">
        <v>298</v>
      </c>
      <c r="C88" s="102" t="s">
        <v>299</v>
      </c>
      <c r="D88" s="18"/>
      <c r="E88" s="18"/>
      <c r="F88" s="18"/>
      <c r="G88" s="18"/>
      <c r="H88" s="18"/>
      <c r="I88" s="18"/>
      <c r="J88" s="18"/>
      <c r="K88" s="18"/>
      <c r="L88" s="18"/>
      <c r="M88" s="38"/>
      <c r="N88" s="18"/>
      <c r="O88" s="18"/>
      <c r="P88" s="18"/>
      <c r="Q88" s="18"/>
      <c r="R88" s="18"/>
      <c r="S88" s="18"/>
      <c r="T88" s="18"/>
      <c r="U88" s="18"/>
      <c r="V88" s="18"/>
      <c r="W88" s="18"/>
      <c r="X88" s="39"/>
      <c r="Y88" s="18"/>
      <c r="Z88" s="18"/>
      <c r="AA88" s="18"/>
      <c r="AB88" s="18"/>
      <c r="AC88" s="18"/>
    </row>
    <row r="89" spans="1:29" ht="14.25" customHeight="1" x14ac:dyDescent="0.35">
      <c r="A89" s="289" t="s">
        <v>300</v>
      </c>
      <c r="B89" s="290">
        <v>4</v>
      </c>
      <c r="C89" s="291">
        <v>7</v>
      </c>
      <c r="D89" s="18"/>
      <c r="E89" s="18"/>
      <c r="F89" s="18"/>
      <c r="G89" s="18"/>
      <c r="H89" s="18"/>
      <c r="I89" s="18"/>
      <c r="J89" s="18"/>
      <c r="K89" s="18"/>
      <c r="L89" s="18"/>
      <c r="M89" s="38" t="s">
        <v>301</v>
      </c>
      <c r="N89" s="18"/>
      <c r="O89" s="18"/>
      <c r="P89" s="18"/>
      <c r="Q89" s="78" t="s">
        <v>302</v>
      </c>
      <c r="R89" s="18"/>
      <c r="S89" s="18"/>
      <c r="T89" s="18"/>
      <c r="U89" s="18"/>
      <c r="V89" s="18"/>
      <c r="W89" s="18"/>
      <c r="X89" s="39"/>
      <c r="Y89" s="18"/>
      <c r="Z89" s="18"/>
      <c r="AA89" s="18"/>
      <c r="AB89" s="18"/>
      <c r="AC89" s="18"/>
    </row>
    <row r="90" spans="1:29" ht="14.25" customHeight="1" x14ac:dyDescent="0.35">
      <c r="A90" s="292" t="s">
        <v>303</v>
      </c>
      <c r="B90" s="51">
        <v>4</v>
      </c>
      <c r="C90" s="62">
        <v>0</v>
      </c>
      <c r="D90" s="18"/>
      <c r="E90" s="18"/>
      <c r="F90" s="18"/>
      <c r="G90" s="18"/>
      <c r="H90" s="18"/>
      <c r="I90" s="18"/>
      <c r="J90" s="18"/>
      <c r="K90" s="18"/>
      <c r="L90" s="18"/>
      <c r="M90" s="38"/>
      <c r="N90" s="18"/>
      <c r="O90" s="18"/>
      <c r="P90" s="18"/>
      <c r="Q90" s="18"/>
      <c r="R90" s="18"/>
      <c r="S90" s="18"/>
      <c r="T90" s="18"/>
      <c r="U90" s="18"/>
      <c r="V90" s="18"/>
      <c r="W90" s="18"/>
      <c r="X90" s="39"/>
      <c r="Y90" s="18"/>
      <c r="Z90" s="18"/>
      <c r="AA90" s="18"/>
      <c r="AB90" s="18"/>
      <c r="AC90" s="18"/>
    </row>
    <row r="91" spans="1:29" ht="14.25" customHeight="1" x14ac:dyDescent="0.35">
      <c r="A91" s="91"/>
      <c r="B91" s="22"/>
      <c r="C91" s="22"/>
      <c r="D91" s="18"/>
      <c r="E91" s="18"/>
      <c r="F91" s="18"/>
      <c r="G91" s="18"/>
      <c r="H91" s="18"/>
      <c r="I91" s="18"/>
      <c r="J91" s="18"/>
      <c r="K91" s="18"/>
      <c r="L91" s="18"/>
      <c r="M91" s="38"/>
      <c r="N91" s="18"/>
      <c r="O91" s="18"/>
      <c r="P91" s="18"/>
      <c r="Q91" s="18"/>
      <c r="R91" s="18"/>
      <c r="S91" s="18"/>
      <c r="T91" s="18"/>
      <c r="U91" s="18"/>
      <c r="V91" s="18"/>
      <c r="W91" s="18"/>
      <c r="X91" s="39"/>
      <c r="Y91" s="18"/>
      <c r="Z91" s="18"/>
      <c r="AA91" s="18"/>
      <c r="AB91" s="18"/>
      <c r="AC91" s="18"/>
    </row>
    <row r="92" spans="1:29" ht="14.25" customHeight="1" x14ac:dyDescent="0.35">
      <c r="A92" s="293"/>
      <c r="B92" s="175" t="s">
        <v>304</v>
      </c>
      <c r="C92" s="200" t="s">
        <v>246</v>
      </c>
      <c r="D92" s="177" t="s">
        <v>305</v>
      </c>
      <c r="E92" s="100" t="s">
        <v>273</v>
      </c>
      <c r="F92" s="100" t="s">
        <v>274</v>
      </c>
      <c r="G92" s="104" t="s">
        <v>276</v>
      </c>
      <c r="H92" s="177" t="s">
        <v>277</v>
      </c>
      <c r="I92" s="18"/>
      <c r="J92" s="18"/>
      <c r="K92" s="18"/>
      <c r="L92" s="38" t="s">
        <v>306</v>
      </c>
      <c r="M92" s="18"/>
      <c r="N92" s="18"/>
      <c r="O92" s="53">
        <v>8887</v>
      </c>
      <c r="P92" s="18" t="s">
        <v>307</v>
      </c>
      <c r="Q92" s="18"/>
      <c r="R92" s="18" t="s">
        <v>308</v>
      </c>
      <c r="S92" s="294">
        <v>2.20462E-3</v>
      </c>
      <c r="T92" s="18" t="s">
        <v>309</v>
      </c>
      <c r="U92" s="18"/>
      <c r="V92" s="45">
        <f>O92*S92</f>
        <v>19.592457939999999</v>
      </c>
      <c r="W92" s="39"/>
      <c r="X92" s="18"/>
      <c r="Y92" s="18"/>
      <c r="Z92" s="18"/>
      <c r="AA92" s="18"/>
      <c r="AB92" s="18"/>
      <c r="AC92" s="18"/>
    </row>
    <row r="93" spans="1:29" ht="14.25" customHeight="1" x14ac:dyDescent="0.35">
      <c r="A93" s="2">
        <v>2022</v>
      </c>
      <c r="B93" s="295"/>
      <c r="C93" s="296">
        <v>2477.8000000000002</v>
      </c>
      <c r="D93" s="297">
        <f t="shared" ref="D93:D105" si="17">($C$89*$B$89)*C93</f>
        <v>69378.400000000009</v>
      </c>
      <c r="E93" s="123">
        <f t="shared" ref="E93:E105" si="18">D93/$B$77</f>
        <v>192717.77777777781</v>
      </c>
      <c r="F93" s="298">
        <f>(D93*'Electricity Conversions'!$Q$30*$D$77)</f>
        <v>47349.362515011751</v>
      </c>
      <c r="G93" s="299">
        <f t="shared" ref="G93:G105" si="19">E93*$G$79</f>
        <v>174333.79861650505</v>
      </c>
      <c r="H93" s="300">
        <f t="shared" ref="H93:H105" si="20">G93-F93</f>
        <v>126984.43610149331</v>
      </c>
      <c r="I93" s="18"/>
      <c r="J93" s="45"/>
      <c r="K93" s="18"/>
      <c r="L93" s="38" t="s">
        <v>310</v>
      </c>
      <c r="M93" s="18"/>
      <c r="N93" s="18"/>
      <c r="O93" s="18">
        <v>411</v>
      </c>
      <c r="P93" s="18" t="s">
        <v>311</v>
      </c>
      <c r="Q93" s="18"/>
      <c r="R93" s="18" t="s">
        <v>312</v>
      </c>
      <c r="S93" s="301">
        <f>V93</f>
        <v>0.8825431504504504</v>
      </c>
      <c r="T93" s="18"/>
      <c r="U93" s="18"/>
      <c r="V93" s="302">
        <f>V92/22.2</f>
        <v>0.8825431504504504</v>
      </c>
      <c r="W93" s="303">
        <f>O92/22.2</f>
        <v>400.31531531531533</v>
      </c>
      <c r="X93" s="18"/>
      <c r="Y93" s="18"/>
      <c r="Z93" s="18"/>
      <c r="AA93" s="18"/>
      <c r="AB93" s="18"/>
      <c r="AC93" s="18"/>
    </row>
    <row r="94" spans="1:29" ht="14.25" customHeight="1" x14ac:dyDescent="0.35">
      <c r="A94" s="6">
        <v>2023</v>
      </c>
      <c r="B94" s="304"/>
      <c r="C94" s="305">
        <v>2775.1360000000004</v>
      </c>
      <c r="D94" s="306">
        <f t="shared" si="17"/>
        <v>77703.808000000019</v>
      </c>
      <c r="E94" s="307">
        <f t="shared" si="18"/>
        <v>215843.91111111117</v>
      </c>
      <c r="F94" s="298">
        <f>(D94*'Electricity Conversions'!$Q$30*$D$77)</f>
        <v>53031.286016813159</v>
      </c>
      <c r="G94" s="5">
        <f t="shared" si="19"/>
        <v>195253.8544504857</v>
      </c>
      <c r="H94" s="300">
        <f t="shared" si="20"/>
        <v>142222.56843367254</v>
      </c>
      <c r="I94" s="18"/>
      <c r="J94" s="18"/>
      <c r="K94" s="18"/>
      <c r="L94" s="38"/>
      <c r="M94" s="18"/>
      <c r="N94" s="18"/>
      <c r="O94" s="78" t="s">
        <v>313</v>
      </c>
      <c r="P94" s="18"/>
      <c r="Q94" s="18"/>
      <c r="R94" s="18"/>
      <c r="S94" s="18"/>
      <c r="T94" s="18"/>
      <c r="U94" s="18"/>
      <c r="V94" s="18"/>
      <c r="W94" s="308">
        <f>W93*S92</f>
        <v>0.88254315045045051</v>
      </c>
      <c r="X94" s="18"/>
      <c r="Y94" s="18"/>
      <c r="Z94" s="18"/>
      <c r="AA94" s="18"/>
      <c r="AB94" s="18"/>
      <c r="AC94" s="18"/>
    </row>
    <row r="95" spans="1:29" ht="14.25" customHeight="1" x14ac:dyDescent="0.35">
      <c r="A95" s="6">
        <v>2025</v>
      </c>
      <c r="B95" s="304"/>
      <c r="C95" s="305">
        <v>3330.1632000000004</v>
      </c>
      <c r="D95" s="306">
        <f t="shared" si="17"/>
        <v>93244.569600000017</v>
      </c>
      <c r="E95" s="307">
        <f t="shared" si="18"/>
        <v>259012.69333333339</v>
      </c>
      <c r="F95" s="298">
        <f>(D95*'Electricity Conversions'!$Q$30*$D$77)</f>
        <v>63637.543220175794</v>
      </c>
      <c r="G95" s="5">
        <f t="shared" si="19"/>
        <v>234304.6253405828</v>
      </c>
      <c r="H95" s="300">
        <f t="shared" si="20"/>
        <v>170667.08212040702</v>
      </c>
      <c r="I95" s="91"/>
      <c r="J95" s="18"/>
      <c r="K95" s="18"/>
      <c r="L95" s="38"/>
      <c r="M95" s="18"/>
      <c r="N95" s="78"/>
      <c r="O95" s="309" t="s">
        <v>314</v>
      </c>
      <c r="P95" s="310"/>
      <c r="Q95" s="186">
        <v>1.0249999999999999</v>
      </c>
      <c r="R95" s="18"/>
      <c r="S95" s="167">
        <f>S93*Q95</f>
        <v>0.90460672921171159</v>
      </c>
      <c r="T95" s="18"/>
      <c r="U95" s="18"/>
      <c r="V95" s="18"/>
      <c r="W95" s="311"/>
      <c r="X95" s="18"/>
      <c r="Y95" s="18"/>
      <c r="Z95" s="18"/>
      <c r="AA95" s="18"/>
      <c r="AB95" s="18"/>
      <c r="AC95" s="18"/>
    </row>
    <row r="96" spans="1:29" ht="14.25" customHeight="1" x14ac:dyDescent="0.35">
      <c r="A96" s="312">
        <v>2026</v>
      </c>
      <c r="B96" s="304"/>
      <c r="C96" s="305">
        <v>3663.1795200000006</v>
      </c>
      <c r="D96" s="306">
        <f t="shared" si="17"/>
        <v>102569.02656000001</v>
      </c>
      <c r="E96" s="307">
        <f t="shared" si="18"/>
        <v>284913.96266666672</v>
      </c>
      <c r="F96" s="298">
        <f>(D96*'Electricity Conversions'!$Q$30*$D$77)</f>
        <v>70001.297542193366</v>
      </c>
      <c r="G96" s="5">
        <f t="shared" si="19"/>
        <v>257735.08787464109</v>
      </c>
      <c r="H96" s="300">
        <f t="shared" si="20"/>
        <v>187733.79033244774</v>
      </c>
      <c r="I96" s="91"/>
      <c r="J96" s="18"/>
      <c r="K96" s="18"/>
      <c r="L96" s="74"/>
      <c r="M96" s="75"/>
      <c r="N96" s="75"/>
      <c r="O96" s="75"/>
      <c r="P96" s="75"/>
      <c r="Q96" s="75"/>
      <c r="R96" s="75"/>
      <c r="S96" s="75"/>
      <c r="T96" s="75"/>
      <c r="U96" s="75"/>
      <c r="V96" s="75"/>
      <c r="W96" s="76"/>
      <c r="X96" s="18"/>
      <c r="Y96" s="18"/>
      <c r="Z96" s="18"/>
      <c r="AA96" s="18"/>
      <c r="AB96" s="18"/>
      <c r="AC96" s="18"/>
    </row>
    <row r="97" spans="1:29" ht="14.25" customHeight="1" x14ac:dyDescent="0.35">
      <c r="A97" s="312">
        <v>2027</v>
      </c>
      <c r="B97" s="304"/>
      <c r="C97" s="305">
        <v>4066.1292672000009</v>
      </c>
      <c r="D97" s="306">
        <f t="shared" si="17"/>
        <v>113851.61948160002</v>
      </c>
      <c r="E97" s="307">
        <f t="shared" si="18"/>
        <v>316254.49856000009</v>
      </c>
      <c r="F97" s="298">
        <f>(D97*'Electricity Conversions'!$Q$30*$D$77)</f>
        <v>77701.440271834639</v>
      </c>
      <c r="G97" s="5">
        <f t="shared" si="19"/>
        <v>286085.94754085166</v>
      </c>
      <c r="H97" s="300">
        <f t="shared" si="20"/>
        <v>208384.50726901702</v>
      </c>
      <c r="I97" s="91"/>
      <c r="J97" s="18"/>
      <c r="K97" s="18"/>
      <c r="L97" s="18"/>
      <c r="M97" s="18"/>
      <c r="N97" s="18"/>
      <c r="O97" s="18"/>
      <c r="P97" s="18"/>
      <c r="Q97" s="18"/>
      <c r="R97" s="18"/>
      <c r="S97" s="18"/>
      <c r="T97" s="18"/>
      <c r="U97" s="18"/>
      <c r="V97" s="18"/>
      <c r="W97" s="18"/>
      <c r="X97" s="18"/>
      <c r="Y97" s="18"/>
      <c r="Z97" s="18"/>
      <c r="AA97" s="18"/>
      <c r="AB97" s="18"/>
      <c r="AC97" s="18"/>
    </row>
    <row r="98" spans="1:29" ht="14.25" customHeight="1" x14ac:dyDescent="0.35">
      <c r="A98" s="312">
        <v>2028</v>
      </c>
      <c r="B98" s="304"/>
      <c r="C98" s="305">
        <v>4554.0647792640011</v>
      </c>
      <c r="D98" s="306">
        <f t="shared" si="17"/>
        <v>127513.81381939203</v>
      </c>
      <c r="E98" s="307">
        <f t="shared" si="18"/>
        <v>354205.0383872001</v>
      </c>
      <c r="F98" s="298">
        <f>(D98*'Electricity Conversions'!$Q$30*$D$77)</f>
        <v>87025.613104454795</v>
      </c>
      <c r="G98" s="5">
        <f t="shared" si="19"/>
        <v>320416.26124575385</v>
      </c>
      <c r="H98" s="300">
        <f t="shared" si="20"/>
        <v>233390.64814129905</v>
      </c>
      <c r="I98" s="91"/>
      <c r="J98" s="18"/>
      <c r="K98" s="18"/>
      <c r="L98" s="18"/>
      <c r="M98" s="18"/>
      <c r="N98" s="18"/>
      <c r="O98" s="18"/>
      <c r="P98" s="18"/>
      <c r="Q98" s="18"/>
      <c r="R98" s="18"/>
      <c r="S98" s="18"/>
      <c r="T98" s="18"/>
      <c r="U98" s="18"/>
      <c r="V98" s="18"/>
      <c r="W98" s="18"/>
      <c r="X98" s="18"/>
      <c r="Y98" s="18"/>
      <c r="Z98" s="18"/>
      <c r="AA98" s="18"/>
      <c r="AB98" s="18"/>
      <c r="AC98" s="18"/>
    </row>
    <row r="99" spans="1:29" ht="14.25" customHeight="1" x14ac:dyDescent="0.35">
      <c r="A99" s="312">
        <v>2029</v>
      </c>
      <c r="B99" s="304"/>
      <c r="C99" s="305">
        <v>5100.5525527756818</v>
      </c>
      <c r="D99" s="306">
        <f t="shared" si="17"/>
        <v>142815.47147771908</v>
      </c>
      <c r="E99" s="307">
        <f t="shared" si="18"/>
        <v>396709.64299366414</v>
      </c>
      <c r="F99" s="298">
        <f>(D99*'Electricity Conversions'!$Q$30*$D$77)</f>
        <v>97468.686676989382</v>
      </c>
      <c r="G99" s="5">
        <f t="shared" si="19"/>
        <v>358866.21259524429</v>
      </c>
      <c r="H99" s="300">
        <f t="shared" si="20"/>
        <v>261397.52591825492</v>
      </c>
      <c r="I99" s="91"/>
      <c r="J99" s="18"/>
      <c r="K99" s="18"/>
      <c r="L99" s="18"/>
      <c r="M99" s="18"/>
      <c r="N99" s="18"/>
      <c r="O99" s="18"/>
      <c r="P99" s="18"/>
      <c r="Q99" s="18"/>
      <c r="R99" s="18"/>
      <c r="S99" s="18"/>
      <c r="T99" s="18"/>
      <c r="U99" s="18"/>
      <c r="V99" s="18"/>
      <c r="W99" s="18"/>
      <c r="X99" s="18"/>
      <c r="Y99" s="18"/>
      <c r="Z99" s="18"/>
      <c r="AA99" s="18"/>
      <c r="AB99" s="18"/>
      <c r="AC99" s="18"/>
    </row>
    <row r="100" spans="1:29" ht="14.25" customHeight="1" x14ac:dyDescent="0.35">
      <c r="A100" s="312">
        <v>2030</v>
      </c>
      <c r="B100" s="304"/>
      <c r="C100" s="305">
        <v>5610.6078080532507</v>
      </c>
      <c r="D100" s="306">
        <f t="shared" si="17"/>
        <v>157097.01862549101</v>
      </c>
      <c r="E100" s="307">
        <f t="shared" si="18"/>
        <v>436380.6072930306</v>
      </c>
      <c r="F100" s="298">
        <f>(D100*'Electricity Conversions'!$Q$30*$D$77)</f>
        <v>107215.55534468833</v>
      </c>
      <c r="G100" s="5">
        <f t="shared" si="19"/>
        <v>394752.83385476877</v>
      </c>
      <c r="H100" s="300">
        <f t="shared" si="20"/>
        <v>287537.27851008042</v>
      </c>
      <c r="I100" s="313">
        <f>SUM(H96:H100)</f>
        <v>1178443.7501710991</v>
      </c>
      <c r="J100" s="18"/>
      <c r="K100" s="18"/>
      <c r="L100" s="18"/>
      <c r="M100" s="18"/>
      <c r="N100" s="18"/>
      <c r="O100" s="18"/>
      <c r="P100" s="18"/>
      <c r="Q100" s="18"/>
      <c r="R100" s="18"/>
      <c r="S100" s="18"/>
      <c r="T100" s="18"/>
      <c r="U100" s="18"/>
      <c r="V100" s="18"/>
      <c r="W100" s="18"/>
      <c r="X100" s="18"/>
      <c r="Y100" s="18"/>
      <c r="Z100" s="18"/>
      <c r="AA100" s="18"/>
      <c r="AB100" s="18"/>
      <c r="AC100" s="18"/>
    </row>
    <row r="101" spans="1:29" ht="14.25" customHeight="1" x14ac:dyDescent="0.35">
      <c r="A101" s="6">
        <v>2031</v>
      </c>
      <c r="B101" s="304"/>
      <c r="C101" s="305">
        <v>5891.1381984559139</v>
      </c>
      <c r="D101" s="306">
        <f t="shared" si="17"/>
        <v>164951.8695567656</v>
      </c>
      <c r="E101" s="307">
        <f t="shared" si="18"/>
        <v>458199.63765768224</v>
      </c>
      <c r="F101" s="298">
        <f>(D101*'Electricity Conversions'!$Q$30*$D$77)</f>
        <v>112576.33311192278</v>
      </c>
      <c r="G101" s="5">
        <f t="shared" si="19"/>
        <v>414490.47554750735</v>
      </c>
      <c r="H101" s="300">
        <f t="shared" si="20"/>
        <v>301914.14243558457</v>
      </c>
      <c r="I101" s="91"/>
      <c r="J101" s="18"/>
      <c r="K101" s="18"/>
      <c r="L101" s="18"/>
      <c r="M101" s="18"/>
      <c r="N101" s="18"/>
      <c r="O101" s="18"/>
      <c r="P101" s="18"/>
      <c r="Q101" s="18"/>
      <c r="R101" s="18"/>
      <c r="S101" s="18"/>
      <c r="T101" s="18"/>
      <c r="U101" s="18"/>
      <c r="V101" s="18"/>
      <c r="W101" s="18"/>
      <c r="X101" s="18"/>
      <c r="Y101" s="18"/>
      <c r="Z101" s="18"/>
      <c r="AA101" s="18"/>
      <c r="AB101" s="18"/>
      <c r="AC101" s="18"/>
    </row>
    <row r="102" spans="1:29" ht="14.25" customHeight="1" x14ac:dyDescent="0.35">
      <c r="A102" s="6">
        <v>2032</v>
      </c>
      <c r="B102" s="304"/>
      <c r="C102" s="305">
        <v>6185.6951083787098</v>
      </c>
      <c r="D102" s="306">
        <f t="shared" si="17"/>
        <v>173199.46303460386</v>
      </c>
      <c r="E102" s="307">
        <f t="shared" si="18"/>
        <v>481109.61954056629</v>
      </c>
      <c r="F102" s="298">
        <f>(D102*'Electricity Conversions'!$Q$30*$D$77)</f>
        <v>118205.14976751892</v>
      </c>
      <c r="G102" s="5">
        <f t="shared" si="19"/>
        <v>435214.99932488264</v>
      </c>
      <c r="H102" s="300">
        <f t="shared" si="20"/>
        <v>317009.84955736372</v>
      </c>
      <c r="I102" s="91"/>
      <c r="J102" s="18"/>
      <c r="K102" s="18"/>
      <c r="L102" s="18"/>
      <c r="M102" s="18"/>
      <c r="N102" s="18"/>
      <c r="O102" s="18"/>
      <c r="P102" s="18"/>
      <c r="Q102" s="18"/>
      <c r="R102" s="18"/>
      <c r="S102" s="18"/>
      <c r="T102" s="18"/>
      <c r="U102" s="18"/>
      <c r="V102" s="18"/>
      <c r="W102" s="18"/>
      <c r="X102" s="18"/>
      <c r="Y102" s="18"/>
      <c r="Z102" s="18"/>
      <c r="AA102" s="18"/>
      <c r="AB102" s="18"/>
      <c r="AC102" s="18"/>
    </row>
    <row r="103" spans="1:29" ht="14.25" customHeight="1" x14ac:dyDescent="0.35">
      <c r="A103" s="6">
        <v>2033</v>
      </c>
      <c r="B103" s="304"/>
      <c r="C103" s="305">
        <v>6494.9798637976455</v>
      </c>
      <c r="D103" s="306">
        <f t="shared" si="17"/>
        <v>181859.43618633406</v>
      </c>
      <c r="E103" s="307">
        <f t="shared" si="18"/>
        <v>505165.1005175946</v>
      </c>
      <c r="F103" s="298">
        <f>(D103*'Electricity Conversions'!$Q$30*$D$77)</f>
        <v>124115.40725589485</v>
      </c>
      <c r="G103" s="5">
        <f t="shared" si="19"/>
        <v>456975.74929112679</v>
      </c>
      <c r="H103" s="300">
        <f t="shared" si="20"/>
        <v>332860.34203523194</v>
      </c>
      <c r="I103" s="91"/>
      <c r="J103" s="18"/>
      <c r="K103" s="18"/>
      <c r="L103" s="18"/>
      <c r="M103" s="18"/>
      <c r="N103" s="18"/>
      <c r="O103" s="18"/>
      <c r="P103" s="18"/>
      <c r="Q103" s="18"/>
      <c r="R103" s="18"/>
      <c r="S103" s="18"/>
      <c r="T103" s="18"/>
      <c r="U103" s="18"/>
      <c r="V103" s="18"/>
      <c r="W103" s="18"/>
      <c r="X103" s="18"/>
      <c r="Y103" s="18"/>
      <c r="Z103" s="18"/>
      <c r="AA103" s="18"/>
      <c r="AB103" s="18"/>
      <c r="AC103" s="18"/>
    </row>
    <row r="104" spans="1:29" ht="14.25" customHeight="1" x14ac:dyDescent="0.35">
      <c r="A104" s="6">
        <v>2034</v>
      </c>
      <c r="B104" s="304"/>
      <c r="C104" s="305">
        <v>6819.7288569875282</v>
      </c>
      <c r="D104" s="306">
        <f t="shared" si="17"/>
        <v>190952.40799565078</v>
      </c>
      <c r="E104" s="307">
        <f t="shared" si="18"/>
        <v>530423.35554347443</v>
      </c>
      <c r="F104" s="298">
        <f>(D104*'Electricity Conversions'!$Q$30*$D$77)</f>
        <v>130321.1776186896</v>
      </c>
      <c r="G104" s="5">
        <f t="shared" si="19"/>
        <v>479824.53675568319</v>
      </c>
      <c r="H104" s="300">
        <f t="shared" si="20"/>
        <v>349503.35913699359</v>
      </c>
      <c r="I104" s="91"/>
      <c r="J104" s="18"/>
      <c r="K104" s="18"/>
      <c r="L104" s="18"/>
      <c r="M104" s="18"/>
      <c r="N104" s="18"/>
      <c r="O104" s="18"/>
      <c r="P104" s="18"/>
      <c r="Q104" s="18"/>
      <c r="R104" s="18"/>
      <c r="S104" s="18"/>
      <c r="T104" s="18"/>
      <c r="U104" s="18"/>
      <c r="V104" s="18"/>
      <c r="W104" s="18"/>
      <c r="X104" s="18"/>
      <c r="Y104" s="18"/>
      <c r="Z104" s="18"/>
      <c r="AA104" s="18"/>
      <c r="AB104" s="18"/>
      <c r="AC104" s="18"/>
    </row>
    <row r="105" spans="1:29" ht="14.25" customHeight="1" x14ac:dyDescent="0.35">
      <c r="A105" s="314">
        <v>2035</v>
      </c>
      <c r="B105" s="315"/>
      <c r="C105" s="316">
        <v>7160.7152998369047</v>
      </c>
      <c r="D105" s="317">
        <f t="shared" si="17"/>
        <v>200500.02839543333</v>
      </c>
      <c r="E105" s="136">
        <f t="shared" si="18"/>
        <v>556944.52332064812</v>
      </c>
      <c r="F105" s="298">
        <f>(D105*'Electricity Conversions'!$Q$30*$D$77)</f>
        <v>136837.23649962409</v>
      </c>
      <c r="G105" s="316">
        <f t="shared" si="19"/>
        <v>503815.7635934673</v>
      </c>
      <c r="H105" s="318">
        <f t="shared" si="20"/>
        <v>366978.52709384321</v>
      </c>
      <c r="I105" s="313">
        <f>SUM(H96:H105)</f>
        <v>2846709.9704301157</v>
      </c>
      <c r="J105" s="18"/>
      <c r="K105" s="18"/>
      <c r="L105" s="18"/>
      <c r="M105" s="18"/>
      <c r="N105" s="18"/>
      <c r="O105" s="18"/>
      <c r="P105" s="18"/>
      <c r="Q105" s="18"/>
      <c r="R105" s="18"/>
      <c r="S105" s="18"/>
      <c r="T105" s="18"/>
      <c r="U105" s="18"/>
      <c r="V105" s="18"/>
      <c r="W105" s="18"/>
      <c r="X105" s="18"/>
      <c r="Y105" s="18"/>
      <c r="Z105" s="18"/>
      <c r="AA105" s="18"/>
      <c r="AB105" s="18"/>
      <c r="AC105" s="18"/>
    </row>
    <row r="106" spans="1:29" ht="14.25" customHeight="1" x14ac:dyDescent="0.35">
      <c r="A106" s="18"/>
      <c r="B106" s="18"/>
      <c r="C106" s="18"/>
      <c r="D106" s="18"/>
      <c r="E106" s="18"/>
      <c r="F106" s="18"/>
      <c r="G106" s="18"/>
      <c r="H106" s="18"/>
      <c r="I106" s="18"/>
      <c r="J106" s="91"/>
      <c r="K106" s="18"/>
      <c r="L106" s="18"/>
      <c r="M106" s="18"/>
      <c r="N106" s="18"/>
      <c r="O106" s="18"/>
      <c r="P106" s="18"/>
      <c r="Q106" s="18"/>
      <c r="R106" s="18"/>
      <c r="S106" s="18"/>
      <c r="T106" s="18"/>
      <c r="U106" s="18"/>
      <c r="V106" s="18"/>
      <c r="W106" s="18"/>
      <c r="X106" s="18"/>
      <c r="Y106" s="18"/>
      <c r="Z106" s="18"/>
      <c r="AA106" s="18"/>
      <c r="AB106" s="18"/>
      <c r="AC106" s="18"/>
    </row>
    <row r="107" spans="1:29" ht="14.25" customHeight="1" x14ac:dyDescent="0.35">
      <c r="A107" s="18"/>
      <c r="B107" s="18"/>
      <c r="C107" s="18"/>
      <c r="D107" s="18"/>
      <c r="E107" s="18"/>
      <c r="F107" s="18"/>
      <c r="G107" s="18"/>
      <c r="H107" s="18"/>
      <c r="I107" s="18"/>
      <c r="J107" s="91"/>
      <c r="K107" s="18"/>
      <c r="L107" s="18"/>
      <c r="M107" s="18"/>
      <c r="N107" s="18"/>
      <c r="O107" s="18"/>
      <c r="P107" s="18"/>
      <c r="Q107" s="18"/>
      <c r="R107" s="18"/>
      <c r="S107" s="18"/>
      <c r="T107" s="18"/>
      <c r="U107" s="18"/>
      <c r="V107" s="18"/>
      <c r="W107" s="18"/>
      <c r="X107" s="18"/>
      <c r="Y107" s="18"/>
      <c r="Z107" s="18"/>
      <c r="AA107" s="18"/>
      <c r="AB107" s="18"/>
      <c r="AC107" s="18"/>
    </row>
    <row r="108" spans="1:29" ht="14.25" customHeight="1" x14ac:dyDescent="0.35">
      <c r="A108" s="319" t="s">
        <v>315</v>
      </c>
      <c r="B108" s="320"/>
      <c r="C108" s="320"/>
      <c r="D108" s="320"/>
      <c r="E108" s="320"/>
      <c r="F108" s="320"/>
      <c r="G108" s="321"/>
      <c r="H108" s="18"/>
      <c r="I108" s="18"/>
      <c r="J108" s="91" t="s">
        <v>316</v>
      </c>
      <c r="K108" s="18"/>
      <c r="L108" s="18"/>
      <c r="M108" s="18"/>
      <c r="N108" s="18"/>
      <c r="O108" s="18"/>
      <c r="P108" s="18"/>
      <c r="Q108" s="18"/>
      <c r="R108" s="18"/>
      <c r="S108" s="18"/>
      <c r="T108" s="18"/>
      <c r="U108" s="18"/>
      <c r="V108" s="18"/>
      <c r="W108" s="18"/>
      <c r="X108" s="18"/>
      <c r="Y108" s="18"/>
      <c r="Z108" s="18"/>
      <c r="AA108" s="18"/>
      <c r="AB108" s="18"/>
      <c r="AC108" s="18"/>
    </row>
    <row r="109" spans="1:29" ht="14.25" customHeight="1" x14ac:dyDescent="0.35">
      <c r="A109" s="38"/>
      <c r="B109" s="106"/>
      <c r="C109" s="288" t="s">
        <v>208</v>
      </c>
      <c r="D109" s="322"/>
      <c r="E109" s="288" t="s">
        <v>273</v>
      </c>
      <c r="F109" s="99" t="s">
        <v>317</v>
      </c>
      <c r="G109" s="39"/>
      <c r="H109" s="18"/>
      <c r="I109" s="18"/>
      <c r="J109" s="294">
        <f>G79-E77</f>
        <v>0.66692176921171165</v>
      </c>
      <c r="K109" s="18"/>
      <c r="L109" s="18"/>
      <c r="M109" s="18"/>
      <c r="N109" s="18"/>
      <c r="O109" s="18"/>
      <c r="P109" s="18"/>
      <c r="Q109" s="18"/>
      <c r="R109" s="18"/>
      <c r="S109" s="18"/>
      <c r="T109" s="18"/>
      <c r="U109" s="18"/>
      <c r="V109" s="18"/>
      <c r="W109" s="18"/>
      <c r="X109" s="18"/>
      <c r="Y109" s="18"/>
      <c r="Z109" s="18"/>
      <c r="AA109" s="18"/>
      <c r="AB109" s="18"/>
      <c r="AC109" s="18"/>
    </row>
    <row r="110" spans="1:29" ht="14.25" customHeight="1" x14ac:dyDescent="0.35">
      <c r="A110" s="38"/>
      <c r="B110" s="153">
        <v>2026</v>
      </c>
      <c r="C110" s="118">
        <v>259200</v>
      </c>
      <c r="D110" s="239"/>
      <c r="E110" s="161">
        <f t="shared" ref="E110:E120" si="21">C110*$J$78</f>
        <v>740571.42857142864</v>
      </c>
      <c r="F110" s="323">
        <f>J115*E110</f>
        <v>669925.89774764481</v>
      </c>
      <c r="G110" s="39"/>
      <c r="H110" s="18"/>
      <c r="I110" s="18"/>
      <c r="J110" s="18"/>
      <c r="K110" s="18"/>
      <c r="L110" s="18"/>
      <c r="M110" s="18"/>
      <c r="N110" s="18"/>
      <c r="O110" s="18"/>
      <c r="P110" s="18"/>
      <c r="Q110" s="18"/>
      <c r="R110" s="18"/>
      <c r="S110" s="18"/>
      <c r="T110" s="18"/>
      <c r="U110" s="18"/>
      <c r="V110" s="18"/>
      <c r="W110" s="18"/>
      <c r="X110" s="18"/>
      <c r="Y110" s="18"/>
      <c r="Z110" s="18"/>
      <c r="AA110" s="18"/>
      <c r="AB110" s="18"/>
      <c r="AC110" s="18"/>
    </row>
    <row r="111" spans="1:29" ht="14.25" customHeight="1" x14ac:dyDescent="0.35">
      <c r="A111" s="38"/>
      <c r="B111" s="38">
        <v>2027</v>
      </c>
      <c r="C111" s="12">
        <v>414720</v>
      </c>
      <c r="D111" s="18"/>
      <c r="E111" s="45">
        <f t="shared" si="21"/>
        <v>1184914.2857142857</v>
      </c>
      <c r="F111" s="124">
        <f t="shared" ref="F111:F120" si="22">E111*$G$79</f>
        <v>1071881.4363962314</v>
      </c>
      <c r="G111" s="39"/>
      <c r="H111" s="45"/>
      <c r="I111" s="18"/>
      <c r="J111" s="18"/>
      <c r="K111" s="18"/>
      <c r="L111" s="18"/>
      <c r="M111" s="18"/>
      <c r="N111" s="18"/>
      <c r="O111" s="18"/>
      <c r="P111" s="18"/>
      <c r="Q111" s="18"/>
      <c r="R111" s="18"/>
      <c r="S111" s="18"/>
      <c r="T111" s="18"/>
      <c r="U111" s="18"/>
      <c r="V111" s="18"/>
      <c r="W111" s="18"/>
      <c r="X111" s="18"/>
      <c r="Y111" s="18"/>
      <c r="Z111" s="18"/>
      <c r="AA111" s="18"/>
      <c r="AB111" s="18"/>
      <c r="AC111" s="18"/>
    </row>
    <row r="112" spans="1:29" ht="14.25" customHeight="1" x14ac:dyDescent="0.35">
      <c r="A112" s="38"/>
      <c r="B112" s="38">
        <v>2028</v>
      </c>
      <c r="C112" s="12">
        <v>518400</v>
      </c>
      <c r="D112" s="18"/>
      <c r="E112" s="45">
        <f t="shared" si="21"/>
        <v>1481142.8571428573</v>
      </c>
      <c r="F112" s="124">
        <f t="shared" si="22"/>
        <v>1339851.7954952896</v>
      </c>
      <c r="G112" s="39"/>
      <c r="H112" s="18"/>
      <c r="I112" s="18"/>
      <c r="J112" s="18"/>
      <c r="K112" s="18"/>
      <c r="L112" s="18"/>
      <c r="M112" s="18"/>
      <c r="N112" s="18"/>
      <c r="O112" s="18"/>
      <c r="P112" s="18"/>
      <c r="Q112" s="18"/>
      <c r="R112" s="18"/>
      <c r="S112" s="18"/>
      <c r="T112" s="18"/>
      <c r="U112" s="18"/>
      <c r="V112" s="18"/>
      <c r="W112" s="18"/>
      <c r="X112" s="18"/>
      <c r="Y112" s="18"/>
      <c r="Z112" s="18"/>
      <c r="AA112" s="18"/>
      <c r="AB112" s="18"/>
      <c r="AC112" s="18"/>
    </row>
    <row r="113" spans="1:29" ht="14.25" customHeight="1" x14ac:dyDescent="0.35">
      <c r="A113" s="38"/>
      <c r="B113" s="38">
        <v>2029</v>
      </c>
      <c r="C113" s="12">
        <v>648000</v>
      </c>
      <c r="D113" s="18"/>
      <c r="E113" s="45">
        <f t="shared" si="21"/>
        <v>1851428.5714285714</v>
      </c>
      <c r="F113" s="124">
        <f t="shared" si="22"/>
        <v>1674814.7443691117</v>
      </c>
      <c r="G113" s="39"/>
      <c r="H113" s="18"/>
      <c r="I113" s="18"/>
      <c r="J113" s="91" t="s">
        <v>318</v>
      </c>
      <c r="K113" s="18"/>
      <c r="L113" s="18"/>
      <c r="M113" s="18"/>
      <c r="N113" s="18"/>
      <c r="O113" s="18"/>
      <c r="P113" s="18"/>
      <c r="Q113" s="18"/>
      <c r="R113" s="18"/>
      <c r="S113" s="18"/>
      <c r="T113" s="18"/>
      <c r="U113" s="18"/>
      <c r="V113" s="18"/>
      <c r="W113" s="18"/>
      <c r="X113" s="18"/>
      <c r="Y113" s="18"/>
      <c r="Z113" s="18"/>
      <c r="AA113" s="18"/>
      <c r="AB113" s="18"/>
      <c r="AC113" s="18"/>
    </row>
    <row r="114" spans="1:29" ht="14.25" customHeight="1" x14ac:dyDescent="0.35">
      <c r="A114" s="38"/>
      <c r="B114" s="324">
        <v>2030</v>
      </c>
      <c r="C114" s="325">
        <v>777600</v>
      </c>
      <c r="D114" s="326"/>
      <c r="E114" s="327">
        <f t="shared" si="21"/>
        <v>2221714.2857142859</v>
      </c>
      <c r="F114" s="328">
        <f t="shared" si="22"/>
        <v>2009777.6932429343</v>
      </c>
      <c r="G114" s="131">
        <f>SUM(F110:F114)</f>
        <v>6766251.567251212</v>
      </c>
      <c r="H114" s="18"/>
      <c r="I114" s="18"/>
      <c r="J114" s="18"/>
      <c r="K114" s="18"/>
      <c r="L114" s="18"/>
      <c r="M114" s="18"/>
      <c r="N114" s="18"/>
      <c r="O114" s="18"/>
      <c r="P114" s="18"/>
      <c r="Q114" s="18"/>
      <c r="R114" s="18"/>
      <c r="S114" s="18"/>
      <c r="T114" s="18"/>
      <c r="U114" s="18"/>
      <c r="V114" s="18"/>
      <c r="W114" s="18"/>
      <c r="X114" s="18"/>
      <c r="Y114" s="18"/>
      <c r="Z114" s="18"/>
      <c r="AA114" s="18"/>
      <c r="AB114" s="18"/>
      <c r="AC114" s="18"/>
    </row>
    <row r="115" spans="1:29" ht="14.25" customHeight="1" x14ac:dyDescent="0.35">
      <c r="A115" s="38"/>
      <c r="B115" s="38">
        <v>2031</v>
      </c>
      <c r="C115" s="12">
        <v>810000</v>
      </c>
      <c r="D115" s="18"/>
      <c r="E115" s="45">
        <f t="shared" si="21"/>
        <v>2314285.7142857146</v>
      </c>
      <c r="F115" s="124">
        <f t="shared" si="22"/>
        <v>2093518.4304613899</v>
      </c>
      <c r="G115" s="39"/>
      <c r="H115" s="18"/>
      <c r="I115" s="18"/>
      <c r="J115" s="294">
        <f>G79</f>
        <v>0.90460672921171159</v>
      </c>
      <c r="K115" s="18"/>
      <c r="L115" s="18"/>
      <c r="M115" s="18"/>
      <c r="N115" s="18"/>
      <c r="O115" s="18"/>
      <c r="P115" s="18"/>
      <c r="Q115" s="18"/>
      <c r="R115" s="18"/>
      <c r="S115" s="18"/>
      <c r="T115" s="18"/>
      <c r="U115" s="18"/>
      <c r="V115" s="18"/>
      <c r="W115" s="18"/>
      <c r="X115" s="18"/>
      <c r="Y115" s="18"/>
      <c r="Z115" s="18"/>
      <c r="AA115" s="18"/>
      <c r="AB115" s="18"/>
      <c r="AC115" s="18"/>
    </row>
    <row r="116" spans="1:29" ht="14.25" customHeight="1" x14ac:dyDescent="0.35">
      <c r="A116" s="38"/>
      <c r="B116" s="38">
        <v>2032</v>
      </c>
      <c r="C116" s="12">
        <v>842400</v>
      </c>
      <c r="D116" s="18"/>
      <c r="E116" s="45">
        <f t="shared" si="21"/>
        <v>2406857.1428571427</v>
      </c>
      <c r="F116" s="124">
        <f t="shared" si="22"/>
        <v>2177259.1676798454</v>
      </c>
      <c r="G116" s="39"/>
      <c r="H116" s="18"/>
      <c r="I116" s="18"/>
      <c r="J116" s="18"/>
      <c r="K116" s="18"/>
      <c r="L116" s="18"/>
      <c r="M116" s="18"/>
      <c r="N116" s="18"/>
      <c r="O116" s="18"/>
      <c r="P116" s="18"/>
      <c r="Q116" s="18"/>
      <c r="R116" s="18"/>
      <c r="S116" s="18"/>
      <c r="T116" s="18"/>
      <c r="U116" s="18"/>
      <c r="V116" s="18"/>
      <c r="W116" s="18"/>
      <c r="X116" s="18"/>
      <c r="Y116" s="18"/>
      <c r="Z116" s="18"/>
      <c r="AA116" s="18"/>
      <c r="AB116" s="18"/>
      <c r="AC116" s="18"/>
    </row>
    <row r="117" spans="1:29" ht="14.25" customHeight="1" x14ac:dyDescent="0.35">
      <c r="A117" s="38"/>
      <c r="B117" s="38">
        <v>2033</v>
      </c>
      <c r="C117" s="12">
        <v>874800</v>
      </c>
      <c r="D117" s="18"/>
      <c r="E117" s="45">
        <f t="shared" si="21"/>
        <v>2499428.5714285714</v>
      </c>
      <c r="F117" s="124">
        <f t="shared" si="22"/>
        <v>2260999.9048983008</v>
      </c>
      <c r="G117" s="39"/>
      <c r="H117" s="18"/>
      <c r="I117" s="18"/>
      <c r="J117" s="18"/>
      <c r="K117" s="18"/>
      <c r="L117" s="18"/>
      <c r="M117" s="18"/>
      <c r="N117" s="18"/>
      <c r="O117" s="18"/>
      <c r="P117" s="18"/>
      <c r="Q117" s="18"/>
      <c r="R117" s="18"/>
      <c r="S117" s="18"/>
      <c r="T117" s="18"/>
      <c r="U117" s="18"/>
      <c r="V117" s="18"/>
      <c r="W117" s="18"/>
      <c r="X117" s="18"/>
      <c r="Y117" s="18"/>
      <c r="Z117" s="18"/>
      <c r="AA117" s="18"/>
      <c r="AB117" s="18"/>
      <c r="AC117" s="18"/>
    </row>
    <row r="118" spans="1:29" ht="14.25" customHeight="1" x14ac:dyDescent="0.35">
      <c r="A118" s="38"/>
      <c r="B118" s="38">
        <v>2034</v>
      </c>
      <c r="C118" s="12">
        <v>907200</v>
      </c>
      <c r="D118" s="18"/>
      <c r="E118" s="45">
        <f t="shared" si="21"/>
        <v>2592000</v>
      </c>
      <c r="F118" s="124">
        <f t="shared" si="22"/>
        <v>2344740.6421167566</v>
      </c>
      <c r="G118" s="39"/>
      <c r="H118" s="18"/>
      <c r="I118" s="18"/>
      <c r="J118" s="18"/>
      <c r="K118" s="18"/>
      <c r="L118" s="18"/>
      <c r="M118" s="18"/>
      <c r="N118" s="18"/>
      <c r="O118" s="18"/>
      <c r="P118" s="18"/>
      <c r="Q118" s="18"/>
      <c r="R118" s="18"/>
      <c r="S118" s="18"/>
      <c r="T118" s="18"/>
      <c r="U118" s="18"/>
      <c r="V118" s="18"/>
      <c r="W118" s="18"/>
      <c r="X118" s="18"/>
      <c r="Y118" s="18"/>
      <c r="Z118" s="18"/>
      <c r="AA118" s="18"/>
      <c r="AB118" s="18"/>
      <c r="AC118" s="18"/>
    </row>
    <row r="119" spans="1:29" ht="14.25" customHeight="1" x14ac:dyDescent="0.35">
      <c r="A119" s="38"/>
      <c r="B119" s="74">
        <v>2035</v>
      </c>
      <c r="C119" s="12">
        <v>907200</v>
      </c>
      <c r="D119" s="18"/>
      <c r="E119" s="45">
        <f t="shared" si="21"/>
        <v>2592000</v>
      </c>
      <c r="F119" s="124">
        <f t="shared" si="22"/>
        <v>2344740.6421167566</v>
      </c>
      <c r="G119" s="39"/>
      <c r="H119" s="18"/>
      <c r="I119" s="18"/>
      <c r="J119" s="18"/>
      <c r="K119" s="18"/>
      <c r="L119" s="18"/>
      <c r="M119" s="18"/>
      <c r="N119" s="18"/>
      <c r="O119" s="18"/>
      <c r="P119" s="18"/>
      <c r="Q119" s="18"/>
      <c r="R119" s="18"/>
      <c r="S119" s="18"/>
      <c r="T119" s="18"/>
      <c r="U119" s="18"/>
      <c r="V119" s="18"/>
      <c r="W119" s="18"/>
      <c r="X119" s="18"/>
      <c r="Y119" s="18"/>
      <c r="Z119" s="18"/>
      <c r="AA119" s="18"/>
      <c r="AB119" s="18"/>
      <c r="AC119" s="18"/>
    </row>
    <row r="120" spans="1:29" ht="14.25" customHeight="1" x14ac:dyDescent="0.35">
      <c r="A120" s="38"/>
      <c r="B120" s="329">
        <v>2036</v>
      </c>
      <c r="C120" s="330">
        <v>907200</v>
      </c>
      <c r="D120" s="331"/>
      <c r="E120" s="332">
        <f t="shared" si="21"/>
        <v>2592000</v>
      </c>
      <c r="F120" s="333">
        <f t="shared" si="22"/>
        <v>2344740.6421167566</v>
      </c>
      <c r="G120" s="131">
        <f>SUM(F110:F120)</f>
        <v>20332250.996641017</v>
      </c>
      <c r="H120" s="18"/>
      <c r="I120" s="18"/>
      <c r="J120" s="18"/>
      <c r="K120" s="18"/>
      <c r="L120" s="18"/>
      <c r="M120" s="18"/>
      <c r="N120" s="18"/>
      <c r="O120" s="18"/>
      <c r="P120" s="18"/>
      <c r="Q120" s="18"/>
      <c r="R120" s="18"/>
      <c r="S120" s="18"/>
      <c r="T120" s="18"/>
      <c r="U120" s="18"/>
      <c r="V120" s="18"/>
      <c r="W120" s="18"/>
      <c r="X120" s="18"/>
      <c r="Y120" s="18"/>
      <c r="Z120" s="18"/>
      <c r="AA120" s="18"/>
      <c r="AB120" s="18"/>
      <c r="AC120" s="18"/>
    </row>
    <row r="121" spans="1:29" ht="14.25" customHeight="1" x14ac:dyDescent="0.35">
      <c r="A121" s="74"/>
      <c r="B121" s="75" t="s">
        <v>319</v>
      </c>
      <c r="C121" s="140"/>
      <c r="D121" s="75"/>
      <c r="E121" s="75"/>
      <c r="F121" s="75"/>
      <c r="G121" s="76"/>
      <c r="H121" s="18"/>
      <c r="I121" s="18"/>
      <c r="J121" s="18"/>
      <c r="K121" s="18"/>
      <c r="L121" s="18"/>
      <c r="M121" s="18"/>
      <c r="N121" s="18"/>
      <c r="O121" s="18"/>
      <c r="P121" s="18"/>
      <c r="Q121" s="18"/>
      <c r="R121" s="18"/>
      <c r="S121" s="18"/>
      <c r="T121" s="18"/>
      <c r="U121" s="18"/>
      <c r="V121" s="18"/>
      <c r="W121" s="18"/>
      <c r="X121" s="18"/>
      <c r="Y121" s="18"/>
      <c r="Z121" s="18"/>
      <c r="AA121" s="18"/>
      <c r="AB121" s="18"/>
      <c r="AC121" s="18"/>
    </row>
    <row r="122" spans="1:29" ht="14.25" customHeight="1" x14ac:dyDescent="0.35">
      <c r="A122" s="18"/>
      <c r="B122" s="18"/>
      <c r="C122" s="12"/>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row>
    <row r="123" spans="1:29" ht="14.25" customHeight="1" x14ac:dyDescent="0.35">
      <c r="A123" s="18"/>
      <c r="B123" s="18"/>
      <c r="C123" s="12"/>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row>
    <row r="124" spans="1:29" ht="14.25" customHeight="1" x14ac:dyDescent="0.3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row>
    <row r="125" spans="1:29" ht="14.25" customHeight="1" x14ac:dyDescent="0.35">
      <c r="A125" s="319" t="s">
        <v>320</v>
      </c>
      <c r="B125" s="320"/>
      <c r="C125" s="320"/>
      <c r="D125" s="320"/>
      <c r="E125" s="320"/>
      <c r="F125" s="320"/>
      <c r="G125" s="321"/>
      <c r="H125" s="18"/>
      <c r="I125" s="18"/>
      <c r="J125" s="18"/>
      <c r="K125" s="18"/>
      <c r="L125" s="18"/>
      <c r="M125" s="18"/>
      <c r="N125" s="18"/>
      <c r="O125" s="18"/>
      <c r="P125" s="18"/>
      <c r="Q125" s="18"/>
      <c r="R125" s="18"/>
      <c r="S125" s="18"/>
      <c r="T125" s="18"/>
      <c r="U125" s="18"/>
      <c r="V125" s="18"/>
      <c r="W125" s="18"/>
      <c r="X125" s="18"/>
      <c r="Y125" s="18"/>
      <c r="Z125" s="18"/>
      <c r="AA125" s="18"/>
      <c r="AB125" s="18"/>
      <c r="AC125" s="18"/>
    </row>
    <row r="126" spans="1:29" ht="14.25" customHeight="1" x14ac:dyDescent="0.35">
      <c r="A126" s="38" t="s">
        <v>321</v>
      </c>
      <c r="B126" s="18">
        <v>46</v>
      </c>
      <c r="C126" s="18" t="s">
        <v>322</v>
      </c>
      <c r="D126" s="18"/>
      <c r="E126" s="18"/>
      <c r="F126" s="18"/>
      <c r="G126" s="39"/>
      <c r="H126" s="18"/>
      <c r="I126" s="18"/>
      <c r="J126" s="18"/>
      <c r="K126" s="18"/>
      <c r="L126" s="18"/>
      <c r="M126" s="18"/>
      <c r="N126" s="18"/>
      <c r="O126" s="18"/>
      <c r="P126" s="18"/>
      <c r="Q126" s="18"/>
      <c r="R126" s="18"/>
      <c r="S126" s="18"/>
      <c r="T126" s="18"/>
      <c r="U126" s="18"/>
      <c r="V126" s="18"/>
      <c r="W126" s="18"/>
      <c r="X126" s="18"/>
      <c r="Y126" s="18"/>
      <c r="Z126" s="18"/>
      <c r="AA126" s="18"/>
      <c r="AB126" s="18"/>
      <c r="AC126" s="18"/>
    </row>
    <row r="127" spans="1:29" ht="14.25" customHeight="1" x14ac:dyDescent="0.35">
      <c r="A127" s="38" t="s">
        <v>323</v>
      </c>
      <c r="B127" s="18"/>
      <c r="C127" s="18"/>
      <c r="D127" s="18"/>
      <c r="E127" s="18"/>
      <c r="F127" s="18"/>
      <c r="G127" s="39"/>
      <c r="H127" s="18"/>
      <c r="I127" s="18"/>
      <c r="J127" s="18"/>
      <c r="K127" s="18"/>
      <c r="L127" s="18"/>
      <c r="M127" s="18"/>
      <c r="N127" s="18"/>
      <c r="O127" s="18"/>
      <c r="P127" s="18"/>
      <c r="Q127" s="18"/>
      <c r="R127" s="18"/>
      <c r="S127" s="18"/>
      <c r="T127" s="18"/>
      <c r="U127" s="18"/>
      <c r="V127" s="18"/>
      <c r="W127" s="18"/>
      <c r="X127" s="18"/>
      <c r="Y127" s="18"/>
      <c r="Z127" s="18"/>
      <c r="AA127" s="18"/>
      <c r="AB127" s="18"/>
      <c r="AC127" s="18"/>
    </row>
    <row r="128" spans="1:29" ht="14.25" customHeight="1" x14ac:dyDescent="0.35">
      <c r="A128" s="38" t="s">
        <v>324</v>
      </c>
      <c r="B128" s="18"/>
      <c r="C128" s="18"/>
      <c r="D128" s="18"/>
      <c r="E128" s="18"/>
      <c r="F128" s="18"/>
      <c r="G128" s="39"/>
      <c r="H128" s="18"/>
      <c r="I128" s="18"/>
      <c r="J128" s="18"/>
      <c r="K128" s="18"/>
      <c r="L128" s="18"/>
      <c r="M128" s="18"/>
      <c r="N128" s="18"/>
      <c r="O128" s="18"/>
      <c r="P128" s="18"/>
      <c r="Q128" s="18"/>
      <c r="R128" s="18"/>
      <c r="S128" s="18"/>
      <c r="T128" s="18"/>
      <c r="U128" s="18"/>
      <c r="V128" s="18"/>
      <c r="W128" s="18"/>
      <c r="X128" s="18"/>
      <c r="Y128" s="18"/>
      <c r="Z128" s="18"/>
      <c r="AA128" s="18"/>
      <c r="AB128" s="18"/>
      <c r="AC128" s="18"/>
    </row>
    <row r="129" spans="1:29" ht="14.25" customHeight="1" x14ac:dyDescent="0.35">
      <c r="A129" s="38" t="s">
        <v>325</v>
      </c>
      <c r="B129" s="18"/>
      <c r="C129" s="53">
        <v>698313</v>
      </c>
      <c r="D129" s="18"/>
      <c r="E129" s="18"/>
      <c r="F129" s="18"/>
      <c r="G129" s="39"/>
      <c r="H129" s="18"/>
      <c r="I129" s="18"/>
      <c r="J129" s="18"/>
      <c r="K129" s="18"/>
      <c r="L129" s="18"/>
      <c r="M129" s="18"/>
      <c r="N129" s="18"/>
      <c r="O129" s="18"/>
      <c r="P129" s="18"/>
      <c r="Q129" s="18"/>
      <c r="R129" s="18"/>
      <c r="S129" s="18"/>
      <c r="T129" s="18"/>
      <c r="U129" s="18"/>
      <c r="V129" s="18"/>
      <c r="W129" s="18"/>
      <c r="X129" s="18"/>
      <c r="Y129" s="18"/>
      <c r="Z129" s="18"/>
      <c r="AA129" s="18"/>
      <c r="AB129" s="18"/>
      <c r="AC129" s="18"/>
    </row>
    <row r="130" spans="1:29" ht="14.25" customHeight="1" x14ac:dyDescent="0.35">
      <c r="A130" s="309" t="s">
        <v>326</v>
      </c>
      <c r="B130" s="310"/>
      <c r="C130" s="334">
        <f>C129*G79</f>
        <v>631698.63889601792</v>
      </c>
      <c r="D130" s="310" t="s">
        <v>327</v>
      </c>
      <c r="E130" s="186"/>
      <c r="F130" s="18"/>
      <c r="G130" s="39"/>
      <c r="H130" s="18"/>
      <c r="I130" s="18"/>
      <c r="J130" s="18"/>
      <c r="K130" s="18"/>
      <c r="L130" s="18"/>
      <c r="M130" s="18"/>
      <c r="N130" s="18"/>
      <c r="O130" s="18"/>
      <c r="P130" s="18"/>
      <c r="Q130" s="18"/>
      <c r="R130" s="18"/>
      <c r="S130" s="18"/>
      <c r="T130" s="18"/>
      <c r="U130" s="18"/>
      <c r="V130" s="18"/>
      <c r="W130" s="18"/>
      <c r="X130" s="18"/>
      <c r="Y130" s="18"/>
      <c r="Z130" s="18"/>
      <c r="AA130" s="18"/>
      <c r="AB130" s="18"/>
      <c r="AC130" s="18"/>
    </row>
    <row r="131" spans="1:29" ht="14.25" customHeight="1" x14ac:dyDescent="0.35">
      <c r="A131" s="38"/>
      <c r="B131" s="18"/>
      <c r="C131" s="45"/>
      <c r="D131" s="18"/>
      <c r="E131" s="39"/>
      <c r="F131" s="18"/>
      <c r="G131" s="39"/>
      <c r="H131" s="18"/>
      <c r="I131" s="18"/>
      <c r="J131" s="18"/>
      <c r="K131" s="18"/>
      <c r="L131" s="18"/>
      <c r="M131" s="18"/>
      <c r="N131" s="18"/>
      <c r="O131" s="18"/>
      <c r="P131" s="18"/>
      <c r="Q131" s="18"/>
      <c r="R131" s="18"/>
      <c r="S131" s="18"/>
      <c r="T131" s="18"/>
      <c r="U131" s="18"/>
      <c r="V131" s="18"/>
      <c r="W131" s="18"/>
      <c r="X131" s="18"/>
      <c r="Y131" s="18"/>
      <c r="Z131" s="18"/>
      <c r="AA131" s="18"/>
      <c r="AB131" s="18"/>
      <c r="AC131" s="18"/>
    </row>
    <row r="132" spans="1:29" ht="14.25" customHeight="1" x14ac:dyDescent="0.35">
      <c r="A132" s="309" t="s">
        <v>328</v>
      </c>
      <c r="B132" s="310"/>
      <c r="C132" s="334">
        <f>C129*E77</f>
        <v>165978.49747247997</v>
      </c>
      <c r="D132" s="310" t="s">
        <v>329</v>
      </c>
      <c r="E132" s="186"/>
      <c r="F132" s="18"/>
      <c r="G132" s="39"/>
      <c r="H132" s="18"/>
      <c r="I132" s="18"/>
      <c r="J132" s="18"/>
      <c r="K132" s="18"/>
      <c r="L132" s="18"/>
      <c r="M132" s="18"/>
      <c r="N132" s="18"/>
      <c r="O132" s="18"/>
      <c r="P132" s="18"/>
      <c r="Q132" s="18"/>
      <c r="R132" s="18"/>
      <c r="S132" s="18"/>
      <c r="T132" s="18"/>
      <c r="U132" s="18"/>
      <c r="V132" s="18"/>
      <c r="W132" s="18"/>
      <c r="X132" s="18"/>
      <c r="Y132" s="18"/>
      <c r="Z132" s="18"/>
      <c r="AA132" s="18"/>
      <c r="AB132" s="18"/>
      <c r="AC132" s="18"/>
    </row>
    <row r="133" spans="1:29" ht="14.25" customHeight="1" x14ac:dyDescent="0.35">
      <c r="A133" s="38"/>
      <c r="B133" s="18"/>
      <c r="C133" s="18"/>
      <c r="D133" s="18"/>
      <c r="E133" s="39"/>
      <c r="F133" s="18"/>
      <c r="G133" s="39"/>
      <c r="H133" s="18"/>
      <c r="I133" s="18"/>
      <c r="J133" s="18"/>
      <c r="K133" s="18"/>
      <c r="L133" s="18"/>
      <c r="M133" s="18"/>
      <c r="N133" s="18"/>
      <c r="O133" s="18"/>
      <c r="P133" s="18"/>
      <c r="Q133" s="18"/>
      <c r="R133" s="18"/>
      <c r="S133" s="18"/>
      <c r="T133" s="18"/>
      <c r="U133" s="18"/>
      <c r="V133" s="18"/>
      <c r="W133" s="18"/>
      <c r="X133" s="18"/>
      <c r="Y133" s="18"/>
      <c r="Z133" s="18"/>
      <c r="AA133" s="18"/>
      <c r="AB133" s="18"/>
      <c r="AC133" s="18"/>
    </row>
    <row r="134" spans="1:29" ht="14.25" customHeight="1" x14ac:dyDescent="0.35">
      <c r="A134" s="74"/>
      <c r="B134" s="75"/>
      <c r="C134" s="335">
        <f>C130-C132</f>
        <v>465720.14142353798</v>
      </c>
      <c r="D134" s="75" t="s">
        <v>330</v>
      </c>
      <c r="E134" s="76"/>
      <c r="F134" s="18"/>
      <c r="G134" s="39"/>
      <c r="H134" s="18"/>
      <c r="I134" s="18"/>
      <c r="J134" s="18"/>
      <c r="K134" s="18"/>
      <c r="L134" s="18"/>
      <c r="M134" s="18"/>
      <c r="N134" s="18"/>
      <c r="O134" s="18"/>
      <c r="P134" s="18"/>
      <c r="Q134" s="18"/>
      <c r="R134" s="18"/>
      <c r="S134" s="18"/>
      <c r="T134" s="18"/>
      <c r="U134" s="18"/>
      <c r="V134" s="18"/>
      <c r="W134" s="18"/>
      <c r="X134" s="18"/>
      <c r="Y134" s="18"/>
      <c r="Z134" s="18"/>
      <c r="AA134" s="18"/>
      <c r="AB134" s="18"/>
      <c r="AC134" s="18"/>
    </row>
    <row r="135" spans="1:29" ht="14.25" customHeight="1" x14ac:dyDescent="0.35">
      <c r="A135" s="74"/>
      <c r="B135" s="75"/>
      <c r="C135" s="75"/>
      <c r="D135" s="75"/>
      <c r="E135" s="75"/>
      <c r="F135" s="75"/>
      <c r="G135" s="76"/>
      <c r="H135" s="18"/>
      <c r="I135" s="18"/>
      <c r="J135" s="18"/>
      <c r="K135" s="18"/>
      <c r="L135" s="18"/>
      <c r="M135" s="18"/>
      <c r="N135" s="18"/>
      <c r="O135" s="18"/>
      <c r="P135" s="18"/>
      <c r="Q135" s="18"/>
      <c r="R135" s="18"/>
      <c r="S135" s="18"/>
      <c r="T135" s="18"/>
      <c r="U135" s="18"/>
      <c r="V135" s="18"/>
      <c r="W135" s="18"/>
      <c r="X135" s="18"/>
      <c r="Y135" s="18"/>
      <c r="Z135" s="18"/>
      <c r="AA135" s="18"/>
      <c r="AB135" s="18"/>
      <c r="AC135" s="18"/>
    </row>
    <row r="136" spans="1:29" ht="14.25" customHeight="1" x14ac:dyDescent="0.3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row>
    <row r="137" spans="1:29" ht="14.25" customHeight="1" x14ac:dyDescent="0.3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row>
    <row r="138" spans="1:29" ht="14.25" customHeight="1" x14ac:dyDescent="0.35">
      <c r="A138" s="285" t="s">
        <v>331</v>
      </c>
      <c r="B138" s="287"/>
      <c r="C138" s="287"/>
      <c r="D138" s="287"/>
      <c r="E138" s="287"/>
      <c r="F138" s="287"/>
      <c r="G138" s="287"/>
      <c r="H138" s="18"/>
      <c r="I138" s="18"/>
      <c r="J138" s="18"/>
      <c r="K138" s="18"/>
      <c r="L138" s="18"/>
      <c r="M138" s="18"/>
      <c r="N138" s="18"/>
      <c r="O138" s="18"/>
      <c r="P138" s="18"/>
      <c r="Q138" s="18"/>
      <c r="R138" s="18"/>
      <c r="S138" s="18"/>
      <c r="T138" s="18"/>
      <c r="U138" s="18"/>
      <c r="V138" s="18"/>
      <c r="W138" s="18"/>
      <c r="X138" s="18"/>
      <c r="Y138" s="18"/>
      <c r="Z138" s="18"/>
      <c r="AA138" s="18"/>
      <c r="AB138" s="18"/>
      <c r="AC138" s="18"/>
    </row>
    <row r="139" spans="1:29" ht="14.25" customHeight="1" x14ac:dyDescent="0.35">
      <c r="A139" s="91" t="s">
        <v>332</v>
      </c>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row>
    <row r="140" spans="1:29" ht="14.25" customHeight="1" x14ac:dyDescent="0.3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row>
    <row r="141" spans="1:29" ht="14.25" customHeight="1" x14ac:dyDescent="0.35">
      <c r="A141" s="106"/>
      <c r="B141" s="177" t="s">
        <v>246</v>
      </c>
      <c r="C141" s="99" t="s">
        <v>273</v>
      </c>
      <c r="D141" s="101" t="s">
        <v>333</v>
      </c>
      <c r="E141" s="336" t="s">
        <v>334</v>
      </c>
      <c r="F141" s="177" t="s">
        <v>335</v>
      </c>
      <c r="G141" s="177" t="s">
        <v>336</v>
      </c>
      <c r="H141" s="18"/>
      <c r="I141" s="18"/>
      <c r="J141" s="18"/>
      <c r="K141" s="18"/>
      <c r="L141" s="18"/>
      <c r="M141" s="18"/>
      <c r="N141" s="18"/>
      <c r="O141" s="18"/>
      <c r="P141" s="18"/>
      <c r="Q141" s="18"/>
      <c r="R141" s="18"/>
      <c r="S141" s="18"/>
      <c r="T141" s="18"/>
      <c r="U141" s="18"/>
      <c r="V141" s="18"/>
      <c r="W141" s="18"/>
      <c r="X141" s="18"/>
      <c r="Y141" s="18"/>
      <c r="Z141" s="18"/>
      <c r="AA141" s="18"/>
      <c r="AB141" s="18"/>
      <c r="AC141" s="18"/>
    </row>
    <row r="142" spans="1:29" ht="14.25" customHeight="1" x14ac:dyDescent="0.35">
      <c r="A142" s="337">
        <v>2022</v>
      </c>
      <c r="B142" s="338">
        <v>2477.8000000000002</v>
      </c>
      <c r="C142" s="339">
        <f t="shared" ref="C142:C154" si="23">B142*$J$78</f>
        <v>7079.4285714285725</v>
      </c>
      <c r="D142" s="340">
        <f t="shared" ref="D142:D155" si="24">C142*$E$77</f>
        <v>1682.6736968228572</v>
      </c>
      <c r="E142" s="300">
        <f t="shared" ref="E142:E155" si="25">C142*$G$79</f>
        <v>6404.0987246879413</v>
      </c>
      <c r="F142" s="300">
        <f t="shared" ref="F142:F155" si="26">E142-D142</f>
        <v>4721.4250278650843</v>
      </c>
      <c r="G142" s="341">
        <f t="shared" ref="G142:G155" si="27">16*F142</f>
        <v>75542.800445841349</v>
      </c>
      <c r="H142" s="18"/>
      <c r="I142" s="18"/>
      <c r="J142" s="18"/>
      <c r="K142" s="18"/>
      <c r="L142" s="18"/>
      <c r="M142" s="18"/>
      <c r="N142" s="18"/>
      <c r="O142" s="18"/>
      <c r="P142" s="18"/>
      <c r="Q142" s="18"/>
      <c r="R142" s="18"/>
      <c r="S142" s="18"/>
      <c r="T142" s="18"/>
      <c r="U142" s="18"/>
      <c r="V142" s="18"/>
      <c r="W142" s="18"/>
      <c r="X142" s="18"/>
      <c r="Y142" s="18"/>
      <c r="Z142" s="18"/>
      <c r="AA142" s="18"/>
      <c r="AB142" s="18"/>
      <c r="AC142" s="18"/>
    </row>
    <row r="143" spans="1:29" ht="14.25" customHeight="1" x14ac:dyDescent="0.35">
      <c r="A143" s="9">
        <v>2023</v>
      </c>
      <c r="B143" s="342">
        <v>2775.1360000000004</v>
      </c>
      <c r="C143" s="13">
        <f t="shared" si="23"/>
        <v>7928.9600000000009</v>
      </c>
      <c r="D143" s="340">
        <f t="shared" si="24"/>
        <v>1884.5945404416</v>
      </c>
      <c r="E143" s="343">
        <f t="shared" si="25"/>
        <v>7172.590571650494</v>
      </c>
      <c r="F143" s="343">
        <f t="shared" si="26"/>
        <v>5287.9960312088942</v>
      </c>
      <c r="G143" s="344">
        <f t="shared" si="27"/>
        <v>84607.936499342308</v>
      </c>
      <c r="H143" s="18"/>
      <c r="I143" s="18"/>
      <c r="J143" s="18"/>
      <c r="K143" s="18"/>
      <c r="L143" s="18"/>
      <c r="M143" s="18"/>
      <c r="N143" s="18"/>
      <c r="O143" s="18"/>
      <c r="P143" s="18"/>
      <c r="Q143" s="18"/>
      <c r="R143" s="18"/>
      <c r="S143" s="18"/>
      <c r="T143" s="18"/>
      <c r="U143" s="18"/>
      <c r="V143" s="18"/>
      <c r="W143" s="18"/>
      <c r="X143" s="18"/>
      <c r="Y143" s="18"/>
      <c r="Z143" s="18"/>
      <c r="AA143" s="18"/>
      <c r="AB143" s="18"/>
      <c r="AC143" s="18"/>
    </row>
    <row r="144" spans="1:29" ht="14.25" customHeight="1" x14ac:dyDescent="0.35">
      <c r="A144" s="9">
        <v>2025</v>
      </c>
      <c r="B144" s="342">
        <v>3330.1632000000004</v>
      </c>
      <c r="C144" s="13">
        <f t="shared" si="23"/>
        <v>9514.7520000000022</v>
      </c>
      <c r="D144" s="340">
        <f t="shared" si="24"/>
        <v>2261.5134485299204</v>
      </c>
      <c r="E144" s="343">
        <f t="shared" si="25"/>
        <v>8607.1086859805928</v>
      </c>
      <c r="F144" s="343">
        <f t="shared" si="26"/>
        <v>6345.5952374506724</v>
      </c>
      <c r="G144" s="344">
        <f t="shared" si="27"/>
        <v>101529.52379921076</v>
      </c>
      <c r="H144" s="18"/>
      <c r="I144" s="18"/>
      <c r="J144" s="18"/>
      <c r="K144" s="18"/>
      <c r="L144" s="18"/>
      <c r="M144" s="18"/>
      <c r="N144" s="18"/>
      <c r="O144" s="18"/>
      <c r="P144" s="18"/>
      <c r="Q144" s="18"/>
      <c r="R144" s="18"/>
      <c r="S144" s="18"/>
      <c r="T144" s="18"/>
      <c r="U144" s="18"/>
      <c r="V144" s="18"/>
      <c r="W144" s="18"/>
      <c r="X144" s="18"/>
      <c r="Y144" s="18"/>
      <c r="Z144" s="18"/>
      <c r="AA144" s="18"/>
      <c r="AB144" s="18"/>
      <c r="AC144" s="18"/>
    </row>
    <row r="145" spans="1:29" ht="14.25" customHeight="1" x14ac:dyDescent="0.35">
      <c r="A145" s="345">
        <v>2026</v>
      </c>
      <c r="B145" s="346">
        <v>3663.1795200000006</v>
      </c>
      <c r="C145" s="347">
        <f t="shared" si="23"/>
        <v>10466.227200000001</v>
      </c>
      <c r="D145" s="348">
        <f t="shared" si="24"/>
        <v>2487.6647933829122</v>
      </c>
      <c r="E145" s="349">
        <f t="shared" si="25"/>
        <v>9467.8195545786512</v>
      </c>
      <c r="F145" s="349">
        <f t="shared" si="26"/>
        <v>6980.1547611957394</v>
      </c>
      <c r="G145" s="350">
        <f t="shared" si="27"/>
        <v>111682.47617913183</v>
      </c>
      <c r="H145" s="18"/>
      <c r="I145" s="18"/>
      <c r="J145" s="18"/>
      <c r="K145" s="18"/>
      <c r="L145" s="18"/>
      <c r="M145" s="18"/>
      <c r="N145" s="18"/>
      <c r="O145" s="18"/>
      <c r="P145" s="18"/>
      <c r="Q145" s="18"/>
      <c r="R145" s="18"/>
      <c r="S145" s="18"/>
      <c r="T145" s="18"/>
      <c r="U145" s="18"/>
      <c r="V145" s="18"/>
      <c r="W145" s="18"/>
      <c r="X145" s="18"/>
      <c r="Y145" s="18"/>
      <c r="Z145" s="18"/>
      <c r="AA145" s="18"/>
      <c r="AB145" s="18"/>
      <c r="AC145" s="18"/>
    </row>
    <row r="146" spans="1:29" ht="14.25" customHeight="1" x14ac:dyDescent="0.35">
      <c r="A146" s="345">
        <v>2027</v>
      </c>
      <c r="B146" s="346">
        <v>4066.1292672000009</v>
      </c>
      <c r="C146" s="347">
        <f t="shared" si="23"/>
        <v>11617.512192000002</v>
      </c>
      <c r="D146" s="348">
        <f t="shared" si="24"/>
        <v>2761.3079206550324</v>
      </c>
      <c r="E146" s="349">
        <f t="shared" si="25"/>
        <v>10509.279705582303</v>
      </c>
      <c r="F146" s="349">
        <f t="shared" si="26"/>
        <v>7747.9717849272711</v>
      </c>
      <c r="G146" s="350">
        <f t="shared" si="27"/>
        <v>123967.54855883634</v>
      </c>
      <c r="H146" s="18"/>
      <c r="I146" s="18"/>
      <c r="J146" s="18"/>
      <c r="K146" s="18"/>
      <c r="L146" s="18"/>
      <c r="M146" s="18"/>
      <c r="N146" s="18"/>
      <c r="O146" s="18"/>
      <c r="P146" s="18"/>
      <c r="Q146" s="18"/>
      <c r="R146" s="18"/>
      <c r="S146" s="18"/>
      <c r="T146" s="18"/>
      <c r="U146" s="18"/>
      <c r="V146" s="18"/>
      <c r="W146" s="18"/>
      <c r="X146" s="18"/>
      <c r="Y146" s="18"/>
      <c r="Z146" s="18"/>
      <c r="AA146" s="18"/>
      <c r="AB146" s="18"/>
      <c r="AC146" s="18"/>
    </row>
    <row r="147" spans="1:29" ht="14.25" customHeight="1" x14ac:dyDescent="0.35">
      <c r="A147" s="345">
        <v>2028</v>
      </c>
      <c r="B147" s="346">
        <v>4554.0647792640011</v>
      </c>
      <c r="C147" s="347">
        <f t="shared" si="23"/>
        <v>13011.613655040004</v>
      </c>
      <c r="D147" s="348">
        <f t="shared" si="24"/>
        <v>3092.664871133637</v>
      </c>
      <c r="E147" s="349">
        <f t="shared" si="25"/>
        <v>11770.393270252182</v>
      </c>
      <c r="F147" s="349">
        <f t="shared" si="26"/>
        <v>8677.728399118545</v>
      </c>
      <c r="G147" s="350">
        <f t="shared" si="27"/>
        <v>138843.65438589672</v>
      </c>
      <c r="H147" s="18"/>
      <c r="I147" s="18"/>
      <c r="J147" s="18"/>
      <c r="K147" s="18"/>
      <c r="L147" s="18"/>
      <c r="M147" s="18"/>
      <c r="N147" s="18"/>
      <c r="O147" s="18"/>
      <c r="P147" s="18"/>
      <c r="Q147" s="18"/>
      <c r="R147" s="18"/>
      <c r="S147" s="18"/>
      <c r="T147" s="18"/>
      <c r="U147" s="18"/>
      <c r="V147" s="18"/>
      <c r="W147" s="18"/>
      <c r="X147" s="18"/>
      <c r="Y147" s="18"/>
      <c r="Z147" s="18"/>
      <c r="AA147" s="18"/>
      <c r="AB147" s="18"/>
      <c r="AC147" s="18"/>
    </row>
    <row r="148" spans="1:29" ht="14.25" customHeight="1" x14ac:dyDescent="0.35">
      <c r="A148" s="345">
        <v>2029</v>
      </c>
      <c r="B148" s="346">
        <v>5100.5525527756818</v>
      </c>
      <c r="C148" s="347">
        <f t="shared" si="23"/>
        <v>14573.007293644805</v>
      </c>
      <c r="D148" s="348">
        <f t="shared" si="24"/>
        <v>3463.7846556696732</v>
      </c>
      <c r="E148" s="349">
        <f t="shared" si="25"/>
        <v>13182.840462682445</v>
      </c>
      <c r="F148" s="349">
        <f t="shared" si="26"/>
        <v>9719.0558070127718</v>
      </c>
      <c r="G148" s="350">
        <f t="shared" si="27"/>
        <v>155504.89291220435</v>
      </c>
      <c r="H148" s="18"/>
      <c r="I148" s="18"/>
      <c r="J148" s="202"/>
      <c r="K148" s="18"/>
      <c r="L148" s="18"/>
      <c r="M148" s="18"/>
      <c r="N148" s="18"/>
      <c r="O148" s="18"/>
      <c r="P148" s="18"/>
      <c r="Q148" s="18"/>
      <c r="R148" s="18"/>
      <c r="S148" s="18"/>
      <c r="T148" s="18"/>
      <c r="U148" s="18"/>
      <c r="V148" s="18"/>
      <c r="W148" s="18"/>
      <c r="X148" s="18"/>
      <c r="Y148" s="18"/>
      <c r="Z148" s="18"/>
      <c r="AA148" s="18"/>
      <c r="AB148" s="18"/>
      <c r="AC148" s="18"/>
    </row>
    <row r="149" spans="1:29" ht="14.25" customHeight="1" x14ac:dyDescent="0.35">
      <c r="A149" s="345">
        <v>2030</v>
      </c>
      <c r="B149" s="346">
        <v>5610.6078080532507</v>
      </c>
      <c r="C149" s="347">
        <f t="shared" si="23"/>
        <v>16030.308023009287</v>
      </c>
      <c r="D149" s="348">
        <f t="shared" si="24"/>
        <v>3810.163121236641</v>
      </c>
      <c r="E149" s="349">
        <f t="shared" si="25"/>
        <v>14501.12450895069</v>
      </c>
      <c r="F149" s="349">
        <f t="shared" si="26"/>
        <v>10690.961387714049</v>
      </c>
      <c r="G149" s="350">
        <f t="shared" si="27"/>
        <v>171055.38220342479</v>
      </c>
      <c r="H149" s="313">
        <f>SUM(G145:G149)</f>
        <v>701053.95423949405</v>
      </c>
      <c r="I149" s="18"/>
      <c r="J149" s="202"/>
      <c r="K149" s="18"/>
      <c r="L149" s="18"/>
      <c r="M149" s="18"/>
      <c r="N149" s="18"/>
      <c r="O149" s="18"/>
      <c r="P149" s="18"/>
      <c r="Q149" s="18"/>
      <c r="R149" s="18"/>
      <c r="S149" s="18"/>
      <c r="T149" s="18"/>
      <c r="U149" s="18"/>
      <c r="V149" s="18"/>
      <c r="W149" s="18"/>
      <c r="X149" s="18"/>
      <c r="Y149" s="18"/>
      <c r="Z149" s="18"/>
      <c r="AA149" s="18"/>
      <c r="AB149" s="18"/>
      <c r="AC149" s="18"/>
    </row>
    <row r="150" spans="1:29" ht="14.25" customHeight="1" x14ac:dyDescent="0.35">
      <c r="A150" s="345">
        <v>2031</v>
      </c>
      <c r="B150" s="346">
        <v>5891.1381984559139</v>
      </c>
      <c r="C150" s="347">
        <f t="shared" si="23"/>
        <v>16831.823424159753</v>
      </c>
      <c r="D150" s="348">
        <f t="shared" si="24"/>
        <v>4000.6712772984733</v>
      </c>
      <c r="E150" s="349">
        <f t="shared" si="25"/>
        <v>15226.180734398225</v>
      </c>
      <c r="F150" s="349">
        <f t="shared" si="26"/>
        <v>11225.509457099752</v>
      </c>
      <c r="G150" s="350">
        <f t="shared" si="27"/>
        <v>179608.15131359603</v>
      </c>
      <c r="H150" s="18"/>
      <c r="I150" s="18"/>
      <c r="J150" s="202"/>
      <c r="K150" s="18"/>
      <c r="L150" s="18"/>
      <c r="M150" s="18"/>
      <c r="N150" s="18"/>
      <c r="O150" s="18"/>
      <c r="P150" s="18"/>
      <c r="Q150" s="18"/>
      <c r="R150" s="18"/>
      <c r="S150" s="18"/>
      <c r="T150" s="18"/>
      <c r="U150" s="18"/>
      <c r="V150" s="18"/>
      <c r="W150" s="18"/>
      <c r="X150" s="18"/>
      <c r="Y150" s="18"/>
      <c r="Z150" s="18"/>
      <c r="AA150" s="18"/>
      <c r="AB150" s="18"/>
      <c r="AC150" s="18"/>
    </row>
    <row r="151" spans="1:29" ht="14.25" customHeight="1" x14ac:dyDescent="0.35">
      <c r="A151" s="345">
        <v>2032</v>
      </c>
      <c r="B151" s="346">
        <v>6185.6951083787098</v>
      </c>
      <c r="C151" s="347">
        <f t="shared" si="23"/>
        <v>17673.414595367743</v>
      </c>
      <c r="D151" s="348">
        <f t="shared" si="24"/>
        <v>4200.7048411633978</v>
      </c>
      <c r="E151" s="349">
        <f t="shared" si="25"/>
        <v>15987.48977111814</v>
      </c>
      <c r="F151" s="349">
        <f t="shared" si="26"/>
        <v>11786.784929954742</v>
      </c>
      <c r="G151" s="350">
        <f t="shared" si="27"/>
        <v>188588.55887927586</v>
      </c>
      <c r="H151" s="18"/>
      <c r="I151" s="18"/>
      <c r="J151" s="351">
        <f>B153-B154</f>
        <v>-340.98644284937654</v>
      </c>
      <c r="K151" s="18"/>
      <c r="L151" s="18"/>
      <c r="M151" s="18"/>
      <c r="N151" s="18"/>
      <c r="O151" s="18"/>
      <c r="P151" s="18"/>
      <c r="Q151" s="18"/>
      <c r="R151" s="18"/>
      <c r="S151" s="18"/>
      <c r="T151" s="18"/>
      <c r="U151" s="18"/>
      <c r="V151" s="18"/>
      <c r="W151" s="18"/>
      <c r="X151" s="18"/>
      <c r="Y151" s="18"/>
      <c r="Z151" s="18"/>
      <c r="AA151" s="18"/>
      <c r="AB151" s="18"/>
      <c r="AC151" s="18"/>
    </row>
    <row r="152" spans="1:29" ht="14.25" customHeight="1" x14ac:dyDescent="0.35">
      <c r="A152" s="345">
        <v>2033</v>
      </c>
      <c r="B152" s="346">
        <v>6494.9798637976455</v>
      </c>
      <c r="C152" s="347">
        <f t="shared" si="23"/>
        <v>18557.08532513613</v>
      </c>
      <c r="D152" s="348">
        <f t="shared" si="24"/>
        <v>4410.7400832215671</v>
      </c>
      <c r="E152" s="349">
        <f t="shared" si="25"/>
        <v>16786.864259674046</v>
      </c>
      <c r="F152" s="349">
        <f t="shared" si="26"/>
        <v>12376.124176452478</v>
      </c>
      <c r="G152" s="350">
        <f t="shared" si="27"/>
        <v>198017.98682323965</v>
      </c>
      <c r="H152" s="18"/>
      <c r="I152" s="18"/>
      <c r="J152" s="202">
        <f>J151/B153</f>
        <v>-5.0000000000000017E-2</v>
      </c>
      <c r="K152" s="18"/>
      <c r="L152" s="18"/>
      <c r="M152" s="18"/>
      <c r="N152" s="18"/>
      <c r="O152" s="18"/>
      <c r="P152" s="18"/>
      <c r="Q152" s="18"/>
      <c r="R152" s="18"/>
      <c r="S152" s="18"/>
      <c r="T152" s="18"/>
      <c r="U152" s="18"/>
      <c r="V152" s="18"/>
      <c r="W152" s="18"/>
      <c r="X152" s="18"/>
      <c r="Y152" s="18"/>
      <c r="Z152" s="18"/>
      <c r="AA152" s="18"/>
      <c r="AB152" s="18"/>
      <c r="AC152" s="18"/>
    </row>
    <row r="153" spans="1:29" ht="14.25" customHeight="1" x14ac:dyDescent="0.35">
      <c r="A153" s="345">
        <v>2034</v>
      </c>
      <c r="B153" s="346">
        <v>6819.7288569875282</v>
      </c>
      <c r="C153" s="347">
        <f t="shared" si="23"/>
        <v>19484.939591392937</v>
      </c>
      <c r="D153" s="348">
        <f t="shared" si="24"/>
        <v>4631.2770873826457</v>
      </c>
      <c r="E153" s="349">
        <f t="shared" si="25"/>
        <v>17626.207472657748</v>
      </c>
      <c r="F153" s="349">
        <f t="shared" si="26"/>
        <v>12994.930385275104</v>
      </c>
      <c r="G153" s="350">
        <f t="shared" si="27"/>
        <v>207918.88616440166</v>
      </c>
      <c r="H153" s="18"/>
      <c r="I153" s="18"/>
      <c r="J153" s="202"/>
      <c r="K153" s="18"/>
      <c r="L153" s="18"/>
      <c r="M153" s="18"/>
      <c r="N153" s="18"/>
      <c r="O153" s="18"/>
      <c r="P153" s="18"/>
      <c r="Q153" s="18"/>
      <c r="R153" s="18"/>
      <c r="S153" s="18"/>
      <c r="T153" s="18"/>
      <c r="U153" s="18"/>
      <c r="V153" s="18"/>
      <c r="W153" s="18"/>
      <c r="X153" s="18"/>
      <c r="Y153" s="18"/>
      <c r="Z153" s="18"/>
      <c r="AA153" s="18"/>
      <c r="AB153" s="18"/>
      <c r="AC153" s="18"/>
    </row>
    <row r="154" spans="1:29" ht="14.25" customHeight="1" x14ac:dyDescent="0.35">
      <c r="A154" s="345">
        <v>2035</v>
      </c>
      <c r="B154" s="352">
        <v>7160.7152998369047</v>
      </c>
      <c r="C154" s="347">
        <f t="shared" si="23"/>
        <v>20459.186570962585</v>
      </c>
      <c r="D154" s="348">
        <f t="shared" si="24"/>
        <v>4862.8409417517787</v>
      </c>
      <c r="E154" s="349">
        <f t="shared" si="25"/>
        <v>18507.517846290637</v>
      </c>
      <c r="F154" s="349">
        <f t="shared" si="26"/>
        <v>13644.676904538857</v>
      </c>
      <c r="G154" s="350">
        <f t="shared" si="27"/>
        <v>218314.83047262172</v>
      </c>
      <c r="H154" s="18"/>
      <c r="I154" s="18"/>
      <c r="J154" s="202"/>
      <c r="K154" s="18"/>
      <c r="L154" s="18"/>
      <c r="M154" s="18"/>
      <c r="N154" s="18"/>
      <c r="O154" s="18"/>
      <c r="P154" s="18"/>
      <c r="Q154" s="18"/>
      <c r="R154" s="18"/>
      <c r="S154" s="18"/>
      <c r="T154" s="18"/>
      <c r="U154" s="18"/>
      <c r="V154" s="18"/>
      <c r="W154" s="18"/>
      <c r="X154" s="18"/>
      <c r="Y154" s="18"/>
      <c r="Z154" s="18"/>
      <c r="AA154" s="18"/>
      <c r="AB154" s="18"/>
      <c r="AC154" s="18"/>
    </row>
    <row r="155" spans="1:29" ht="14.25" customHeight="1" x14ac:dyDescent="0.35">
      <c r="A155" s="353">
        <v>2036</v>
      </c>
      <c r="B155" s="354">
        <f>B154*1.05</f>
        <v>7518.7510648287498</v>
      </c>
      <c r="C155" s="355">
        <f>B155*J78</f>
        <v>21482.145899510713</v>
      </c>
      <c r="D155" s="348">
        <f t="shared" si="24"/>
        <v>5105.982988839367</v>
      </c>
      <c r="E155" s="354">
        <f t="shared" si="25"/>
        <v>19432.893738605169</v>
      </c>
      <c r="F155" s="354">
        <f t="shared" si="26"/>
        <v>14326.910749765802</v>
      </c>
      <c r="G155" s="356">
        <f t="shared" si="27"/>
        <v>229230.57199625284</v>
      </c>
      <c r="H155" s="313">
        <f>SUM(G145:G155)</f>
        <v>1922732.9398888818</v>
      </c>
      <c r="I155" s="18"/>
      <c r="J155" s="202"/>
      <c r="K155" s="18"/>
      <c r="L155" s="18"/>
      <c r="M155" s="18"/>
      <c r="N155" s="18"/>
      <c r="O155" s="18"/>
      <c r="P155" s="18"/>
      <c r="Q155" s="18"/>
      <c r="R155" s="18"/>
      <c r="S155" s="18"/>
      <c r="T155" s="18"/>
      <c r="U155" s="18"/>
      <c r="V155" s="18"/>
      <c r="W155" s="18"/>
      <c r="X155" s="18"/>
      <c r="Y155" s="18"/>
      <c r="Z155" s="18"/>
      <c r="AA155" s="18"/>
      <c r="AB155" s="18"/>
      <c r="AC155" s="18"/>
    </row>
    <row r="156" spans="1:29" ht="14.25" customHeight="1" x14ac:dyDescent="0.3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row>
    <row r="157" spans="1:29" ht="14.25" customHeight="1" x14ac:dyDescent="0.35">
      <c r="A157" s="18" t="s">
        <v>337</v>
      </c>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row>
    <row r="158" spans="1:29" ht="14.25" customHeight="1" x14ac:dyDescent="0.3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c r="AC158" s="18"/>
    </row>
    <row r="159" spans="1:29" ht="14.25" customHeight="1" x14ac:dyDescent="0.35"/>
    <row r="160" spans="1:29"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4">
    <mergeCell ref="B13:G13"/>
    <mergeCell ref="T13:W13"/>
    <mergeCell ref="H14:J14"/>
    <mergeCell ref="H60:K60"/>
  </mergeCells>
  <hyperlinks>
    <hyperlink ref="A3" r:id="rId1" xr:uid="{00000000-0004-0000-0300-000000000000}"/>
    <hyperlink ref="R15" r:id="rId2" location=":~:text=In%202021%2C%20the%20number%20of%20U.S.%20registered%20light-duty,in%202012%2C%20according%20to%20our%20Monthly%20Energy%20Review." xr:uid="{00000000-0004-0000-0300-000001000000}"/>
    <hyperlink ref="M22" r:id="rId3" xr:uid="{00000000-0004-0000-0300-000002000000}"/>
    <hyperlink ref="J31" r:id="rId4" location=":~:text=In%20numbers%2C%201%25%20translates%20to%202.7%20million%20new,million%20to%2042%20million%20EVs%20on%20U.S.%20roads." xr:uid="{00000000-0004-0000-0300-000003000000}"/>
    <hyperlink ref="E51" r:id="rId5" xr:uid="{00000000-0004-0000-0300-000004000000}"/>
    <hyperlink ref="D75" r:id="rId6" xr:uid="{00000000-0004-0000-0300-000005000000}"/>
    <hyperlink ref="T87" r:id="rId7" xr:uid="{00000000-0004-0000-0300-000006000000}"/>
    <hyperlink ref="Q89" r:id="rId8" location=":~:text=A%20typical%20passenger%20vehicle%20emits%20about%204.6%20metric,gallon%20and%20drives%20around%2011%2C500%20miles%20per%20year." xr:uid="{00000000-0004-0000-0300-000007000000}"/>
    <hyperlink ref="O94" r:id="rId9" xr:uid="{00000000-0004-0000-0300-000008000000}"/>
  </hyperlinks>
  <pageMargins left="0.7" right="0.7" top="0.75" bottom="0.75" header="0" footer="0"/>
  <pageSetup orientation="portrait"/>
  <drawing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000"/>
  <sheetViews>
    <sheetView workbookViewId="0"/>
  </sheetViews>
  <sheetFormatPr defaultColWidth="14.453125" defaultRowHeight="15" customHeight="1" x14ac:dyDescent="0.35"/>
  <cols>
    <col min="1" max="1" width="29.08984375" customWidth="1"/>
    <col min="2" max="2" width="32.453125" customWidth="1"/>
    <col min="3" max="3" width="17.453125" customWidth="1"/>
    <col min="4" max="5" width="8.7265625" customWidth="1"/>
    <col min="6" max="6" width="12.08984375" customWidth="1"/>
    <col min="7" max="7" width="8.7265625" customWidth="1"/>
    <col min="8" max="8" width="22.08984375" customWidth="1"/>
    <col min="9" max="9" width="8.7265625" customWidth="1"/>
    <col min="10" max="10" width="10.7265625" customWidth="1"/>
    <col min="11" max="11" width="18.26953125" customWidth="1"/>
    <col min="12" max="26" width="8.7265625" customWidth="1"/>
  </cols>
  <sheetData>
    <row r="1" spans="1:20" ht="14.25" customHeight="1" x14ac:dyDescent="0.35"/>
    <row r="2" spans="1:20" ht="14.25" customHeight="1" x14ac:dyDescent="0.35">
      <c r="A2" s="145" t="s">
        <v>338</v>
      </c>
      <c r="B2" s="146"/>
      <c r="C2" s="146"/>
      <c r="D2" s="357" t="s">
        <v>339</v>
      </c>
      <c r="E2" s="146"/>
      <c r="F2" s="146"/>
      <c r="G2" s="146"/>
      <c r="H2" s="146"/>
      <c r="I2" s="146"/>
      <c r="J2" s="358" t="s">
        <v>340</v>
      </c>
      <c r="K2" s="358"/>
      <c r="L2" s="359"/>
    </row>
    <row r="3" spans="1:20" ht="14.25" customHeight="1" x14ac:dyDescent="0.35">
      <c r="A3" s="38" t="s">
        <v>341</v>
      </c>
      <c r="B3" s="18"/>
      <c r="C3" s="18" t="s">
        <v>342</v>
      </c>
      <c r="D3" s="18"/>
      <c r="E3" s="18"/>
      <c r="F3" s="18"/>
      <c r="G3" s="18"/>
      <c r="H3" s="18"/>
      <c r="I3" s="18"/>
      <c r="J3" s="18"/>
      <c r="K3" s="18"/>
      <c r="L3" s="39"/>
    </row>
    <row r="4" spans="1:20" ht="14.25" customHeight="1" x14ac:dyDescent="0.35">
      <c r="A4" s="360">
        <f>66/23409</f>
        <v>2.8194284249647571E-3</v>
      </c>
      <c r="B4" s="18"/>
      <c r="C4" s="18" t="s">
        <v>343</v>
      </c>
      <c r="D4" s="18">
        <v>28</v>
      </c>
      <c r="E4" s="18"/>
      <c r="F4" s="18"/>
      <c r="G4" s="18"/>
      <c r="H4" s="18"/>
      <c r="I4" s="18"/>
      <c r="J4" s="18"/>
      <c r="K4" s="18"/>
      <c r="L4" s="39"/>
    </row>
    <row r="5" spans="1:20" ht="14.25" customHeight="1" x14ac:dyDescent="0.35">
      <c r="A5" s="38"/>
      <c r="B5" s="18"/>
      <c r="C5" s="18" t="s">
        <v>344</v>
      </c>
      <c r="D5" s="18">
        <v>265</v>
      </c>
      <c r="E5" s="18"/>
      <c r="F5" s="18"/>
      <c r="G5" s="18"/>
      <c r="H5" s="18"/>
      <c r="I5" s="18"/>
      <c r="J5" s="18"/>
      <c r="K5" s="18"/>
      <c r="L5" s="39"/>
    </row>
    <row r="6" spans="1:20" ht="14.25" customHeight="1" x14ac:dyDescent="0.35">
      <c r="A6" s="74" t="s">
        <v>345</v>
      </c>
      <c r="B6" s="75"/>
      <c r="C6" s="75"/>
      <c r="D6" s="75"/>
      <c r="E6" s="75"/>
      <c r="F6" s="75"/>
      <c r="G6" s="75"/>
      <c r="H6" s="75"/>
      <c r="I6" s="75"/>
      <c r="J6" s="75"/>
      <c r="K6" s="75"/>
      <c r="L6" s="76"/>
    </row>
    <row r="7" spans="1:20" ht="14.25" customHeight="1" x14ac:dyDescent="0.35"/>
    <row r="8" spans="1:20" ht="14.25" customHeight="1" x14ac:dyDescent="0.35">
      <c r="A8" s="145" t="s">
        <v>346</v>
      </c>
      <c r="B8" s="358"/>
      <c r="C8" s="359"/>
      <c r="F8" s="78" t="s">
        <v>347</v>
      </c>
    </row>
    <row r="9" spans="1:20" ht="14.25" customHeight="1" x14ac:dyDescent="0.35">
      <c r="A9" s="361" t="s">
        <v>348</v>
      </c>
      <c r="B9" s="21" t="s">
        <v>349</v>
      </c>
      <c r="C9" s="362" t="s">
        <v>350</v>
      </c>
      <c r="D9" s="21"/>
      <c r="E9" s="21"/>
      <c r="F9" s="21"/>
      <c r="G9" s="21"/>
    </row>
    <row r="10" spans="1:20" ht="14.25" customHeight="1" x14ac:dyDescent="0.35">
      <c r="A10" s="361">
        <v>5.4440000000000002E-2</v>
      </c>
      <c r="B10" s="21">
        <v>1.0300000000000001E-3</v>
      </c>
      <c r="C10" s="362">
        <v>1E-4</v>
      </c>
      <c r="D10" s="21"/>
      <c r="E10" s="21"/>
      <c r="F10" s="21"/>
      <c r="G10" s="21"/>
    </row>
    <row r="11" spans="1:20" ht="14.25" customHeight="1" x14ac:dyDescent="0.35">
      <c r="A11" s="361"/>
      <c r="B11" s="21"/>
      <c r="C11" s="362"/>
      <c r="D11" s="21"/>
      <c r="E11" s="21"/>
      <c r="F11" s="21"/>
      <c r="G11" s="21"/>
    </row>
    <row r="12" spans="1:20" ht="14.25" customHeight="1" x14ac:dyDescent="0.35">
      <c r="A12" s="363" t="s">
        <v>351</v>
      </c>
      <c r="B12" s="364"/>
      <c r="C12" s="365"/>
      <c r="H12" s="366" t="s">
        <v>352</v>
      </c>
      <c r="I12" s="367"/>
      <c r="J12" s="368"/>
    </row>
    <row r="13" spans="1:20" ht="14.25" customHeight="1" x14ac:dyDescent="0.35">
      <c r="A13" s="369" t="s">
        <v>353</v>
      </c>
      <c r="B13" s="370" t="s">
        <v>349</v>
      </c>
      <c r="C13" s="371" t="s">
        <v>350</v>
      </c>
      <c r="H13" s="372">
        <f>K33</f>
        <v>13.265347245016896</v>
      </c>
      <c r="I13" s="331"/>
      <c r="J13" s="373"/>
    </row>
    <row r="14" spans="1:20" ht="14.25" customHeight="1" x14ac:dyDescent="0.35">
      <c r="A14" s="374">
        <f>A10*B22</f>
        <v>5.444</v>
      </c>
      <c r="B14" s="370">
        <f>B10*B22</f>
        <v>0.10300000000000001</v>
      </c>
      <c r="C14" s="371">
        <f>C10*B22</f>
        <v>0.01</v>
      </c>
    </row>
    <row r="15" spans="1:20" ht="14.25" customHeight="1" x14ac:dyDescent="0.35">
      <c r="A15" s="38"/>
      <c r="B15" s="18"/>
      <c r="C15" s="39"/>
    </row>
    <row r="16" spans="1:20" ht="14.25" customHeight="1" x14ac:dyDescent="0.35">
      <c r="A16" s="363" t="s">
        <v>354</v>
      </c>
      <c r="B16" s="375"/>
      <c r="C16" s="376"/>
      <c r="Q16" s="18"/>
      <c r="R16" s="18"/>
      <c r="S16" s="18"/>
      <c r="T16" s="18"/>
    </row>
    <row r="17" spans="1:20" ht="14.25" customHeight="1" x14ac:dyDescent="0.35">
      <c r="A17" s="369" t="s">
        <v>355</v>
      </c>
      <c r="B17" s="370" t="s">
        <v>356</v>
      </c>
      <c r="C17" s="371" t="s">
        <v>357</v>
      </c>
      <c r="F17" s="78" t="s">
        <v>358</v>
      </c>
      <c r="Q17" s="18"/>
      <c r="R17" s="18"/>
      <c r="S17" s="18"/>
      <c r="T17" s="18"/>
    </row>
    <row r="18" spans="1:20" ht="14.25" customHeight="1" x14ac:dyDescent="0.35">
      <c r="A18" s="377">
        <v>12.096</v>
      </c>
      <c r="B18" s="22">
        <f>G23</f>
        <v>2.1424878522837705E-2</v>
      </c>
      <c r="C18" s="378">
        <f>G24</f>
        <v>2.1424878522837707E-3</v>
      </c>
      <c r="Q18" s="18"/>
      <c r="R18" s="18"/>
      <c r="S18" s="18"/>
      <c r="T18" s="18"/>
    </row>
    <row r="19" spans="1:20" ht="14.25" customHeight="1" x14ac:dyDescent="0.35">
      <c r="A19" s="74">
        <f>A18</f>
        <v>12.096</v>
      </c>
      <c r="B19" s="379">
        <f>B18*A27</f>
        <v>2.1485284434346309E-2</v>
      </c>
      <c r="C19" s="76">
        <f>C18</f>
        <v>2.1424878522837707E-3</v>
      </c>
      <c r="Q19" s="18"/>
      <c r="R19" s="18"/>
      <c r="S19" s="18"/>
      <c r="T19" s="18"/>
    </row>
    <row r="20" spans="1:20" ht="14.25" customHeight="1" x14ac:dyDescent="0.35">
      <c r="Q20" s="18"/>
      <c r="R20" s="18"/>
      <c r="S20" s="202">
        <f>0.66*1.03</f>
        <v>0.67980000000000007</v>
      </c>
      <c r="T20" s="18"/>
    </row>
    <row r="21" spans="1:20" ht="14.25" customHeight="1" x14ac:dyDescent="0.35">
      <c r="A21" s="145" t="s">
        <v>359</v>
      </c>
      <c r="B21" s="146"/>
      <c r="C21" s="146"/>
      <c r="D21" s="146"/>
      <c r="E21" s="146"/>
      <c r="F21" s="146"/>
      <c r="G21" s="144"/>
      <c r="Q21" s="18"/>
      <c r="R21" s="18"/>
      <c r="S21" s="18"/>
      <c r="T21" s="18"/>
    </row>
    <row r="22" spans="1:20" ht="14.25" customHeight="1" x14ac:dyDescent="0.35">
      <c r="A22" s="38" t="s">
        <v>360</v>
      </c>
      <c r="B22" s="18">
        <v>100</v>
      </c>
      <c r="C22" s="18" t="s">
        <v>361</v>
      </c>
      <c r="D22" s="66"/>
      <c r="E22" s="67" t="s">
        <v>362</v>
      </c>
      <c r="F22" s="288" t="s">
        <v>363</v>
      </c>
      <c r="G22" s="68" t="s">
        <v>364</v>
      </c>
    </row>
    <row r="23" spans="1:20" ht="14.25" customHeight="1" x14ac:dyDescent="0.35">
      <c r="A23" s="38" t="s">
        <v>365</v>
      </c>
      <c r="B23" s="18">
        <v>2.2046226199999999</v>
      </c>
      <c r="C23" s="18"/>
      <c r="D23" s="38" t="s">
        <v>116</v>
      </c>
      <c r="E23" s="18">
        <v>1</v>
      </c>
      <c r="F23" s="18">
        <f>E23*B33</f>
        <v>9.7181729834791053</v>
      </c>
      <c r="G23" s="39">
        <f>F23*B24</f>
        <v>2.1424878522837705E-2</v>
      </c>
    </row>
    <row r="24" spans="1:20" ht="14.25" customHeight="1" x14ac:dyDescent="0.35">
      <c r="A24" s="38" t="s">
        <v>366</v>
      </c>
      <c r="B24" s="18">
        <v>2.20462E-3</v>
      </c>
      <c r="C24" s="18"/>
      <c r="D24" s="74" t="s">
        <v>117</v>
      </c>
      <c r="E24" s="75">
        <v>0.1</v>
      </c>
      <c r="F24" s="75">
        <f>E24*B33</f>
        <v>0.97181729834791053</v>
      </c>
      <c r="G24" s="76">
        <f>F24*B24</f>
        <v>2.1424878522837707E-3</v>
      </c>
    </row>
    <row r="25" spans="1:20" ht="14.25" customHeight="1" x14ac:dyDescent="0.35">
      <c r="A25" s="38"/>
      <c r="B25" s="18"/>
      <c r="C25" s="18"/>
      <c r="D25" s="18"/>
      <c r="E25" s="18"/>
      <c r="F25" s="18"/>
      <c r="G25" s="39"/>
    </row>
    <row r="26" spans="1:20" ht="14.25" customHeight="1" x14ac:dyDescent="0.35">
      <c r="A26" s="380" t="s">
        <v>367</v>
      </c>
      <c r="B26" s="18"/>
      <c r="C26" s="18"/>
      <c r="D26" s="18"/>
      <c r="E26" s="18"/>
      <c r="F26" s="18"/>
      <c r="G26" s="39"/>
    </row>
    <row r="27" spans="1:20" ht="14.25" customHeight="1" x14ac:dyDescent="0.35">
      <c r="A27" s="381">
        <v>1.0028194284249601</v>
      </c>
      <c r="B27" s="18"/>
      <c r="C27" s="18"/>
      <c r="D27" s="18"/>
      <c r="E27" s="18"/>
      <c r="F27" s="18"/>
      <c r="G27" s="39"/>
    </row>
    <row r="28" spans="1:20" ht="14.25" customHeight="1" x14ac:dyDescent="0.35">
      <c r="A28" s="74"/>
      <c r="B28" s="75"/>
      <c r="C28" s="75" t="s">
        <v>368</v>
      </c>
      <c r="D28" s="75"/>
      <c r="E28" s="75"/>
      <c r="F28" s="75"/>
      <c r="G28" s="76"/>
      <c r="J28" s="546" t="s">
        <v>114</v>
      </c>
      <c r="K28" s="533"/>
      <c r="L28" s="535"/>
    </row>
    <row r="29" spans="1:20" ht="14.25" customHeight="1" x14ac:dyDescent="0.35">
      <c r="A29" s="38"/>
      <c r="B29" s="18"/>
      <c r="C29" s="18"/>
      <c r="D29" s="18"/>
      <c r="E29" s="18"/>
      <c r="F29" s="18"/>
      <c r="G29" s="39"/>
      <c r="J29" s="382" t="s">
        <v>115</v>
      </c>
      <c r="K29" s="383" t="s">
        <v>116</v>
      </c>
      <c r="L29" s="384" t="s">
        <v>117</v>
      </c>
    </row>
    <row r="30" spans="1:20" ht="14.25" customHeight="1" x14ac:dyDescent="0.35">
      <c r="A30" s="385" t="s">
        <v>369</v>
      </c>
      <c r="B30" s="386">
        <v>1.0289999999999999</v>
      </c>
      <c r="C30" s="239" t="s">
        <v>370</v>
      </c>
      <c r="D30" s="239"/>
      <c r="E30" s="239"/>
      <c r="F30" s="239"/>
      <c r="G30" s="117"/>
      <c r="J30" s="387">
        <v>1</v>
      </c>
      <c r="K30" s="388">
        <v>28</v>
      </c>
      <c r="L30" s="389">
        <v>265</v>
      </c>
    </row>
    <row r="31" spans="1:20" ht="14.25" customHeight="1" x14ac:dyDescent="0.35">
      <c r="A31" s="390" t="s">
        <v>371</v>
      </c>
      <c r="B31" s="391">
        <f>1/B30</f>
        <v>0.97181729834791064</v>
      </c>
      <c r="C31" s="18" t="s">
        <v>372</v>
      </c>
      <c r="D31" s="18"/>
      <c r="E31" s="18"/>
      <c r="F31" s="18"/>
      <c r="G31" s="39"/>
      <c r="J31" s="324">
        <f t="shared" ref="J31:L31" si="0">A19</f>
        <v>12.096</v>
      </c>
      <c r="K31" s="392">
        <f t="shared" si="0"/>
        <v>2.1485284434346309E-2</v>
      </c>
      <c r="L31" s="393">
        <f t="shared" si="0"/>
        <v>2.1424878522837707E-3</v>
      </c>
    </row>
    <row r="32" spans="1:20" ht="14.25" customHeight="1" x14ac:dyDescent="0.35">
      <c r="A32" s="390" t="s">
        <v>369</v>
      </c>
      <c r="B32" s="391">
        <v>0.10290000000000001</v>
      </c>
      <c r="C32" s="18" t="s">
        <v>373</v>
      </c>
      <c r="D32" s="18"/>
      <c r="E32" s="18"/>
      <c r="F32" s="18"/>
      <c r="G32" s="39"/>
      <c r="J32" s="324">
        <f t="shared" ref="J32:L32" si="1">J30*J31</f>
        <v>12.096</v>
      </c>
      <c r="K32" s="326">
        <f t="shared" si="1"/>
        <v>0.60158796416169669</v>
      </c>
      <c r="L32" s="393">
        <f t="shared" si="1"/>
        <v>0.56775928085519922</v>
      </c>
    </row>
    <row r="33" spans="1:12" ht="14.25" customHeight="1" x14ac:dyDescent="0.35">
      <c r="A33" s="394" t="s">
        <v>374</v>
      </c>
      <c r="B33" s="395">
        <f>1/B32</f>
        <v>9.7181729834791053</v>
      </c>
      <c r="C33" s="75" t="s">
        <v>372</v>
      </c>
      <c r="D33" s="75"/>
      <c r="E33" s="75"/>
      <c r="F33" s="75"/>
      <c r="G33" s="76"/>
      <c r="J33" s="329"/>
      <c r="K33" s="19">
        <f>SUM(J32:L32)</f>
        <v>13.265347245016896</v>
      </c>
      <c r="L33" s="373"/>
    </row>
    <row r="34" spans="1:12" ht="14.25" customHeight="1" x14ac:dyDescent="0.35"/>
    <row r="35" spans="1:12" ht="14.25" customHeight="1" x14ac:dyDescent="0.35"/>
    <row r="36" spans="1:12" ht="14.25" customHeight="1" x14ac:dyDescent="0.35"/>
    <row r="37" spans="1:12" ht="14.25" customHeight="1" x14ac:dyDescent="0.35"/>
    <row r="38" spans="1:12" ht="14.25" customHeight="1" x14ac:dyDescent="0.35">
      <c r="C38" s="202"/>
      <c r="D38" s="202"/>
      <c r="E38" s="202"/>
      <c r="F38" s="202"/>
      <c r="G38" s="202"/>
      <c r="H38" s="202"/>
    </row>
    <row r="39" spans="1:12" ht="14.25" customHeight="1" x14ac:dyDescent="0.35">
      <c r="C39" s="202"/>
      <c r="D39" s="202"/>
      <c r="E39" s="202"/>
      <c r="F39" s="202"/>
      <c r="G39" s="202"/>
      <c r="H39" s="202"/>
    </row>
    <row r="40" spans="1:12" ht="14.25" customHeight="1" x14ac:dyDescent="0.35">
      <c r="C40" s="202">
        <v>293</v>
      </c>
      <c r="D40" s="202" t="s">
        <v>375</v>
      </c>
      <c r="E40" s="202"/>
      <c r="F40" s="202">
        <f>C40*'Electricity Conversions'!B20</f>
        <v>193.44914799999998</v>
      </c>
      <c r="G40" s="202"/>
      <c r="H40" s="202"/>
    </row>
    <row r="41" spans="1:12" ht="14.25" customHeight="1" x14ac:dyDescent="0.35">
      <c r="C41" s="202">
        <v>9.8000000000000007</v>
      </c>
      <c r="D41" s="202" t="s">
        <v>376</v>
      </c>
      <c r="E41" s="202"/>
      <c r="F41" s="351">
        <f>C41*H13</f>
        <v>130.00040300116558</v>
      </c>
      <c r="G41" s="202"/>
      <c r="H41" s="202"/>
    </row>
    <row r="42" spans="1:12" ht="14.25" customHeight="1" x14ac:dyDescent="0.35">
      <c r="C42" s="202"/>
      <c r="D42" s="202"/>
      <c r="E42" s="202"/>
      <c r="F42" s="351">
        <f>F41/F40</f>
        <v>0.67201331380981633</v>
      </c>
      <c r="G42" s="202"/>
      <c r="H42" s="202"/>
    </row>
    <row r="43" spans="1:12" ht="14.25" customHeight="1" x14ac:dyDescent="0.35">
      <c r="C43" s="202"/>
      <c r="D43" s="202"/>
      <c r="E43" s="202"/>
      <c r="F43" s="202"/>
      <c r="G43" s="202"/>
      <c r="H43" s="202"/>
    </row>
    <row r="44" spans="1:12" ht="14.25" customHeight="1" x14ac:dyDescent="0.35">
      <c r="C44" s="202"/>
      <c r="D44" s="202"/>
      <c r="E44" s="202"/>
      <c r="F44" s="202"/>
      <c r="G44" s="202"/>
      <c r="H44" s="202"/>
    </row>
    <row r="45" spans="1:12" ht="14.25" customHeight="1" x14ac:dyDescent="0.35"/>
    <row r="46" spans="1:12" ht="14.25" customHeight="1" x14ac:dyDescent="0.35"/>
    <row r="47" spans="1:12" ht="14.25" customHeight="1" x14ac:dyDescent="0.35"/>
    <row r="48" spans="1:12"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
    <mergeCell ref="J28:L28"/>
  </mergeCells>
  <hyperlinks>
    <hyperlink ref="D2" r:id="rId1" xr:uid="{00000000-0004-0000-0400-000000000000}"/>
    <hyperlink ref="F8" r:id="rId2" xr:uid="{00000000-0004-0000-0400-000001000000}"/>
    <hyperlink ref="F17" r:id="rId3" xr:uid="{00000000-0004-0000-0400-000002000000}"/>
  </hyperlink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workbookViewId="0"/>
  </sheetViews>
  <sheetFormatPr defaultColWidth="14.453125" defaultRowHeight="15" customHeight="1" x14ac:dyDescent="0.35"/>
  <cols>
    <col min="1" max="3" width="8.7265625" customWidth="1"/>
    <col min="4" max="4" width="22" customWidth="1"/>
    <col min="5" max="26" width="8.7265625" customWidth="1"/>
  </cols>
  <sheetData>
    <row r="1" spans="1:26" ht="14.25" customHeight="1" x14ac:dyDescent="0.35">
      <c r="A1" s="145" t="s">
        <v>377</v>
      </c>
      <c r="B1" s="146"/>
      <c r="C1" s="146"/>
      <c r="D1" s="146"/>
      <c r="E1" s="146"/>
      <c r="F1" s="146"/>
      <c r="G1" s="146"/>
      <c r="H1" s="146"/>
      <c r="I1" s="146"/>
      <c r="J1" s="146"/>
      <c r="K1" s="146"/>
      <c r="L1" s="144"/>
    </row>
    <row r="2" spans="1:26" ht="14.25" customHeight="1" x14ac:dyDescent="0.35">
      <c r="A2" s="38"/>
      <c r="B2" s="18"/>
      <c r="C2" s="18"/>
      <c r="D2" s="18"/>
      <c r="E2" s="18"/>
      <c r="F2" s="18"/>
      <c r="G2" s="18"/>
      <c r="H2" s="18"/>
      <c r="I2" s="18"/>
      <c r="J2" s="18"/>
      <c r="K2" s="18"/>
      <c r="L2" s="39"/>
    </row>
    <row r="3" spans="1:26" ht="14.25" customHeight="1" x14ac:dyDescent="0.35">
      <c r="A3" s="19">
        <f>M29</f>
        <v>24.860358399000003</v>
      </c>
      <c r="B3" s="18" t="s">
        <v>378</v>
      </c>
      <c r="C3" s="18"/>
      <c r="D3" s="18"/>
      <c r="E3" s="78" t="s">
        <v>358</v>
      </c>
      <c r="F3" s="18"/>
      <c r="G3" s="18"/>
      <c r="H3" s="18"/>
      <c r="I3" s="18"/>
      <c r="J3" s="18"/>
      <c r="K3" s="18"/>
      <c r="L3" s="39"/>
    </row>
    <row r="4" spans="1:26" ht="14.25" customHeight="1" x14ac:dyDescent="0.35">
      <c r="A4" s="38"/>
      <c r="B4" s="18"/>
      <c r="C4" s="18"/>
      <c r="D4" s="18"/>
      <c r="E4" s="78"/>
      <c r="F4" s="18"/>
      <c r="G4" s="18"/>
      <c r="H4" s="18"/>
      <c r="I4" s="18"/>
      <c r="J4" s="18"/>
      <c r="K4" s="18"/>
      <c r="L4" s="39"/>
      <c r="M4" s="18"/>
      <c r="N4" s="18"/>
      <c r="O4" s="18"/>
      <c r="P4" s="18"/>
      <c r="Q4" s="18"/>
      <c r="R4" s="18"/>
      <c r="S4" s="18"/>
      <c r="T4" s="18"/>
      <c r="U4" s="18"/>
      <c r="V4" s="18"/>
      <c r="W4" s="18"/>
      <c r="X4" s="18"/>
      <c r="Y4" s="18"/>
      <c r="Z4" s="18"/>
    </row>
    <row r="5" spans="1:26" ht="14.25" customHeight="1" x14ac:dyDescent="0.35">
      <c r="A5" s="38"/>
      <c r="B5" s="18"/>
      <c r="C5" s="18"/>
      <c r="D5" s="18"/>
      <c r="E5" s="78"/>
      <c r="F5" s="18"/>
      <c r="G5" s="18"/>
      <c r="H5" s="18"/>
      <c r="I5" s="18"/>
      <c r="J5" s="18"/>
      <c r="K5" s="18"/>
      <c r="L5" s="39"/>
      <c r="M5" s="18"/>
      <c r="N5" s="18"/>
      <c r="O5" s="18"/>
      <c r="P5" s="18"/>
      <c r="Q5" s="18"/>
      <c r="R5" s="18"/>
      <c r="S5" s="18"/>
      <c r="T5" s="18"/>
      <c r="U5" s="18"/>
      <c r="V5" s="18"/>
      <c r="W5" s="18"/>
      <c r="X5" s="18"/>
      <c r="Y5" s="18"/>
      <c r="Z5" s="18"/>
    </row>
    <row r="6" spans="1:26" ht="14.25" customHeight="1" x14ac:dyDescent="0.35">
      <c r="A6" s="38"/>
      <c r="B6" s="18">
        <v>24.78</v>
      </c>
      <c r="C6" s="18" t="s">
        <v>378</v>
      </c>
      <c r="D6" s="18"/>
      <c r="E6" s="18"/>
      <c r="F6" s="18"/>
      <c r="G6" s="78" t="s">
        <v>379</v>
      </c>
      <c r="H6" s="18"/>
      <c r="I6" s="18"/>
      <c r="J6" s="18"/>
      <c r="K6" s="18"/>
      <c r="L6" s="39"/>
      <c r="M6" s="18"/>
      <c r="N6" s="18"/>
      <c r="O6" s="18"/>
      <c r="P6" s="18"/>
      <c r="Q6" s="18"/>
      <c r="R6" s="18"/>
      <c r="S6" s="18"/>
      <c r="T6" s="18"/>
      <c r="U6" s="18"/>
      <c r="V6" s="18"/>
      <c r="W6" s="18"/>
      <c r="X6" s="18"/>
      <c r="Y6" s="18"/>
      <c r="Z6" s="18"/>
    </row>
    <row r="7" spans="1:26" ht="14.25" customHeight="1" x14ac:dyDescent="0.35">
      <c r="A7" s="38"/>
      <c r="B7" s="18"/>
      <c r="C7" s="18"/>
      <c r="D7" s="18"/>
      <c r="E7" s="78"/>
      <c r="F7" s="18"/>
      <c r="G7" s="18"/>
      <c r="H7" s="18"/>
      <c r="I7" s="18"/>
      <c r="J7" s="18"/>
      <c r="K7" s="18"/>
      <c r="L7" s="39"/>
      <c r="M7" s="18"/>
      <c r="N7" s="18"/>
      <c r="O7" s="18"/>
      <c r="P7" s="18"/>
      <c r="Q7" s="18"/>
      <c r="R7" s="18"/>
      <c r="S7" s="18"/>
      <c r="T7" s="18"/>
      <c r="U7" s="18"/>
      <c r="V7" s="18"/>
      <c r="W7" s="18"/>
      <c r="X7" s="18"/>
      <c r="Y7" s="18"/>
      <c r="Z7" s="18"/>
    </row>
    <row r="8" spans="1:26" ht="14.25" customHeight="1" x14ac:dyDescent="0.35">
      <c r="A8" s="38"/>
      <c r="B8" s="18">
        <v>11.27</v>
      </c>
      <c r="C8" s="18" t="s">
        <v>380</v>
      </c>
      <c r="D8" s="18">
        <v>24.78</v>
      </c>
      <c r="E8" s="78"/>
      <c r="F8" s="18"/>
      <c r="G8" s="18"/>
      <c r="H8" s="18"/>
      <c r="I8" s="18"/>
      <c r="J8" s="18"/>
      <c r="K8" s="18"/>
      <c r="L8" s="39"/>
      <c r="M8" s="18"/>
      <c r="N8" s="18"/>
      <c r="O8" s="18"/>
      <c r="P8" s="18"/>
      <c r="Q8" s="18"/>
      <c r="R8" s="18"/>
      <c r="S8" s="18"/>
      <c r="T8" s="18"/>
      <c r="U8" s="18"/>
      <c r="V8" s="18"/>
      <c r="W8" s="18"/>
      <c r="X8" s="18"/>
      <c r="Y8" s="18"/>
      <c r="Z8" s="18"/>
    </row>
    <row r="9" spans="1:26" ht="14.25" customHeight="1" x14ac:dyDescent="0.35">
      <c r="A9" s="38"/>
      <c r="B9" s="18">
        <v>0.45</v>
      </c>
      <c r="C9" s="18" t="s">
        <v>381</v>
      </c>
      <c r="D9" s="396">
        <f>B9*K19</f>
        <v>9.9207900000000009E-4</v>
      </c>
      <c r="E9" s="78"/>
      <c r="F9" s="78"/>
      <c r="G9" s="18"/>
      <c r="H9" s="18"/>
      <c r="I9" s="18"/>
      <c r="J9" s="18"/>
      <c r="K9" s="18"/>
      <c r="L9" s="39"/>
      <c r="M9" s="18"/>
      <c r="N9" s="18"/>
      <c r="O9" s="18"/>
      <c r="P9" s="18"/>
      <c r="Q9" s="18"/>
      <c r="R9" s="18"/>
      <c r="S9" s="18"/>
      <c r="T9" s="18"/>
      <c r="U9" s="18"/>
      <c r="V9" s="18"/>
      <c r="W9" s="18"/>
      <c r="X9" s="18"/>
      <c r="Y9" s="18"/>
      <c r="Z9" s="18"/>
    </row>
    <row r="10" spans="1:26" ht="14.25" customHeight="1" x14ac:dyDescent="0.35">
      <c r="A10" s="38"/>
      <c r="B10" s="18">
        <v>0.09</v>
      </c>
      <c r="C10" s="18" t="s">
        <v>382</v>
      </c>
      <c r="D10" s="397">
        <f>B10*K19</f>
        <v>1.9841579999999999E-4</v>
      </c>
      <c r="E10" s="78"/>
      <c r="F10" s="18"/>
      <c r="G10" s="18"/>
      <c r="H10" s="18"/>
      <c r="I10" s="18"/>
      <c r="J10" s="18"/>
      <c r="K10" s="18"/>
      <c r="L10" s="39"/>
      <c r="M10" s="18"/>
      <c r="N10" s="18"/>
      <c r="O10" s="18"/>
      <c r="P10" s="18"/>
      <c r="Q10" s="18"/>
      <c r="R10" s="18"/>
      <c r="S10" s="18"/>
      <c r="T10" s="18"/>
      <c r="U10" s="18"/>
      <c r="V10" s="18"/>
      <c r="W10" s="18"/>
      <c r="X10" s="18"/>
      <c r="Y10" s="18"/>
      <c r="Z10" s="18"/>
    </row>
    <row r="11" spans="1:26" ht="14.25" customHeight="1" x14ac:dyDescent="0.35">
      <c r="A11" s="74"/>
      <c r="B11" s="75"/>
      <c r="C11" s="75"/>
      <c r="D11" s="398">
        <f>SUM(D8:D10)</f>
        <v>24.781190494800001</v>
      </c>
      <c r="E11" s="399"/>
      <c r="F11" s="75"/>
      <c r="G11" s="75"/>
      <c r="H11" s="75"/>
      <c r="I11" s="75"/>
      <c r="J11" s="75"/>
      <c r="K11" s="75"/>
      <c r="L11" s="76"/>
      <c r="M11" s="18"/>
      <c r="N11" s="18"/>
      <c r="O11" s="18"/>
      <c r="P11" s="18"/>
      <c r="Q11" s="18"/>
      <c r="R11" s="18"/>
      <c r="S11" s="18"/>
      <c r="T11" s="18"/>
      <c r="U11" s="18"/>
      <c r="V11" s="18"/>
      <c r="W11" s="18"/>
      <c r="X11" s="18"/>
      <c r="Y11" s="18"/>
      <c r="Z11" s="18"/>
    </row>
    <row r="12" spans="1:26" ht="14.25" customHeight="1" x14ac:dyDescent="0.35">
      <c r="A12" s="18"/>
      <c r="B12" s="18"/>
      <c r="C12" s="18"/>
      <c r="D12" s="400"/>
      <c r="E12" s="78"/>
      <c r="F12" s="18"/>
      <c r="G12" s="18"/>
      <c r="H12" s="18"/>
      <c r="I12" s="18"/>
      <c r="J12" s="18"/>
      <c r="K12" s="18"/>
      <c r="L12" s="18"/>
      <c r="M12" s="18"/>
      <c r="N12" s="18"/>
      <c r="O12" s="18"/>
      <c r="P12" s="18"/>
      <c r="Q12" s="18"/>
      <c r="R12" s="18"/>
      <c r="S12" s="18"/>
      <c r="T12" s="18"/>
      <c r="U12" s="18"/>
      <c r="V12" s="18"/>
      <c r="W12" s="18"/>
      <c r="X12" s="18"/>
      <c r="Y12" s="18"/>
      <c r="Z12" s="18"/>
    </row>
    <row r="13" spans="1:26" ht="14.25" customHeight="1" x14ac:dyDescent="0.35"/>
    <row r="14" spans="1:26" ht="14.25" customHeight="1" x14ac:dyDescent="0.35"/>
    <row r="15" spans="1:26" ht="14.25" customHeight="1" x14ac:dyDescent="0.35">
      <c r="A15" s="145" t="s">
        <v>14</v>
      </c>
      <c r="B15" s="146"/>
      <c r="C15" s="146"/>
      <c r="D15" s="146"/>
      <c r="E15" s="146"/>
      <c r="F15" s="146"/>
      <c r="G15" s="146"/>
      <c r="H15" s="146"/>
      <c r="I15" s="146"/>
      <c r="J15" s="146"/>
      <c r="K15" s="146"/>
      <c r="L15" s="144"/>
    </row>
    <row r="16" spans="1:26" ht="14.25" customHeight="1" x14ac:dyDescent="0.35">
      <c r="A16" s="19">
        <f>M32</f>
        <v>12.725878142199999</v>
      </c>
      <c r="B16" s="18" t="s">
        <v>378</v>
      </c>
      <c r="C16" s="18"/>
      <c r="D16" s="18"/>
      <c r="E16" s="18"/>
      <c r="F16" s="18"/>
      <c r="G16" s="18"/>
      <c r="H16" s="18"/>
      <c r="I16" s="18"/>
      <c r="J16" s="18"/>
      <c r="K16" s="18"/>
      <c r="L16" s="39"/>
    </row>
    <row r="17" spans="1:14" ht="14.25" customHeight="1" x14ac:dyDescent="0.35">
      <c r="A17" s="38"/>
      <c r="B17" s="18"/>
      <c r="C17" s="18"/>
      <c r="D17" s="18"/>
      <c r="E17" s="18"/>
      <c r="F17" s="18"/>
      <c r="G17" s="18"/>
      <c r="H17" s="18"/>
      <c r="I17" s="153"/>
      <c r="J17" s="239"/>
      <c r="K17" s="117"/>
      <c r="L17" s="39"/>
    </row>
    <row r="18" spans="1:14" ht="14.25" customHeight="1" x14ac:dyDescent="0.35">
      <c r="A18" s="38"/>
      <c r="B18" s="18"/>
      <c r="C18" s="18"/>
      <c r="D18" s="18"/>
      <c r="E18" s="18"/>
      <c r="F18" s="18"/>
      <c r="G18" s="18"/>
      <c r="H18" s="18"/>
      <c r="I18" s="38" t="s">
        <v>365</v>
      </c>
      <c r="J18" s="18"/>
      <c r="K18" s="39">
        <v>2.2046226199999999</v>
      </c>
      <c r="L18" s="39"/>
    </row>
    <row r="19" spans="1:14" ht="14.25" customHeight="1" x14ac:dyDescent="0.35">
      <c r="A19" s="38"/>
      <c r="B19" s="18">
        <v>5.72</v>
      </c>
      <c r="C19" s="18" t="s">
        <v>380</v>
      </c>
      <c r="D19" s="18">
        <v>12.68</v>
      </c>
      <c r="E19" s="18"/>
      <c r="F19" s="18"/>
      <c r="G19" s="18"/>
      <c r="H19" s="18"/>
      <c r="I19" s="74" t="s">
        <v>366</v>
      </c>
      <c r="J19" s="75"/>
      <c r="K19" s="76">
        <v>2.20462E-3</v>
      </c>
      <c r="L19" s="39"/>
    </row>
    <row r="20" spans="1:14" ht="14.25" customHeight="1" x14ac:dyDescent="0.35">
      <c r="A20" s="38"/>
      <c r="B20" s="18">
        <v>0.27</v>
      </c>
      <c r="C20" s="18" t="s">
        <v>381</v>
      </c>
      <c r="D20" s="401">
        <f>B20*K19</f>
        <v>5.9524740000000006E-4</v>
      </c>
      <c r="E20" s="18"/>
      <c r="F20" s="18"/>
      <c r="G20" s="18"/>
      <c r="H20" s="18"/>
      <c r="I20" s="18"/>
      <c r="J20" s="18"/>
      <c r="K20" s="18"/>
      <c r="L20" s="39"/>
    </row>
    <row r="21" spans="1:14" ht="14.25" customHeight="1" x14ac:dyDescent="0.35">
      <c r="A21" s="38"/>
      <c r="B21" s="18">
        <v>0.05</v>
      </c>
      <c r="C21" s="18" t="s">
        <v>382</v>
      </c>
      <c r="D21" s="401">
        <f>B21*K19</f>
        <v>1.1023100000000001E-4</v>
      </c>
      <c r="E21" s="18"/>
      <c r="F21" s="18"/>
      <c r="G21" s="18"/>
      <c r="H21" s="18"/>
      <c r="I21" s="18"/>
      <c r="J21" s="18"/>
      <c r="K21" s="18"/>
      <c r="L21" s="39"/>
    </row>
    <row r="22" spans="1:14" ht="14.25" customHeight="1" x14ac:dyDescent="0.35">
      <c r="A22" s="74"/>
      <c r="B22" s="75"/>
      <c r="C22" s="75"/>
      <c r="D22" s="398">
        <f>SUM(D19:D21)</f>
        <v>12.6807054784</v>
      </c>
      <c r="E22" s="75"/>
      <c r="F22" s="75"/>
      <c r="G22" s="75"/>
      <c r="H22" s="75"/>
      <c r="I22" s="75"/>
      <c r="J22" s="75"/>
      <c r="K22" s="75"/>
      <c r="L22" s="76"/>
    </row>
    <row r="23" spans="1:14" ht="14.25" customHeight="1" x14ac:dyDescent="0.35"/>
    <row r="24" spans="1:14" ht="14.25" customHeight="1" x14ac:dyDescent="0.35"/>
    <row r="25" spans="1:14" ht="14.25" customHeight="1" x14ac:dyDescent="0.35">
      <c r="K25" s="153"/>
      <c r="L25" s="402" t="s">
        <v>115</v>
      </c>
      <c r="M25" s="403" t="s">
        <v>116</v>
      </c>
      <c r="N25" s="404" t="s">
        <v>117</v>
      </c>
    </row>
    <row r="26" spans="1:14" ht="14.25" customHeight="1" x14ac:dyDescent="0.35">
      <c r="K26" s="38"/>
      <c r="L26" s="405">
        <v>1</v>
      </c>
      <c r="M26" s="406">
        <v>28</v>
      </c>
      <c r="N26" s="407">
        <v>265</v>
      </c>
    </row>
    <row r="27" spans="1:14" ht="14.25" customHeight="1" x14ac:dyDescent="0.35">
      <c r="K27" s="289" t="s">
        <v>13</v>
      </c>
      <c r="L27" s="239">
        <f>D8</f>
        <v>24.78</v>
      </c>
      <c r="M27" s="239">
        <f>D9</f>
        <v>9.9207900000000009E-4</v>
      </c>
      <c r="N27" s="117">
        <f>D10</f>
        <v>1.9841579999999999E-4</v>
      </c>
    </row>
    <row r="28" spans="1:14" ht="14.25" customHeight="1" x14ac:dyDescent="0.35">
      <c r="K28" s="380"/>
      <c r="L28" s="18">
        <f t="shared" ref="L28:N28" si="0">L26*L27</f>
        <v>24.78</v>
      </c>
      <c r="M28" s="18">
        <f t="shared" si="0"/>
        <v>2.7778212000000004E-2</v>
      </c>
      <c r="N28" s="39">
        <f t="shared" si="0"/>
        <v>5.2580187E-2</v>
      </c>
    </row>
    <row r="29" spans="1:14" ht="14.25" customHeight="1" x14ac:dyDescent="0.35">
      <c r="K29" s="292"/>
      <c r="L29" s="75"/>
      <c r="M29" s="19">
        <f>SUM(L28:N28)</f>
        <v>24.860358399000003</v>
      </c>
      <c r="N29" s="76"/>
    </row>
    <row r="30" spans="1:14" ht="14.25" customHeight="1" x14ac:dyDescent="0.35">
      <c r="K30" s="380" t="s">
        <v>14</v>
      </c>
      <c r="L30" s="18">
        <f>D19</f>
        <v>12.68</v>
      </c>
      <c r="M30" s="18">
        <f>D20</f>
        <v>5.9524740000000006E-4</v>
      </c>
      <c r="N30" s="39">
        <f>D21</f>
        <v>1.1023100000000001E-4</v>
      </c>
    </row>
    <row r="31" spans="1:14" ht="14.25" customHeight="1" x14ac:dyDescent="0.35">
      <c r="K31" s="38"/>
      <c r="L31" s="18">
        <f t="shared" ref="L31:N31" si="1">L30*L26</f>
        <v>12.68</v>
      </c>
      <c r="M31" s="18">
        <f t="shared" si="1"/>
        <v>1.6666927200000001E-2</v>
      </c>
      <c r="N31" s="39">
        <f t="shared" si="1"/>
        <v>2.9211215000000002E-2</v>
      </c>
    </row>
    <row r="32" spans="1:14" ht="14.25" customHeight="1" x14ac:dyDescent="0.35">
      <c r="K32" s="74"/>
      <c r="L32" s="75"/>
      <c r="M32" s="19">
        <f>SUM(L31:N31)</f>
        <v>12.725878142199999</v>
      </c>
      <c r="N32" s="76"/>
    </row>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hyperlinks>
    <hyperlink ref="E3" r:id="rId1" xr:uid="{00000000-0004-0000-0500-000000000000}"/>
    <hyperlink ref="G6" r:id="rId2" xr:uid="{00000000-0004-0000-0500-000001000000}"/>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000"/>
  <sheetViews>
    <sheetView workbookViewId="0"/>
  </sheetViews>
  <sheetFormatPr defaultColWidth="14.453125" defaultRowHeight="15" customHeight="1" x14ac:dyDescent="0.35"/>
  <cols>
    <col min="1" max="1" width="21" customWidth="1"/>
    <col min="2" max="2" width="14" customWidth="1"/>
    <col min="3" max="3" width="16.81640625" customWidth="1"/>
    <col min="4" max="4" width="17.54296875" customWidth="1"/>
    <col min="5" max="5" width="21.453125" customWidth="1"/>
    <col min="6" max="6" width="19.26953125" customWidth="1"/>
    <col min="7" max="7" width="14.81640625" customWidth="1"/>
    <col min="8" max="8" width="17.26953125" customWidth="1"/>
    <col min="9" max="9" width="10.26953125" customWidth="1"/>
    <col min="10" max="11" width="11.7265625" customWidth="1"/>
    <col min="12" max="12" width="15.7265625" customWidth="1"/>
    <col min="13" max="13" width="10.54296875" customWidth="1"/>
    <col min="14" max="14" width="13.81640625" customWidth="1"/>
    <col min="15" max="15" width="11.08984375" customWidth="1"/>
    <col min="16" max="16" width="13.26953125" customWidth="1"/>
    <col min="17" max="17" width="11.08984375" customWidth="1"/>
    <col min="18" max="18" width="13.26953125" customWidth="1"/>
    <col min="19" max="19" width="11.453125" customWidth="1"/>
    <col min="20" max="20" width="14.54296875" customWidth="1"/>
    <col min="21" max="21" width="11.26953125" customWidth="1"/>
    <col min="22" max="22" width="10.26953125" customWidth="1"/>
    <col min="23" max="23" width="16.08984375" customWidth="1"/>
    <col min="24" max="24" width="17.81640625" customWidth="1"/>
    <col min="25" max="25" width="8.7265625" customWidth="1"/>
    <col min="26" max="26" width="10" customWidth="1"/>
    <col min="27" max="27" width="22" customWidth="1"/>
  </cols>
  <sheetData>
    <row r="1" spans="1:7" ht="14.25" customHeight="1" x14ac:dyDescent="0.35">
      <c r="A1" s="408" t="s">
        <v>383</v>
      </c>
      <c r="B1" s="409"/>
      <c r="C1" s="409"/>
      <c r="D1" s="409"/>
      <c r="E1" s="409"/>
      <c r="F1" s="409"/>
      <c r="G1" s="410"/>
    </row>
    <row r="2" spans="1:7" ht="14.25" customHeight="1" x14ac:dyDescent="0.35">
      <c r="A2" s="38"/>
      <c r="B2" s="18"/>
      <c r="C2" s="18"/>
      <c r="D2" s="18"/>
      <c r="E2" s="18"/>
      <c r="F2" s="18"/>
      <c r="G2" s="39"/>
    </row>
    <row r="3" spans="1:7" ht="14.25" customHeight="1" x14ac:dyDescent="0.35">
      <c r="A3" s="38" t="s">
        <v>384</v>
      </c>
      <c r="B3" s="18"/>
      <c r="C3" s="18"/>
      <c r="D3" s="18"/>
      <c r="E3" s="18"/>
      <c r="F3" s="18"/>
      <c r="G3" s="39"/>
    </row>
    <row r="4" spans="1:7" ht="14.25" customHeight="1" x14ac:dyDescent="0.35">
      <c r="A4" s="309"/>
      <c r="B4" s="411" t="s">
        <v>385</v>
      </c>
      <c r="C4" s="412" t="s">
        <v>386</v>
      </c>
      <c r="D4" s="413" t="s">
        <v>387</v>
      </c>
      <c r="E4" s="412" t="s">
        <v>388</v>
      </c>
      <c r="F4" s="412" t="s">
        <v>387</v>
      </c>
      <c r="G4" s="414" t="s">
        <v>389</v>
      </c>
    </row>
    <row r="5" spans="1:7" ht="14.25" customHeight="1" x14ac:dyDescent="0.35">
      <c r="A5" s="289" t="s">
        <v>390</v>
      </c>
      <c r="B5" s="415">
        <v>131196</v>
      </c>
      <c r="C5" s="416">
        <f>B5*'Electricity Conversions'!$Q$30</f>
        <v>135616.09955956697</v>
      </c>
      <c r="D5" s="323">
        <f>C5*'Electricity Conversions'!$B$20</f>
        <v>89538.631108810252</v>
      </c>
      <c r="E5" s="416"/>
      <c r="F5" s="416"/>
      <c r="G5" s="417">
        <f t="shared" ref="G5:G6" si="0">D5+F5</f>
        <v>89538.631108810252</v>
      </c>
    </row>
    <row r="6" spans="1:7" ht="14.25" customHeight="1" x14ac:dyDescent="0.35">
      <c r="A6" s="380" t="s">
        <v>391</v>
      </c>
      <c r="B6" s="154">
        <v>25028</v>
      </c>
      <c r="C6" s="53">
        <f>B6*'Electricity Conversions'!$Q$30</f>
        <v>25871.213602372343</v>
      </c>
      <c r="D6" s="124">
        <f>C6*'Electricity Conversions'!$B$20</f>
        <v>17081.106583975903</v>
      </c>
      <c r="E6" s="53"/>
      <c r="F6" s="53"/>
      <c r="G6" s="418">
        <f t="shared" si="0"/>
        <v>17081.106583975903</v>
      </c>
    </row>
    <row r="7" spans="1:7" ht="14.25" customHeight="1" x14ac:dyDescent="0.35">
      <c r="A7" s="419" t="s">
        <v>392</v>
      </c>
      <c r="B7" s="420"/>
      <c r="C7" s="421">
        <f t="shared" ref="C7:D7" si="1">SUM(C5:C6)</f>
        <v>161487.31316193932</v>
      </c>
      <c r="D7" s="131">
        <f t="shared" si="1"/>
        <v>106619.73769278615</v>
      </c>
      <c r="E7" s="421"/>
      <c r="F7" s="421"/>
      <c r="G7" s="422">
        <f>SUM(G5:G6)</f>
        <v>106619.73769278615</v>
      </c>
    </row>
    <row r="8" spans="1:7" ht="14.25" customHeight="1" x14ac:dyDescent="0.35">
      <c r="A8" s="380" t="s">
        <v>393</v>
      </c>
      <c r="B8" s="154">
        <v>14178</v>
      </c>
      <c r="C8" s="53">
        <f>B8*'Electricity Conversions'!$Q$30</f>
        <v>14655.668309670571</v>
      </c>
      <c r="D8" s="124">
        <f>C8*'Electricity Conversions'!$B$20</f>
        <v>9676.1998221036574</v>
      </c>
      <c r="E8" s="53">
        <f>209*'Gas Metrics'!B31</f>
        <v>203.10981535471333</v>
      </c>
      <c r="F8" s="53">
        <f>E8*'Gas Metrics'!H13</f>
        <v>2694.322229551537</v>
      </c>
      <c r="G8" s="418">
        <f t="shared" ref="G8:G9" si="2">D8+F8</f>
        <v>12370.522051655194</v>
      </c>
    </row>
    <row r="9" spans="1:7" ht="14.25" customHeight="1" x14ac:dyDescent="0.35">
      <c r="A9" s="380" t="s">
        <v>394</v>
      </c>
      <c r="B9" s="154">
        <v>170578</v>
      </c>
      <c r="C9" s="53">
        <f>B9*'Electricity Conversions'!$Q$30</f>
        <v>176324.91105423804</v>
      </c>
      <c r="D9" s="124">
        <f>C9*'Electricity Conversions'!$B$20</f>
        <v>116416.05397480589</v>
      </c>
      <c r="E9" s="53">
        <f>4048*'Gas Metrics'!B31</f>
        <v>3933.9164237123423</v>
      </c>
      <c r="F9" s="53">
        <f>E9*'Gas Metrics'!H13</f>
        <v>52184.767393419243</v>
      </c>
      <c r="G9" s="418">
        <f t="shared" si="2"/>
        <v>168600.82136822515</v>
      </c>
    </row>
    <row r="10" spans="1:7" ht="14.25" customHeight="1" x14ac:dyDescent="0.35">
      <c r="A10" s="423" t="s">
        <v>395</v>
      </c>
      <c r="B10" s="424"/>
      <c r="C10" s="425"/>
      <c r="D10" s="426"/>
      <c r="E10" s="425"/>
      <c r="F10" s="425"/>
      <c r="G10" s="427">
        <f>SUM(G8:G9)</f>
        <v>180971.34341988034</v>
      </c>
    </row>
    <row r="11" spans="1:7" ht="14.25" customHeight="1" x14ac:dyDescent="0.35">
      <c r="A11" s="380"/>
      <c r="B11" s="53"/>
      <c r="C11" s="53"/>
      <c r="D11" s="53"/>
      <c r="E11" s="53"/>
      <c r="F11" s="53"/>
      <c r="G11" s="39"/>
    </row>
    <row r="12" spans="1:7" ht="14.25" customHeight="1" x14ac:dyDescent="0.35">
      <c r="A12" s="380" t="s">
        <v>396</v>
      </c>
      <c r="B12" s="18"/>
      <c r="C12" s="18"/>
      <c r="D12" s="18"/>
      <c r="E12" s="18"/>
      <c r="F12" s="18"/>
      <c r="G12" s="39"/>
    </row>
    <row r="13" spans="1:7" ht="14.25" customHeight="1" x14ac:dyDescent="0.35">
      <c r="A13" s="380" t="s">
        <v>397</v>
      </c>
      <c r="B13" s="18"/>
      <c r="C13" s="18"/>
      <c r="D13" s="18"/>
      <c r="E13" s="18"/>
      <c r="F13" s="18"/>
      <c r="G13" s="39"/>
    </row>
    <row r="14" spans="1:7" ht="14.25" customHeight="1" x14ac:dyDescent="0.35">
      <c r="A14" s="380" t="s">
        <v>398</v>
      </c>
      <c r="B14" s="18"/>
      <c r="C14" s="18"/>
      <c r="D14" s="18"/>
      <c r="E14" s="18"/>
      <c r="F14" s="18"/>
      <c r="G14" s="39"/>
    </row>
    <row r="15" spans="1:7" ht="14.25" customHeight="1" x14ac:dyDescent="0.35">
      <c r="A15" s="38"/>
      <c r="B15" s="18"/>
      <c r="C15" s="18"/>
      <c r="D15" s="18"/>
      <c r="E15" s="18"/>
      <c r="F15" s="18"/>
      <c r="G15" s="39"/>
    </row>
    <row r="16" spans="1:7" ht="14.25" customHeight="1" x14ac:dyDescent="0.35">
      <c r="A16" s="380" t="s">
        <v>399</v>
      </c>
      <c r="B16" s="18"/>
      <c r="C16" s="18"/>
      <c r="D16" s="18"/>
      <c r="E16" s="18"/>
      <c r="F16" s="18"/>
      <c r="G16" s="39"/>
    </row>
    <row r="17" spans="1:27" ht="14.25" customHeight="1" x14ac:dyDescent="0.35">
      <c r="A17" s="38">
        <v>2025</v>
      </c>
      <c r="B17" s="18">
        <f>0</f>
        <v>0</v>
      </c>
      <c r="C17" s="18"/>
      <c r="D17" s="18"/>
      <c r="E17" s="18"/>
      <c r="F17" s="18"/>
      <c r="G17" s="39"/>
    </row>
    <row r="18" spans="1:27" ht="14.25" customHeight="1" x14ac:dyDescent="0.35">
      <c r="A18" s="38">
        <v>2026</v>
      </c>
      <c r="B18" s="12">
        <f>G7</f>
        <v>106619.73769278615</v>
      </c>
      <c r="C18" s="18"/>
      <c r="D18" s="18"/>
      <c r="E18" s="18"/>
      <c r="F18" s="18"/>
      <c r="G18" s="39"/>
    </row>
    <row r="19" spans="1:27" ht="14.25" customHeight="1" x14ac:dyDescent="0.35">
      <c r="A19" s="74">
        <v>2027</v>
      </c>
      <c r="B19" s="140">
        <f>G7+G10</f>
        <v>287591.08111266652</v>
      </c>
      <c r="C19" s="428" t="s">
        <v>400</v>
      </c>
      <c r="D19" s="75"/>
      <c r="E19" s="75"/>
      <c r="F19" s="75"/>
      <c r="G19" s="76"/>
    </row>
    <row r="20" spans="1:27" ht="14.25" customHeight="1" x14ac:dyDescent="0.35">
      <c r="A20" s="18"/>
      <c r="B20" s="12"/>
      <c r="C20" s="18"/>
      <c r="D20" s="18"/>
      <c r="E20" s="18"/>
      <c r="F20" s="18"/>
      <c r="G20" s="18"/>
      <c r="H20" s="18"/>
      <c r="I20" s="18"/>
      <c r="J20" s="18"/>
      <c r="K20" s="18"/>
      <c r="L20" s="18"/>
      <c r="M20" s="18"/>
      <c r="N20" s="18"/>
      <c r="O20" s="18"/>
      <c r="P20" s="18"/>
      <c r="Q20" s="18"/>
      <c r="R20" s="18"/>
      <c r="S20" s="18"/>
      <c r="T20" s="18"/>
      <c r="U20" s="18"/>
      <c r="V20" s="18"/>
      <c r="W20" s="18"/>
      <c r="X20" s="18"/>
      <c r="Y20" s="18"/>
      <c r="Z20" s="18"/>
      <c r="AA20" s="18"/>
    </row>
    <row r="21" spans="1:27" ht="14.25" customHeight="1" x14ac:dyDescent="0.35">
      <c r="A21" s="18"/>
      <c r="B21" s="12"/>
      <c r="C21" s="18"/>
      <c r="D21" s="18"/>
      <c r="E21" s="18"/>
      <c r="F21" s="18"/>
      <c r="G21" s="18"/>
      <c r="H21" s="18"/>
      <c r="I21" s="18"/>
      <c r="J21" s="18"/>
      <c r="K21" s="18"/>
      <c r="L21" s="18"/>
      <c r="M21" s="18"/>
      <c r="N21" s="18"/>
      <c r="O21" s="18"/>
      <c r="P21" s="18"/>
      <c r="Q21" s="18"/>
      <c r="R21" s="18"/>
      <c r="S21" s="18"/>
      <c r="T21" s="18"/>
      <c r="U21" s="18"/>
      <c r="V21" s="18"/>
      <c r="W21" s="18"/>
      <c r="X21" s="18"/>
      <c r="Y21" s="18"/>
      <c r="Z21" s="18"/>
      <c r="AA21" s="18"/>
    </row>
    <row r="22" spans="1:27" ht="14.25" customHeight="1" x14ac:dyDescent="0.35">
      <c r="A22" s="408" t="s">
        <v>401</v>
      </c>
      <c r="B22" s="409"/>
      <c r="C22" s="409"/>
      <c r="D22" s="409"/>
      <c r="E22" s="409"/>
      <c r="F22" s="409"/>
      <c r="G22" s="410"/>
      <c r="H22" s="18"/>
      <c r="I22" s="18"/>
      <c r="J22" s="18"/>
      <c r="K22" s="18"/>
      <c r="L22" s="18"/>
      <c r="M22" s="18"/>
      <c r="N22" s="18"/>
      <c r="O22" s="18"/>
      <c r="P22" s="18"/>
      <c r="Q22" s="18"/>
      <c r="R22" s="18"/>
      <c r="S22" s="18"/>
      <c r="T22" s="18"/>
      <c r="U22" s="18"/>
      <c r="V22" s="18"/>
      <c r="W22" s="18"/>
      <c r="X22" s="18"/>
      <c r="Y22" s="18"/>
      <c r="Z22" s="18"/>
      <c r="AA22" s="18"/>
    </row>
    <row r="23" spans="1:27" ht="14.25" customHeight="1" x14ac:dyDescent="0.35">
      <c r="A23" s="38"/>
      <c r="B23" s="18"/>
      <c r="C23" s="18"/>
      <c r="D23" s="18"/>
      <c r="E23" s="18"/>
      <c r="F23" s="18"/>
      <c r="G23" s="39"/>
      <c r="H23" s="18"/>
      <c r="I23" s="18"/>
      <c r="J23" s="18"/>
      <c r="K23" s="18"/>
      <c r="L23" s="18"/>
      <c r="M23" s="18"/>
      <c r="N23" s="18"/>
      <c r="O23" s="18"/>
      <c r="P23" s="18"/>
      <c r="Q23" s="18"/>
      <c r="R23" s="18"/>
      <c r="S23" s="18"/>
      <c r="T23" s="18"/>
      <c r="U23" s="18"/>
      <c r="V23" s="18"/>
      <c r="W23" s="18"/>
      <c r="X23" s="18"/>
      <c r="Y23" s="18"/>
      <c r="Z23" s="18"/>
      <c r="AA23" s="18"/>
    </row>
    <row r="24" spans="1:27" ht="14.25" customHeight="1" x14ac:dyDescent="0.35">
      <c r="A24" s="38" t="s">
        <v>384</v>
      </c>
      <c r="B24" s="18"/>
      <c r="C24" s="18"/>
      <c r="D24" s="18"/>
      <c r="E24" s="18"/>
      <c r="F24" s="18"/>
      <c r="G24" s="39"/>
      <c r="H24" s="18"/>
      <c r="I24" s="18"/>
      <c r="J24" s="18"/>
      <c r="K24" s="18"/>
      <c r="L24" s="18"/>
      <c r="M24" s="18"/>
      <c r="N24" s="18"/>
      <c r="O24" s="18"/>
      <c r="P24" s="18"/>
      <c r="Q24" s="18"/>
      <c r="R24" s="18"/>
      <c r="S24" s="18"/>
      <c r="T24" s="18"/>
      <c r="U24" s="18"/>
      <c r="V24" s="18"/>
      <c r="W24" s="18"/>
      <c r="X24" s="18"/>
      <c r="Y24" s="18"/>
      <c r="Z24" s="18"/>
      <c r="AA24" s="18"/>
    </row>
    <row r="25" spans="1:27" ht="14.25" customHeight="1" x14ac:dyDescent="0.35">
      <c r="A25" s="309"/>
      <c r="B25" s="411" t="s">
        <v>385</v>
      </c>
      <c r="C25" s="412" t="s">
        <v>386</v>
      </c>
      <c r="D25" s="413" t="s">
        <v>387</v>
      </c>
      <c r="E25" s="412" t="s">
        <v>388</v>
      </c>
      <c r="F25" s="412" t="s">
        <v>387</v>
      </c>
      <c r="G25" s="414" t="s">
        <v>389</v>
      </c>
      <c r="H25" s="18"/>
      <c r="I25" s="18"/>
      <c r="J25" s="18"/>
      <c r="K25" s="18"/>
      <c r="L25" s="18"/>
      <c r="M25" s="18"/>
      <c r="N25" s="18"/>
      <c r="O25" s="18"/>
      <c r="P25" s="18"/>
      <c r="Q25" s="18"/>
      <c r="R25" s="18"/>
      <c r="S25" s="18"/>
      <c r="T25" s="18"/>
      <c r="U25" s="18"/>
      <c r="V25" s="18"/>
      <c r="W25" s="18"/>
      <c r="X25" s="18"/>
      <c r="Y25" s="18"/>
      <c r="Z25" s="18"/>
      <c r="AA25" s="18"/>
    </row>
    <row r="26" spans="1:27" ht="14.25" customHeight="1" x14ac:dyDescent="0.35">
      <c r="A26" s="289" t="s">
        <v>390</v>
      </c>
      <c r="B26" s="415">
        <v>25232</v>
      </c>
      <c r="C26" s="416">
        <f>B26*'Electricity Conversions'!$Q$30</f>
        <v>26082.086527691343</v>
      </c>
      <c r="D26" s="323">
        <f>C26*'Electricity Conversions'!$B$20</f>
        <v>17220.332480696819</v>
      </c>
      <c r="E26" s="416"/>
      <c r="F26" s="416"/>
      <c r="G26" s="417">
        <f t="shared" ref="G26:G27" si="3">D26+F26</f>
        <v>17220.332480696819</v>
      </c>
      <c r="H26" s="18"/>
      <c r="I26" s="18"/>
      <c r="J26" s="18"/>
      <c r="K26" s="18"/>
      <c r="L26" s="18"/>
      <c r="M26" s="18"/>
      <c r="N26" s="18"/>
      <c r="O26" s="18"/>
      <c r="P26" s="18"/>
      <c r="Q26" s="18"/>
      <c r="R26" s="18"/>
      <c r="S26" s="18"/>
      <c r="T26" s="18"/>
      <c r="U26" s="18"/>
      <c r="V26" s="18"/>
      <c r="W26" s="18"/>
      <c r="X26" s="18"/>
      <c r="Y26" s="18"/>
      <c r="Z26" s="18"/>
      <c r="AA26" s="18"/>
    </row>
    <row r="27" spans="1:27" ht="14.25" customHeight="1" x14ac:dyDescent="0.35">
      <c r="A27" s="380" t="s">
        <v>391</v>
      </c>
      <c r="B27" s="154">
        <v>7521</v>
      </c>
      <c r="C27" s="53">
        <f>B27*'Electricity Conversions'!$Q$30</f>
        <v>7774.3885849225826</v>
      </c>
      <c r="D27" s="124">
        <f>C27*'Electricity Conversions'!$B$20</f>
        <v>5132.9312217549459</v>
      </c>
      <c r="E27" s="53"/>
      <c r="F27" s="53"/>
      <c r="G27" s="418">
        <f t="shared" si="3"/>
        <v>5132.9312217549459</v>
      </c>
      <c r="H27" s="18"/>
      <c r="I27" s="18"/>
      <c r="J27" s="18"/>
      <c r="K27" s="18"/>
      <c r="L27" s="18"/>
      <c r="M27" s="18"/>
      <c r="N27" s="18"/>
      <c r="O27" s="18"/>
      <c r="P27" s="18"/>
      <c r="Q27" s="18"/>
      <c r="R27" s="18"/>
      <c r="S27" s="18"/>
      <c r="T27" s="18"/>
      <c r="U27" s="18"/>
      <c r="V27" s="18"/>
      <c r="W27" s="18"/>
      <c r="X27" s="18"/>
      <c r="Y27" s="18"/>
      <c r="Z27" s="18"/>
      <c r="AA27" s="18"/>
    </row>
    <row r="28" spans="1:27" ht="14.25" customHeight="1" x14ac:dyDescent="0.35">
      <c r="A28" s="419" t="s">
        <v>392</v>
      </c>
      <c r="B28" s="420">
        <f>SUM(B26:B27)</f>
        <v>32753</v>
      </c>
      <c r="C28" s="421"/>
      <c r="D28" s="131">
        <f>SUM(D26:D27)</f>
        <v>22353.263702451764</v>
      </c>
      <c r="E28" s="421"/>
      <c r="F28" s="421"/>
      <c r="G28" s="422">
        <f>SUM(G26:G27)</f>
        <v>22353.263702451764</v>
      </c>
      <c r="H28" s="18"/>
      <c r="I28" s="18"/>
      <c r="J28" s="18"/>
      <c r="K28" s="18"/>
      <c r="L28" s="18"/>
      <c r="M28" s="18"/>
      <c r="N28" s="18"/>
      <c r="O28" s="18"/>
      <c r="P28" s="18"/>
      <c r="Q28" s="18"/>
      <c r="R28" s="18"/>
      <c r="S28" s="18"/>
      <c r="T28" s="18"/>
      <c r="U28" s="18"/>
      <c r="V28" s="18"/>
      <c r="W28" s="18"/>
      <c r="X28" s="18"/>
      <c r="Y28" s="18"/>
      <c r="Z28" s="18"/>
      <c r="AA28" s="18"/>
    </row>
    <row r="29" spans="1:27" ht="14.25" customHeight="1" x14ac:dyDescent="0.35">
      <c r="A29" s="429" t="s">
        <v>402</v>
      </c>
      <c r="B29" s="154">
        <f>1513-(25591+127254)</f>
        <v>-151332</v>
      </c>
      <c r="C29" s="53">
        <f>B29*'Electricity Conversions'!$Q$30</f>
        <v>-156430.49771752482</v>
      </c>
      <c r="D29" s="430">
        <f>C29*'Electricity Conversions'!$B$20</f>
        <v>-103281.0460910277</v>
      </c>
      <c r="E29" s="53">
        <f>(86+226+673)*'Gas Metrics'!B31</f>
        <v>957.24003887269203</v>
      </c>
      <c r="F29" s="53">
        <f>E29*'Gas Metrics'!H13</f>
        <v>12698.121512479731</v>
      </c>
      <c r="G29" s="418">
        <f>D29+F29</f>
        <v>-90582.924578547972</v>
      </c>
      <c r="H29" s="18"/>
      <c r="I29" s="18"/>
      <c r="J29" s="18"/>
      <c r="K29" s="18"/>
      <c r="L29" s="18"/>
      <c r="M29" s="18"/>
      <c r="N29" s="18"/>
      <c r="O29" s="18"/>
      <c r="P29" s="18"/>
      <c r="Q29" s="18"/>
      <c r="R29" s="18"/>
      <c r="S29" s="18"/>
      <c r="T29" s="18"/>
      <c r="U29" s="18"/>
      <c r="V29" s="18"/>
      <c r="W29" s="18"/>
      <c r="X29" s="18"/>
      <c r="Y29" s="18"/>
      <c r="Z29" s="18"/>
      <c r="AA29" s="18"/>
    </row>
    <row r="30" spans="1:27" ht="14.25" customHeight="1" x14ac:dyDescent="0.35">
      <c r="A30" s="380"/>
      <c r="B30" s="154"/>
      <c r="C30" s="53"/>
      <c r="D30" s="124"/>
      <c r="E30" s="53"/>
      <c r="F30" s="53"/>
      <c r="G30" s="418"/>
      <c r="H30" s="18"/>
      <c r="I30" s="18"/>
      <c r="J30" s="18"/>
      <c r="K30" s="18"/>
      <c r="L30" s="18"/>
      <c r="M30" s="18"/>
      <c r="N30" s="18"/>
      <c r="O30" s="18"/>
      <c r="P30" s="18"/>
      <c r="Q30" s="18"/>
      <c r="R30" s="18"/>
      <c r="S30" s="18"/>
      <c r="T30" s="18"/>
      <c r="U30" s="18"/>
      <c r="V30" s="18"/>
      <c r="W30" s="18"/>
      <c r="X30" s="18"/>
      <c r="Y30" s="18"/>
      <c r="Z30" s="18"/>
      <c r="AA30" s="18"/>
    </row>
    <row r="31" spans="1:27" ht="14.25" customHeight="1" x14ac:dyDescent="0.35">
      <c r="A31" s="423" t="s">
        <v>395</v>
      </c>
      <c r="B31" s="424"/>
      <c r="C31" s="425"/>
      <c r="D31" s="431">
        <f>D29</f>
        <v>-103281.0460910277</v>
      </c>
      <c r="E31" s="425"/>
      <c r="F31" s="425"/>
      <c r="G31" s="432">
        <f>G29</f>
        <v>-90582.924578547972</v>
      </c>
      <c r="H31" s="18"/>
      <c r="I31" s="18"/>
      <c r="J31" s="18"/>
      <c r="K31" s="18"/>
      <c r="L31" s="18"/>
      <c r="M31" s="18"/>
      <c r="N31" s="18"/>
      <c r="O31" s="18"/>
      <c r="P31" s="18"/>
      <c r="Q31" s="18"/>
      <c r="R31" s="18"/>
      <c r="S31" s="18"/>
      <c r="T31" s="18"/>
      <c r="U31" s="18"/>
      <c r="V31" s="18"/>
      <c r="W31" s="18"/>
      <c r="X31" s="18"/>
      <c r="Y31" s="18"/>
      <c r="Z31" s="18"/>
      <c r="AA31" s="18"/>
    </row>
    <row r="32" spans="1:27" ht="14.25" customHeight="1" x14ac:dyDescent="0.35">
      <c r="A32" s="121" t="s">
        <v>403</v>
      </c>
      <c r="B32" s="433">
        <f t="shared" ref="B32:D32" si="4">B26+B27+B29</f>
        <v>-118579</v>
      </c>
      <c r="C32" s="433">
        <f t="shared" si="4"/>
        <v>-122574.02260491089</v>
      </c>
      <c r="D32" s="434">
        <f t="shared" si="4"/>
        <v>-80927.782388575943</v>
      </c>
      <c r="E32" s="433">
        <f t="shared" ref="E32:F32" si="5">E29</f>
        <v>957.24003887269203</v>
      </c>
      <c r="F32" s="433">
        <f t="shared" si="5"/>
        <v>12698.121512479731</v>
      </c>
      <c r="G32" s="435">
        <f>G28+G29</f>
        <v>-68229.660876096212</v>
      </c>
      <c r="H32" s="18"/>
      <c r="I32" s="18"/>
      <c r="J32" s="18"/>
      <c r="K32" s="18"/>
      <c r="L32" s="18"/>
      <c r="M32" s="18"/>
      <c r="N32" s="18"/>
      <c r="O32" s="18"/>
      <c r="P32" s="18"/>
      <c r="Q32" s="18"/>
      <c r="R32" s="18"/>
      <c r="S32" s="18"/>
      <c r="T32" s="18"/>
      <c r="U32" s="18"/>
      <c r="V32" s="18"/>
      <c r="W32" s="18"/>
      <c r="X32" s="18"/>
      <c r="Y32" s="18"/>
      <c r="Z32" s="18"/>
      <c r="AA32" s="18"/>
    </row>
    <row r="33" spans="1:27" ht="14.25" customHeight="1" x14ac:dyDescent="0.35">
      <c r="A33" s="380" t="s">
        <v>396</v>
      </c>
      <c r="B33" s="18"/>
      <c r="C33" s="18"/>
      <c r="D33" s="18"/>
      <c r="E33" s="18"/>
      <c r="F33" s="18"/>
      <c r="G33" s="39"/>
      <c r="H33" s="18"/>
      <c r="I33" s="18"/>
      <c r="J33" s="18"/>
      <c r="K33" s="18"/>
      <c r="L33" s="18"/>
      <c r="M33" s="18"/>
      <c r="N33" s="18"/>
      <c r="O33" s="18"/>
      <c r="P33" s="18"/>
      <c r="Q33" s="18"/>
      <c r="R33" s="18"/>
      <c r="S33" s="18"/>
      <c r="T33" s="18"/>
      <c r="U33" s="18"/>
      <c r="V33" s="18"/>
      <c r="W33" s="18"/>
      <c r="X33" s="18"/>
      <c r="Y33" s="18"/>
      <c r="Z33" s="18"/>
      <c r="AA33" s="18"/>
    </row>
    <row r="34" spans="1:27" ht="14.25" customHeight="1" x14ac:dyDescent="0.35">
      <c r="A34" s="380" t="s">
        <v>397</v>
      </c>
      <c r="B34" s="18"/>
      <c r="C34" s="18"/>
      <c r="D34" s="18"/>
      <c r="E34" s="18"/>
      <c r="F34" s="18"/>
      <c r="G34" s="39"/>
      <c r="H34" s="18"/>
      <c r="I34" s="18"/>
      <c r="J34" s="18"/>
      <c r="K34" s="18"/>
      <c r="L34" s="18"/>
      <c r="M34" s="18"/>
      <c r="N34" s="18"/>
      <c r="O34" s="18"/>
      <c r="P34" s="18"/>
      <c r="Q34" s="18"/>
      <c r="R34" s="18"/>
      <c r="S34" s="18"/>
      <c r="T34" s="18"/>
      <c r="U34" s="18"/>
      <c r="V34" s="18"/>
      <c r="W34" s="18"/>
      <c r="X34" s="18"/>
      <c r="Y34" s="18"/>
      <c r="Z34" s="18"/>
      <c r="AA34" s="18"/>
    </row>
    <row r="35" spans="1:27" ht="14.25" customHeight="1" x14ac:dyDescent="0.35">
      <c r="A35" s="380" t="s">
        <v>398</v>
      </c>
      <c r="B35" s="18"/>
      <c r="C35" s="18"/>
      <c r="D35" s="18"/>
      <c r="E35" s="18"/>
      <c r="F35" s="18"/>
      <c r="G35" s="39"/>
      <c r="H35" s="18"/>
      <c r="I35" s="18"/>
      <c r="J35" s="18"/>
      <c r="K35" s="18"/>
      <c r="L35" s="18"/>
      <c r="M35" s="18"/>
      <c r="N35" s="18"/>
      <c r="O35" s="18"/>
      <c r="P35" s="18"/>
      <c r="Q35" s="18"/>
      <c r="R35" s="18"/>
      <c r="S35" s="18"/>
      <c r="T35" s="18"/>
      <c r="U35" s="18"/>
      <c r="V35" s="18"/>
      <c r="W35" s="18"/>
      <c r="X35" s="18"/>
      <c r="Y35" s="18"/>
      <c r="Z35" s="18"/>
      <c r="AA35" s="18"/>
    </row>
    <row r="36" spans="1:27" ht="14.25" customHeight="1" x14ac:dyDescent="0.35">
      <c r="A36" s="38"/>
      <c r="B36" s="18"/>
      <c r="C36" s="18"/>
      <c r="D36" s="18"/>
      <c r="E36" s="18"/>
      <c r="F36" s="18"/>
      <c r="G36" s="39"/>
      <c r="H36" s="18"/>
      <c r="I36" s="18"/>
      <c r="J36" s="18"/>
      <c r="K36" s="18"/>
      <c r="L36" s="18"/>
      <c r="M36" s="18"/>
      <c r="N36" s="18"/>
      <c r="O36" s="18"/>
      <c r="P36" s="18"/>
      <c r="Q36" s="18"/>
      <c r="R36" s="18"/>
      <c r="S36" s="18"/>
      <c r="T36" s="18"/>
      <c r="U36" s="18"/>
      <c r="V36" s="18"/>
      <c r="W36" s="18"/>
      <c r="X36" s="18"/>
      <c r="Y36" s="18"/>
      <c r="Z36" s="18"/>
      <c r="AA36" s="18"/>
    </row>
    <row r="37" spans="1:27" ht="14.25" customHeight="1" x14ac:dyDescent="0.35">
      <c r="A37" s="380" t="s">
        <v>399</v>
      </c>
      <c r="B37" s="18"/>
      <c r="C37" s="18"/>
      <c r="D37" s="18"/>
      <c r="E37" s="18"/>
      <c r="F37" s="18"/>
      <c r="G37" s="39"/>
      <c r="H37" s="18"/>
      <c r="I37" s="18"/>
      <c r="J37" s="18"/>
      <c r="K37" s="18"/>
      <c r="L37" s="18"/>
      <c r="M37" s="18"/>
      <c r="N37" s="18"/>
      <c r="O37" s="18"/>
      <c r="P37" s="18"/>
      <c r="Q37" s="18"/>
      <c r="R37" s="18"/>
      <c r="S37" s="18"/>
      <c r="T37" s="18"/>
      <c r="U37" s="18"/>
      <c r="V37" s="18"/>
      <c r="W37" s="18"/>
      <c r="X37" s="18"/>
      <c r="Y37" s="18"/>
      <c r="Z37" s="18"/>
      <c r="AA37" s="18"/>
    </row>
    <row r="38" spans="1:27" ht="14.25" customHeight="1" x14ac:dyDescent="0.35">
      <c r="A38" s="38">
        <v>2025</v>
      </c>
      <c r="B38" s="18">
        <f>0</f>
        <v>0</v>
      </c>
      <c r="C38" s="18"/>
      <c r="D38" s="18"/>
      <c r="E38" s="18"/>
      <c r="F38" s="18"/>
      <c r="G38" s="39"/>
      <c r="H38" s="18"/>
      <c r="I38" s="18"/>
      <c r="J38" s="18"/>
      <c r="K38" s="18"/>
      <c r="L38" s="18"/>
      <c r="M38" s="18"/>
      <c r="N38" s="18"/>
      <c r="O38" s="18"/>
      <c r="P38" s="18"/>
      <c r="Q38" s="18"/>
      <c r="R38" s="18"/>
      <c r="S38" s="18"/>
      <c r="T38" s="18"/>
      <c r="U38" s="18"/>
      <c r="V38" s="18"/>
      <c r="W38" s="18"/>
      <c r="X38" s="18"/>
      <c r="Y38" s="18"/>
      <c r="Z38" s="18"/>
      <c r="AA38" s="18"/>
    </row>
    <row r="39" spans="1:27" ht="14.25" customHeight="1" x14ac:dyDescent="0.35">
      <c r="A39" s="38">
        <v>2026</v>
      </c>
      <c r="B39" s="12">
        <f>G28</f>
        <v>22353.263702451764</v>
      </c>
      <c r="C39" s="18"/>
      <c r="D39" s="18"/>
      <c r="E39" s="18"/>
      <c r="F39" s="18"/>
      <c r="G39" s="39"/>
      <c r="H39" s="18"/>
      <c r="I39" s="18"/>
      <c r="J39" s="18"/>
      <c r="K39" s="18"/>
      <c r="L39" s="18"/>
      <c r="M39" s="18"/>
      <c r="N39" s="18"/>
      <c r="O39" s="18"/>
      <c r="P39" s="18"/>
      <c r="Q39" s="18"/>
      <c r="R39" s="18"/>
      <c r="S39" s="18"/>
      <c r="T39" s="18"/>
      <c r="U39" s="18"/>
      <c r="V39" s="18"/>
      <c r="W39" s="18"/>
      <c r="X39" s="18"/>
      <c r="Y39" s="18"/>
      <c r="Z39" s="18"/>
      <c r="AA39" s="18"/>
    </row>
    <row r="40" spans="1:27" ht="14.25" customHeight="1" x14ac:dyDescent="0.35">
      <c r="A40" s="74">
        <v>2027</v>
      </c>
      <c r="B40" s="140">
        <f>G28+G31</f>
        <v>-68229.660876096212</v>
      </c>
      <c r="C40" s="428" t="s">
        <v>400</v>
      </c>
      <c r="D40" s="75"/>
      <c r="E40" s="75"/>
      <c r="F40" s="75"/>
      <c r="G40" s="76"/>
      <c r="H40" s="18"/>
      <c r="I40" s="18"/>
      <c r="J40" s="18"/>
      <c r="K40" s="18"/>
      <c r="L40" s="18"/>
      <c r="M40" s="18"/>
      <c r="N40" s="18"/>
      <c r="O40" s="18"/>
      <c r="P40" s="18"/>
      <c r="Q40" s="18"/>
      <c r="R40" s="18"/>
      <c r="S40" s="18"/>
      <c r="T40" s="18"/>
      <c r="U40" s="18"/>
      <c r="V40" s="18"/>
      <c r="W40" s="18"/>
      <c r="X40" s="18"/>
      <c r="Y40" s="18"/>
      <c r="Z40" s="18"/>
      <c r="AA40" s="18"/>
    </row>
    <row r="41" spans="1:27" ht="14.25" customHeight="1" x14ac:dyDescent="0.35">
      <c r="A41" s="18"/>
      <c r="B41" s="12"/>
      <c r="C41" s="18"/>
      <c r="D41" s="18"/>
      <c r="E41" s="18"/>
      <c r="F41" s="18"/>
      <c r="G41" s="18"/>
      <c r="H41" s="18"/>
      <c r="I41" s="18"/>
      <c r="J41" s="18"/>
      <c r="K41" s="18"/>
      <c r="L41" s="18"/>
      <c r="M41" s="18"/>
      <c r="N41" s="18"/>
      <c r="O41" s="18"/>
      <c r="P41" s="18"/>
      <c r="Q41" s="18"/>
      <c r="R41" s="18"/>
      <c r="S41" s="18"/>
      <c r="T41" s="18"/>
      <c r="U41" s="18"/>
      <c r="V41" s="18"/>
      <c r="W41" s="18"/>
      <c r="X41" s="18"/>
      <c r="Y41" s="18"/>
      <c r="Z41" s="18"/>
      <c r="AA41" s="18"/>
    </row>
    <row r="42" spans="1:27" ht="14.25" customHeight="1" x14ac:dyDescent="0.35">
      <c r="A42" s="408" t="s">
        <v>404</v>
      </c>
      <c r="B42" s="409"/>
      <c r="C42" s="409"/>
      <c r="D42" s="409"/>
      <c r="E42" s="409"/>
      <c r="F42" s="409"/>
      <c r="G42" s="410"/>
      <c r="H42" s="18"/>
      <c r="I42" s="18"/>
      <c r="J42" s="18"/>
      <c r="K42" s="18"/>
      <c r="L42" s="18"/>
      <c r="M42" s="18"/>
      <c r="N42" s="18"/>
      <c r="O42" s="18"/>
      <c r="P42" s="18"/>
      <c r="Q42" s="18"/>
      <c r="R42" s="18"/>
      <c r="S42" s="18"/>
      <c r="T42" s="18"/>
      <c r="U42" s="18"/>
      <c r="V42" s="18"/>
      <c r="W42" s="18"/>
      <c r="X42" s="18"/>
      <c r="Y42" s="18"/>
      <c r="Z42" s="18"/>
      <c r="AA42" s="18"/>
    </row>
    <row r="43" spans="1:27" ht="14.25" customHeight="1" x14ac:dyDescent="0.35">
      <c r="A43" s="38"/>
      <c r="B43" s="18"/>
      <c r="C43" s="18"/>
      <c r="D43" s="18"/>
      <c r="E43" s="18"/>
      <c r="F43" s="18"/>
      <c r="G43" s="39"/>
      <c r="H43" s="18"/>
      <c r="I43" s="18"/>
      <c r="J43" s="18"/>
      <c r="K43" s="18"/>
      <c r="L43" s="18"/>
      <c r="M43" s="18"/>
      <c r="N43" s="18"/>
      <c r="O43" s="18"/>
      <c r="P43" s="18"/>
      <c r="Q43" s="18"/>
      <c r="R43" s="18"/>
      <c r="S43" s="18"/>
      <c r="T43" s="18"/>
      <c r="U43" s="18"/>
      <c r="V43" s="18"/>
      <c r="W43" s="18"/>
      <c r="X43" s="18"/>
      <c r="Y43" s="18"/>
      <c r="Z43" s="18"/>
      <c r="AA43" s="18"/>
    </row>
    <row r="44" spans="1:27" ht="14.25" customHeight="1" x14ac:dyDescent="0.35">
      <c r="A44" s="38" t="s">
        <v>384</v>
      </c>
      <c r="B44" s="18"/>
      <c r="C44" s="18"/>
      <c r="D44" s="18"/>
      <c r="E44" s="18"/>
      <c r="F44" s="18"/>
      <c r="G44" s="39"/>
      <c r="H44" s="18"/>
      <c r="I44" s="18"/>
      <c r="J44" s="18"/>
      <c r="K44" s="18"/>
      <c r="L44" s="18"/>
      <c r="M44" s="18"/>
      <c r="N44" s="18"/>
      <c r="O44" s="18"/>
      <c r="P44" s="18"/>
      <c r="Q44" s="18"/>
      <c r="R44" s="18"/>
      <c r="S44" s="18"/>
      <c r="T44" s="18"/>
      <c r="U44" s="18"/>
      <c r="V44" s="18"/>
      <c r="W44" s="18"/>
      <c r="X44" s="18"/>
      <c r="Y44" s="18"/>
      <c r="Z44" s="18"/>
      <c r="AA44" s="18"/>
    </row>
    <row r="45" spans="1:27" ht="14.25" customHeight="1" x14ac:dyDescent="0.35">
      <c r="A45" s="309"/>
      <c r="B45" s="411" t="s">
        <v>385</v>
      </c>
      <c r="C45" s="412" t="s">
        <v>386</v>
      </c>
      <c r="D45" s="413" t="s">
        <v>387</v>
      </c>
      <c r="E45" s="412" t="s">
        <v>388</v>
      </c>
      <c r="F45" s="412" t="s">
        <v>387</v>
      </c>
      <c r="G45" s="414" t="s">
        <v>389</v>
      </c>
      <c r="H45" s="18"/>
      <c r="I45" s="18"/>
      <c r="J45" s="18"/>
      <c r="K45" s="18"/>
      <c r="L45" s="18"/>
      <c r="M45" s="18"/>
      <c r="N45" s="18"/>
      <c r="O45" s="18"/>
      <c r="P45" s="18"/>
      <c r="Q45" s="18"/>
      <c r="R45" s="18"/>
      <c r="S45" s="18"/>
      <c r="T45" s="18"/>
      <c r="U45" s="18"/>
      <c r="V45" s="18"/>
      <c r="W45" s="18"/>
      <c r="X45" s="18"/>
      <c r="Y45" s="18"/>
      <c r="Z45" s="18"/>
      <c r="AA45" s="18"/>
    </row>
    <row r="46" spans="1:27" ht="14.25" customHeight="1" x14ac:dyDescent="0.35">
      <c r="A46" s="289" t="s">
        <v>390</v>
      </c>
      <c r="B46" s="415">
        <v>20456</v>
      </c>
      <c r="C46" s="416">
        <f>B46*'Electricity Conversions'!$Q$30</f>
        <v>21145.179217281791</v>
      </c>
      <c r="D46" s="323">
        <f>C46*'Electricity Conversions'!$B$20</f>
        <v>13960.80854570126</v>
      </c>
      <c r="E46" s="416"/>
      <c r="F46" s="416"/>
      <c r="G46" s="417">
        <f t="shared" ref="G46:G47" si="6">D46+F46</f>
        <v>13960.80854570126</v>
      </c>
      <c r="H46" s="18"/>
      <c r="I46" s="18"/>
      <c r="J46" s="18"/>
      <c r="K46" s="18"/>
      <c r="L46" s="18"/>
      <c r="M46" s="18"/>
      <c r="N46" s="18"/>
      <c r="O46" s="18"/>
      <c r="P46" s="18"/>
      <c r="Q46" s="18"/>
      <c r="R46" s="18"/>
      <c r="S46" s="18"/>
      <c r="T46" s="18"/>
      <c r="U46" s="18"/>
      <c r="V46" s="18"/>
      <c r="W46" s="18"/>
      <c r="X46" s="18"/>
      <c r="Y46" s="18"/>
      <c r="Z46" s="18"/>
      <c r="AA46" s="18"/>
    </row>
    <row r="47" spans="1:27" ht="14.25" customHeight="1" x14ac:dyDescent="0.35">
      <c r="A47" s="380" t="s">
        <v>391</v>
      </c>
      <c r="B47" s="154">
        <v>5114</v>
      </c>
      <c r="C47" s="53">
        <f>B47*'Electricity Conversions'!$Q$30</f>
        <v>5286.2948043204478</v>
      </c>
      <c r="D47" s="124">
        <f>C47*'Electricity Conversions'!$B$20</f>
        <v>3490.2021364253151</v>
      </c>
      <c r="E47" s="53"/>
      <c r="F47" s="53"/>
      <c r="G47" s="418">
        <f t="shared" si="6"/>
        <v>3490.2021364253151</v>
      </c>
      <c r="H47" s="18"/>
      <c r="I47" s="18"/>
      <c r="J47" s="18"/>
      <c r="K47" s="18"/>
      <c r="L47" s="18"/>
      <c r="M47" s="18"/>
      <c r="N47" s="18"/>
      <c r="O47" s="18"/>
      <c r="P47" s="18"/>
      <c r="Q47" s="18"/>
      <c r="R47" s="18"/>
      <c r="S47" s="18"/>
      <c r="T47" s="18"/>
      <c r="U47" s="18"/>
      <c r="V47" s="18"/>
      <c r="W47" s="18"/>
      <c r="X47" s="18"/>
      <c r="Y47" s="18"/>
      <c r="Z47" s="18"/>
      <c r="AA47" s="18"/>
    </row>
    <row r="48" spans="1:27" ht="14.25" customHeight="1" x14ac:dyDescent="0.35">
      <c r="A48" s="419" t="s">
        <v>392</v>
      </c>
      <c r="B48" s="420">
        <f t="shared" ref="B48:D48" si="7">SUM(B46:B47)</f>
        <v>25570</v>
      </c>
      <c r="C48" s="420">
        <f t="shared" si="7"/>
        <v>26431.47402160224</v>
      </c>
      <c r="D48" s="131">
        <f t="shared" si="7"/>
        <v>17451.010682126576</v>
      </c>
      <c r="E48" s="421"/>
      <c r="F48" s="421"/>
      <c r="G48" s="422">
        <f>SUM(G46:G47)</f>
        <v>17451.010682126576</v>
      </c>
      <c r="H48" s="18"/>
      <c r="I48" s="18"/>
      <c r="J48" s="18"/>
      <c r="K48" s="18"/>
      <c r="L48" s="18"/>
      <c r="M48" s="18"/>
      <c r="N48" s="18"/>
      <c r="O48" s="18"/>
      <c r="P48" s="18"/>
      <c r="Q48" s="18"/>
      <c r="R48" s="18"/>
      <c r="S48" s="18"/>
      <c r="T48" s="18"/>
      <c r="U48" s="18"/>
      <c r="V48" s="18"/>
      <c r="W48" s="18"/>
      <c r="X48" s="18"/>
      <c r="Y48" s="18"/>
      <c r="Z48" s="18"/>
      <c r="AA48" s="18"/>
    </row>
    <row r="49" spans="1:27" ht="14.25" customHeight="1" x14ac:dyDescent="0.35">
      <c r="A49" s="429" t="s">
        <v>405</v>
      </c>
      <c r="B49" s="154">
        <v>-33116</v>
      </c>
      <c r="C49" s="53">
        <f>B49*'Electricity Conversions'!$Q$30</f>
        <v>-34231.704876784504</v>
      </c>
      <c r="D49" s="124">
        <f>C49*'Electricity Conversions'!$B$20</f>
        <v>-22601.003901028693</v>
      </c>
      <c r="E49" s="53">
        <v>5813</v>
      </c>
      <c r="F49" s="53">
        <f>E49*'Gas Metrics'!H13</f>
        <v>77111.463535283212</v>
      </c>
      <c r="G49" s="418">
        <f t="shared" ref="G49:G50" si="8">D49+F49</f>
        <v>54510.459634254519</v>
      </c>
      <c r="H49" s="18"/>
      <c r="I49" s="18"/>
      <c r="J49" s="18"/>
      <c r="K49" s="18"/>
      <c r="L49" s="18"/>
      <c r="M49" s="18"/>
      <c r="N49" s="18"/>
      <c r="O49" s="18"/>
      <c r="P49" s="18"/>
      <c r="Q49" s="18"/>
      <c r="R49" s="18"/>
      <c r="S49" s="18"/>
      <c r="T49" s="18"/>
      <c r="U49" s="18"/>
      <c r="V49" s="18"/>
      <c r="W49" s="18"/>
      <c r="X49" s="18"/>
      <c r="Y49" s="18"/>
      <c r="Z49" s="18"/>
      <c r="AA49" s="18"/>
    </row>
    <row r="50" spans="1:27" ht="14.25" customHeight="1" x14ac:dyDescent="0.35">
      <c r="A50" s="380" t="s">
        <v>406</v>
      </c>
      <c r="B50" s="154">
        <v>1561</v>
      </c>
      <c r="C50" s="53">
        <f>B50*'Electricity Conversions'!$Q$30</f>
        <v>1613.5913550145128</v>
      </c>
      <c r="D50" s="124">
        <f>C50*'Electricity Conversions'!$B$20</f>
        <v>1065.3511018693619</v>
      </c>
      <c r="E50" s="53">
        <v>291</v>
      </c>
      <c r="F50" s="53">
        <f>E50*'Gas Metrics'!H13</f>
        <v>3860.2160482999166</v>
      </c>
      <c r="G50" s="418">
        <f t="shared" si="8"/>
        <v>4925.5671501692786</v>
      </c>
      <c r="H50" s="18"/>
      <c r="I50" s="18"/>
      <c r="J50" s="18"/>
      <c r="K50" s="18"/>
      <c r="L50" s="18"/>
      <c r="M50" s="18"/>
      <c r="N50" s="18"/>
      <c r="O50" s="18"/>
      <c r="P50" s="18"/>
      <c r="Q50" s="18"/>
      <c r="R50" s="18"/>
      <c r="S50" s="18"/>
      <c r="T50" s="18"/>
      <c r="U50" s="18"/>
      <c r="V50" s="18"/>
      <c r="W50" s="18"/>
      <c r="X50" s="18"/>
      <c r="Y50" s="18"/>
      <c r="Z50" s="18"/>
      <c r="AA50" s="18"/>
    </row>
    <row r="51" spans="1:27" ht="14.25" customHeight="1" x14ac:dyDescent="0.35">
      <c r="A51" s="423" t="s">
        <v>395</v>
      </c>
      <c r="B51" s="436">
        <f t="shared" ref="B51:F51" si="9">SUM(B49:B50)</f>
        <v>-31555</v>
      </c>
      <c r="C51" s="436">
        <f t="shared" si="9"/>
        <v>-32618.113521769992</v>
      </c>
      <c r="D51" s="431">
        <f t="shared" si="9"/>
        <v>-21535.652799159332</v>
      </c>
      <c r="E51" s="425">
        <f t="shared" si="9"/>
        <v>6104</v>
      </c>
      <c r="F51" s="425">
        <f t="shared" si="9"/>
        <v>80971.679583583129</v>
      </c>
      <c r="G51" s="427">
        <f>G49</f>
        <v>54510.459634254519</v>
      </c>
      <c r="H51" s="18"/>
      <c r="I51" s="18"/>
      <c r="J51" s="18"/>
      <c r="K51" s="18"/>
      <c r="L51" s="18"/>
      <c r="M51" s="18"/>
      <c r="N51" s="18"/>
      <c r="O51" s="18"/>
      <c r="P51" s="18"/>
      <c r="Q51" s="18"/>
      <c r="R51" s="18"/>
      <c r="S51" s="18"/>
      <c r="T51" s="18"/>
      <c r="U51" s="18"/>
      <c r="V51" s="18"/>
      <c r="W51" s="18"/>
      <c r="X51" s="18"/>
      <c r="Y51" s="18"/>
      <c r="Z51" s="18"/>
      <c r="AA51" s="18"/>
    </row>
    <row r="52" spans="1:27" ht="14.25" customHeight="1" x14ac:dyDescent="0.35">
      <c r="A52" s="121" t="s">
        <v>403</v>
      </c>
      <c r="B52" s="433">
        <f t="shared" ref="B52:D52" si="10">B46+B47+B49</f>
        <v>-7546</v>
      </c>
      <c r="C52" s="433">
        <f t="shared" si="10"/>
        <v>-7800.2308551822643</v>
      </c>
      <c r="D52" s="433">
        <f t="shared" si="10"/>
        <v>-5149.9932189021165</v>
      </c>
      <c r="E52" s="433">
        <f t="shared" ref="E52:F52" si="11">E51</f>
        <v>6104</v>
      </c>
      <c r="F52" s="433">
        <f t="shared" si="11"/>
        <v>80971.679583583129</v>
      </c>
      <c r="G52" s="437">
        <f>G48+G51</f>
        <v>71961.470316381092</v>
      </c>
      <c r="H52" s="18"/>
      <c r="I52" s="18"/>
      <c r="J52" s="18"/>
      <c r="K52" s="18"/>
      <c r="L52" s="18"/>
      <c r="M52" s="18"/>
      <c r="N52" s="18"/>
      <c r="O52" s="18"/>
      <c r="P52" s="18"/>
      <c r="Q52" s="18"/>
      <c r="R52" s="18"/>
      <c r="S52" s="18"/>
      <c r="T52" s="18"/>
      <c r="U52" s="18"/>
      <c r="V52" s="18"/>
      <c r="W52" s="18"/>
      <c r="X52" s="18"/>
      <c r="Y52" s="18"/>
      <c r="Z52" s="18"/>
      <c r="AA52" s="18"/>
    </row>
    <row r="53" spans="1:27" ht="14.25" customHeight="1" x14ac:dyDescent="0.35">
      <c r="A53" s="380" t="s">
        <v>396</v>
      </c>
      <c r="B53" s="18"/>
      <c r="C53" s="18"/>
      <c r="D53" s="18"/>
      <c r="E53" s="18"/>
      <c r="F53" s="18"/>
      <c r="G53" s="39"/>
      <c r="H53" s="18"/>
      <c r="I53" s="18"/>
      <c r="J53" s="18"/>
      <c r="K53" s="18"/>
      <c r="L53" s="18"/>
      <c r="M53" s="18"/>
      <c r="N53" s="18"/>
      <c r="O53" s="18"/>
      <c r="P53" s="18"/>
      <c r="Q53" s="18"/>
      <c r="R53" s="18"/>
      <c r="S53" s="18"/>
      <c r="T53" s="18"/>
      <c r="U53" s="18"/>
      <c r="V53" s="18"/>
      <c r="W53" s="18"/>
      <c r="X53" s="18"/>
      <c r="Y53" s="18"/>
      <c r="Z53" s="18"/>
      <c r="AA53" s="18"/>
    </row>
    <row r="54" spans="1:27" ht="14.25" customHeight="1" x14ac:dyDescent="0.35">
      <c r="A54" s="380" t="s">
        <v>397</v>
      </c>
      <c r="B54" s="18"/>
      <c r="C54" s="18"/>
      <c r="D54" s="18"/>
      <c r="E54" s="18"/>
      <c r="F54" s="18"/>
      <c r="G54" s="39"/>
      <c r="H54" s="18"/>
      <c r="I54" s="18"/>
      <c r="J54" s="18"/>
      <c r="K54" s="18"/>
      <c r="L54" s="18"/>
      <c r="M54" s="18"/>
      <c r="N54" s="18"/>
      <c r="O54" s="18"/>
      <c r="P54" s="18"/>
      <c r="Q54" s="18"/>
      <c r="R54" s="18"/>
      <c r="S54" s="18"/>
      <c r="T54" s="18"/>
      <c r="U54" s="18"/>
      <c r="V54" s="18"/>
      <c r="W54" s="18"/>
      <c r="X54" s="18"/>
      <c r="Y54" s="18"/>
      <c r="Z54" s="18"/>
      <c r="AA54" s="18"/>
    </row>
    <row r="55" spans="1:27" ht="14.25" customHeight="1" x14ac:dyDescent="0.35">
      <c r="A55" s="380" t="s">
        <v>398</v>
      </c>
      <c r="B55" s="18"/>
      <c r="C55" s="18"/>
      <c r="D55" s="18"/>
      <c r="E55" s="18"/>
      <c r="F55" s="18"/>
      <c r="G55" s="39"/>
      <c r="H55" s="18"/>
      <c r="I55" s="18"/>
      <c r="J55" s="18"/>
      <c r="K55" s="18"/>
      <c r="L55" s="18"/>
      <c r="M55" s="18"/>
      <c r="N55" s="18"/>
      <c r="O55" s="18"/>
      <c r="P55" s="18"/>
      <c r="Q55" s="18"/>
      <c r="R55" s="18"/>
      <c r="S55" s="18"/>
      <c r="T55" s="18"/>
      <c r="U55" s="18"/>
      <c r="V55" s="18"/>
      <c r="W55" s="18"/>
      <c r="X55" s="18"/>
      <c r="Y55" s="18"/>
      <c r="Z55" s="18"/>
      <c r="AA55" s="18"/>
    </row>
    <row r="56" spans="1:27" ht="14.25" customHeight="1" x14ac:dyDescent="0.35">
      <c r="A56" s="38"/>
      <c r="B56" s="18"/>
      <c r="C56" s="18"/>
      <c r="D56" s="18"/>
      <c r="E56" s="18"/>
      <c r="F56" s="18"/>
      <c r="G56" s="39"/>
      <c r="H56" s="18"/>
      <c r="I56" s="18"/>
      <c r="J56" s="18"/>
      <c r="K56" s="18"/>
      <c r="L56" s="18"/>
      <c r="M56" s="18"/>
      <c r="N56" s="18"/>
      <c r="O56" s="18"/>
      <c r="P56" s="18"/>
      <c r="Q56" s="18"/>
      <c r="R56" s="18"/>
      <c r="S56" s="18"/>
      <c r="T56" s="18"/>
      <c r="U56" s="18"/>
      <c r="V56" s="18"/>
      <c r="W56" s="18"/>
      <c r="X56" s="18"/>
      <c r="Y56" s="18"/>
      <c r="Z56" s="18"/>
      <c r="AA56" s="18"/>
    </row>
    <row r="57" spans="1:27" ht="14.25" customHeight="1" x14ac:dyDescent="0.35">
      <c r="A57" s="380" t="s">
        <v>399</v>
      </c>
      <c r="B57" s="18"/>
      <c r="C57" s="18"/>
      <c r="D57" s="18"/>
      <c r="E57" s="18"/>
      <c r="F57" s="18"/>
      <c r="G57" s="39"/>
      <c r="H57" s="18"/>
      <c r="I57" s="18"/>
      <c r="J57" s="18"/>
      <c r="K57" s="18"/>
      <c r="L57" s="18"/>
      <c r="M57" s="18"/>
      <c r="N57" s="18"/>
      <c r="O57" s="18"/>
      <c r="P57" s="18"/>
      <c r="Q57" s="18"/>
      <c r="R57" s="18"/>
      <c r="S57" s="18"/>
      <c r="T57" s="18"/>
      <c r="U57" s="18"/>
      <c r="V57" s="18"/>
      <c r="W57" s="18"/>
      <c r="X57" s="18"/>
      <c r="Y57" s="18"/>
      <c r="Z57" s="18"/>
      <c r="AA57" s="18"/>
    </row>
    <row r="58" spans="1:27" ht="14.25" customHeight="1" x14ac:dyDescent="0.35">
      <c r="A58" s="38">
        <v>2025</v>
      </c>
      <c r="B58" s="18">
        <f>0</f>
        <v>0</v>
      </c>
      <c r="C58" s="18"/>
      <c r="D58" s="18"/>
      <c r="E58" s="18"/>
      <c r="F58" s="18"/>
      <c r="G58" s="39"/>
      <c r="H58" s="18"/>
      <c r="I58" s="18"/>
      <c r="J58" s="18"/>
      <c r="K58" s="18"/>
      <c r="L58" s="18"/>
      <c r="M58" s="18"/>
      <c r="N58" s="18"/>
      <c r="O58" s="18"/>
      <c r="P58" s="18"/>
      <c r="Q58" s="18"/>
      <c r="R58" s="18"/>
      <c r="S58" s="18"/>
      <c r="T58" s="18"/>
      <c r="U58" s="18"/>
      <c r="V58" s="18"/>
      <c r="W58" s="18"/>
      <c r="X58" s="18"/>
      <c r="Y58" s="18"/>
      <c r="Z58" s="18"/>
      <c r="AA58" s="18"/>
    </row>
    <row r="59" spans="1:27" ht="14.25" customHeight="1" x14ac:dyDescent="0.35">
      <c r="A59" s="38">
        <v>2026</v>
      </c>
      <c r="B59" s="12">
        <f>G48</f>
        <v>17451.010682126576</v>
      </c>
      <c r="C59" s="18"/>
      <c r="D59" s="18"/>
      <c r="E59" s="18"/>
      <c r="F59" s="18"/>
      <c r="G59" s="39"/>
      <c r="H59" s="18"/>
      <c r="I59" s="18"/>
      <c r="J59" s="18"/>
      <c r="K59" s="18"/>
      <c r="L59" s="18"/>
      <c r="M59" s="18"/>
      <c r="N59" s="18"/>
      <c r="O59" s="18"/>
      <c r="P59" s="18"/>
      <c r="Q59" s="18"/>
      <c r="R59" s="18"/>
      <c r="S59" s="18"/>
      <c r="T59" s="18"/>
      <c r="U59" s="18"/>
      <c r="V59" s="18"/>
      <c r="W59" s="18"/>
      <c r="X59" s="18"/>
      <c r="Y59" s="18"/>
      <c r="Z59" s="18"/>
      <c r="AA59" s="18"/>
    </row>
    <row r="60" spans="1:27" ht="14.25" customHeight="1" x14ac:dyDescent="0.35">
      <c r="A60" s="74">
        <v>2027</v>
      </c>
      <c r="B60" s="140">
        <f>G48+G51</f>
        <v>71961.470316381092</v>
      </c>
      <c r="C60" s="428" t="s">
        <v>400</v>
      </c>
      <c r="D60" s="75"/>
      <c r="E60" s="75"/>
      <c r="F60" s="75"/>
      <c r="G60" s="76"/>
      <c r="H60" s="18"/>
      <c r="I60" s="18"/>
      <c r="J60" s="18"/>
      <c r="K60" s="18"/>
      <c r="L60" s="18"/>
      <c r="M60" s="18"/>
      <c r="N60" s="18"/>
      <c r="O60" s="18"/>
      <c r="P60" s="18"/>
      <c r="Q60" s="18"/>
      <c r="R60" s="18"/>
      <c r="S60" s="18"/>
      <c r="T60" s="18"/>
      <c r="U60" s="18"/>
      <c r="V60" s="18"/>
      <c r="W60" s="18"/>
      <c r="X60" s="18"/>
      <c r="Y60" s="18"/>
      <c r="Z60" s="18"/>
      <c r="AA60" s="18"/>
    </row>
    <row r="61" spans="1:27" ht="14.25" customHeight="1" x14ac:dyDescent="0.35"/>
    <row r="62" spans="1:27" ht="14.25" customHeight="1" x14ac:dyDescent="0.35"/>
    <row r="63" spans="1:27" ht="14.25" customHeight="1" x14ac:dyDescent="0.35">
      <c r="C63" s="438"/>
      <c r="D63" s="438"/>
      <c r="E63" s="438"/>
      <c r="F63" s="438"/>
      <c r="G63" s="438"/>
      <c r="H63" s="438"/>
      <c r="I63" s="438"/>
      <c r="J63" s="438"/>
      <c r="K63" s="438"/>
      <c r="L63" s="438"/>
      <c r="M63" s="438"/>
      <c r="N63" s="438"/>
      <c r="O63" s="438"/>
      <c r="P63" s="438"/>
      <c r="Q63" s="438"/>
    </row>
    <row r="64" spans="1:27" ht="14.25" customHeight="1" x14ac:dyDescent="0.35">
      <c r="A64" s="408" t="s">
        <v>407</v>
      </c>
      <c r="B64" s="439"/>
      <c r="C64" s="440"/>
      <c r="D64" s="441"/>
      <c r="E64" s="441"/>
      <c r="F64" s="441"/>
      <c r="G64" s="441"/>
      <c r="H64" s="441"/>
      <c r="I64" s="441"/>
      <c r="J64" s="441"/>
      <c r="K64" s="441"/>
      <c r="L64" s="441"/>
      <c r="M64" s="441"/>
      <c r="N64" s="441"/>
      <c r="O64" s="441"/>
      <c r="P64" s="441"/>
      <c r="Q64" s="441"/>
      <c r="R64" s="91"/>
      <c r="S64" s="91"/>
      <c r="T64" s="91"/>
      <c r="U64" s="91"/>
      <c r="V64" s="91"/>
      <c r="W64" s="91"/>
      <c r="X64" s="91"/>
      <c r="Y64" s="91"/>
      <c r="Z64" s="91"/>
      <c r="AA64" s="91"/>
    </row>
    <row r="65" spans="1:27" ht="14.25" customHeight="1" x14ac:dyDescent="0.35">
      <c r="A65" s="38"/>
      <c r="B65" s="49" t="s">
        <v>408</v>
      </c>
      <c r="C65" s="442"/>
      <c r="D65" s="438"/>
      <c r="E65" s="438"/>
      <c r="F65" s="438"/>
      <c r="G65" s="438"/>
      <c r="H65" s="438"/>
      <c r="I65" s="438"/>
      <c r="J65" s="438"/>
      <c r="K65" s="438"/>
      <c r="L65" s="438"/>
      <c r="M65" s="438"/>
      <c r="N65" s="438"/>
      <c r="O65" s="438"/>
      <c r="P65" s="438"/>
      <c r="Q65" s="438"/>
    </row>
    <row r="66" spans="1:27" ht="14.25" customHeight="1" x14ac:dyDescent="0.35">
      <c r="A66" s="443" t="s">
        <v>409</v>
      </c>
      <c r="B66" s="156">
        <v>1757800</v>
      </c>
      <c r="C66" s="442"/>
      <c r="D66" s="438"/>
      <c r="E66" s="438"/>
      <c r="F66" s="438"/>
      <c r="G66" s="438"/>
      <c r="H66" s="438"/>
      <c r="I66" s="438"/>
      <c r="J66" s="438"/>
      <c r="K66" s="438"/>
      <c r="L66" s="438"/>
      <c r="M66" s="438"/>
      <c r="N66" s="438"/>
      <c r="O66" s="438"/>
      <c r="P66" s="438"/>
      <c r="Q66" s="438"/>
    </row>
    <row r="67" spans="1:27" ht="14.25" customHeight="1" x14ac:dyDescent="0.35">
      <c r="A67" s="443" t="s">
        <v>410</v>
      </c>
      <c r="B67" s="156">
        <v>4614175</v>
      </c>
      <c r="C67" s="442"/>
      <c r="D67" s="438"/>
      <c r="E67" s="438"/>
      <c r="F67" s="438"/>
      <c r="G67" s="438"/>
      <c r="H67" s="438"/>
      <c r="I67" s="438"/>
      <c r="J67" s="438"/>
      <c r="K67" s="438"/>
      <c r="L67" s="438"/>
      <c r="M67" s="438"/>
      <c r="N67" s="438"/>
      <c r="O67" s="438"/>
      <c r="P67" s="438"/>
      <c r="Q67" s="438"/>
    </row>
    <row r="68" spans="1:27" ht="14.25" customHeight="1" x14ac:dyDescent="0.35">
      <c r="A68" s="443" t="s">
        <v>411</v>
      </c>
      <c r="B68" s="156">
        <v>7010113</v>
      </c>
      <c r="C68" s="442"/>
      <c r="D68" s="438"/>
      <c r="E68" s="438"/>
      <c r="F68" s="438"/>
      <c r="G68" s="438"/>
      <c r="H68" s="438"/>
      <c r="I68" s="438"/>
      <c r="J68" s="438"/>
      <c r="K68" s="438"/>
      <c r="L68" s="438"/>
      <c r="M68" s="438"/>
      <c r="N68" s="438"/>
      <c r="O68" s="438"/>
      <c r="P68" s="438"/>
      <c r="Q68" s="438"/>
    </row>
    <row r="69" spans="1:27" ht="14.25" customHeight="1" x14ac:dyDescent="0.35">
      <c r="A69" s="443" t="s">
        <v>412</v>
      </c>
      <c r="B69" s="156">
        <v>12414138</v>
      </c>
      <c r="C69" s="442"/>
      <c r="D69" s="438"/>
      <c r="E69" s="438"/>
      <c r="F69" s="438"/>
      <c r="G69" s="438"/>
      <c r="H69" s="438"/>
      <c r="I69" s="438"/>
      <c r="J69" s="438"/>
      <c r="K69" s="438"/>
      <c r="L69" s="438"/>
      <c r="M69" s="438"/>
      <c r="N69" s="438"/>
      <c r="O69" s="438"/>
      <c r="P69" s="438"/>
      <c r="Q69" s="438"/>
    </row>
    <row r="70" spans="1:27" ht="14.25" customHeight="1" x14ac:dyDescent="0.35">
      <c r="A70" s="443" t="s">
        <v>413</v>
      </c>
      <c r="B70" s="156">
        <v>15422225</v>
      </c>
      <c r="C70" s="442"/>
      <c r="D70" s="438"/>
      <c r="E70" s="438"/>
      <c r="F70" s="438"/>
      <c r="G70" s="438"/>
      <c r="H70" s="438"/>
      <c r="I70" s="438"/>
      <c r="J70" s="438"/>
      <c r="K70" s="438"/>
      <c r="L70" s="438"/>
      <c r="M70" s="438"/>
      <c r="N70" s="438"/>
      <c r="O70" s="438"/>
      <c r="P70" s="438"/>
      <c r="Q70" s="438"/>
    </row>
    <row r="71" spans="1:27" ht="14.25" customHeight="1" x14ac:dyDescent="0.35">
      <c r="A71" s="443" t="s">
        <v>414</v>
      </c>
      <c r="B71" s="156">
        <f>B70*0.66</f>
        <v>10178668.5</v>
      </c>
      <c r="C71" s="442"/>
      <c r="D71" s="438"/>
      <c r="E71" s="438"/>
      <c r="F71" s="438"/>
      <c r="G71" s="438"/>
      <c r="H71" s="438"/>
      <c r="I71" s="438"/>
      <c r="J71" s="438"/>
      <c r="K71" s="438"/>
      <c r="L71" s="438"/>
      <c r="M71" s="438"/>
      <c r="N71" s="438"/>
      <c r="O71" s="438"/>
      <c r="P71" s="438"/>
      <c r="Q71" s="438"/>
      <c r="R71" s="18"/>
      <c r="S71" s="18"/>
      <c r="T71" s="18"/>
      <c r="U71" s="18"/>
      <c r="V71" s="18"/>
      <c r="W71" s="18"/>
      <c r="X71" s="18"/>
      <c r="Y71" s="18"/>
      <c r="Z71" s="18"/>
      <c r="AA71" s="18"/>
    </row>
    <row r="72" spans="1:27" ht="14.25" customHeight="1" x14ac:dyDescent="0.35">
      <c r="A72" s="443" t="s">
        <v>415</v>
      </c>
      <c r="B72" s="156">
        <f>B70*0.33</f>
        <v>5089334.25</v>
      </c>
      <c r="C72" s="442"/>
      <c r="D72" s="438"/>
      <c r="E72" s="438"/>
      <c r="F72" s="438"/>
      <c r="G72" s="438"/>
      <c r="H72" s="438"/>
      <c r="I72" s="438"/>
      <c r="J72" s="438"/>
      <c r="K72" s="438"/>
      <c r="L72" s="438"/>
      <c r="M72" s="438"/>
      <c r="N72" s="438"/>
      <c r="O72" s="438"/>
      <c r="P72" s="438"/>
      <c r="Q72" s="438"/>
      <c r="R72" s="18"/>
      <c r="S72" s="18"/>
      <c r="T72" s="18"/>
      <c r="U72" s="18"/>
      <c r="V72" s="18"/>
      <c r="W72" s="18"/>
      <c r="X72" s="18"/>
      <c r="Y72" s="18"/>
      <c r="Z72" s="18"/>
      <c r="AA72" s="18"/>
    </row>
    <row r="73" spans="1:27" ht="14.25" customHeight="1" x14ac:dyDescent="0.35">
      <c r="A73" s="443"/>
      <c r="B73" s="156"/>
      <c r="C73" s="442"/>
      <c r="D73" s="438"/>
      <c r="E73" s="438"/>
      <c r="F73" s="438"/>
      <c r="G73" s="438"/>
      <c r="H73" s="438"/>
      <c r="I73" s="438"/>
      <c r="J73" s="438"/>
      <c r="K73" s="438"/>
      <c r="L73" s="438"/>
      <c r="M73" s="438"/>
      <c r="N73" s="438"/>
      <c r="O73" s="438"/>
      <c r="P73" s="438"/>
      <c r="Q73" s="438"/>
      <c r="R73" s="18"/>
      <c r="S73" s="18"/>
      <c r="T73" s="18"/>
      <c r="U73" s="18"/>
      <c r="V73" s="18"/>
      <c r="W73" s="18"/>
      <c r="X73" s="18"/>
      <c r="Y73" s="18"/>
      <c r="Z73" s="18"/>
      <c r="AA73" s="18"/>
    </row>
    <row r="74" spans="1:27" ht="14.25" customHeight="1" x14ac:dyDescent="0.35">
      <c r="A74" s="444" t="s">
        <v>33</v>
      </c>
      <c r="B74" s="134">
        <f>SUM(B66:B70)</f>
        <v>41218451</v>
      </c>
      <c r="C74" s="442"/>
      <c r="D74" s="438"/>
      <c r="E74" s="438"/>
      <c r="F74" s="438"/>
      <c r="G74" s="438"/>
      <c r="H74" s="438"/>
      <c r="I74" s="438"/>
      <c r="J74" s="438"/>
      <c r="K74" s="438"/>
      <c r="L74" s="438"/>
      <c r="M74" s="438"/>
      <c r="N74" s="438"/>
      <c r="O74" s="438"/>
      <c r="P74" s="438"/>
      <c r="Q74" s="438"/>
    </row>
    <row r="75" spans="1:27" ht="14.25" customHeight="1" x14ac:dyDescent="0.35">
      <c r="A75" s="445" t="s">
        <v>34</v>
      </c>
      <c r="B75" s="426">
        <f>SUM(B66:B72)</f>
        <v>56486453.75</v>
      </c>
      <c r="C75" s="442"/>
      <c r="D75" s="438"/>
      <c r="E75" s="438"/>
      <c r="F75" s="438"/>
      <c r="G75" s="438"/>
      <c r="H75" s="438"/>
      <c r="I75" s="438"/>
      <c r="J75" s="438"/>
      <c r="K75" s="438"/>
      <c r="L75" s="438"/>
      <c r="M75" s="438"/>
      <c r="N75" s="438"/>
      <c r="O75" s="438"/>
      <c r="P75" s="438"/>
      <c r="Q75" s="438"/>
    </row>
    <row r="76" spans="1:27" ht="14.25" customHeight="1" x14ac:dyDescent="0.35">
      <c r="C76" s="446"/>
      <c r="D76" s="446"/>
      <c r="E76" s="446"/>
      <c r="F76" s="446"/>
      <c r="G76" s="446"/>
      <c r="H76" s="446"/>
      <c r="I76" s="446"/>
      <c r="J76" s="446"/>
      <c r="K76" s="446"/>
      <c r="L76" s="446"/>
      <c r="M76" s="446"/>
      <c r="N76" s="446"/>
      <c r="O76" s="446"/>
      <c r="P76" s="446"/>
      <c r="Q76" s="446"/>
    </row>
    <row r="77" spans="1:27" ht="14.25" customHeight="1" x14ac:dyDescent="0.35">
      <c r="A77" s="447"/>
      <c r="B77" s="320"/>
      <c r="C77" s="320"/>
      <c r="D77" s="320"/>
      <c r="E77" s="320"/>
      <c r="F77" s="320"/>
      <c r="G77" s="320"/>
      <c r="H77" s="320"/>
      <c r="I77" s="320"/>
      <c r="J77" s="320"/>
      <c r="K77" s="320"/>
      <c r="L77" s="321"/>
      <c r="M77" s="320"/>
      <c r="N77" s="320"/>
      <c r="O77" s="320"/>
      <c r="P77" s="320"/>
      <c r="Q77" s="320"/>
      <c r="R77" s="320"/>
      <c r="S77" s="320"/>
      <c r="T77" s="320"/>
      <c r="U77" s="320"/>
      <c r="V77" s="320"/>
      <c r="W77" s="321"/>
    </row>
    <row r="78" spans="1:27" ht="14.25" customHeight="1" x14ac:dyDescent="0.35">
      <c r="A78" s="448" t="s">
        <v>416</v>
      </c>
      <c r="B78" s="287"/>
      <c r="C78" s="287"/>
      <c r="D78" s="287"/>
      <c r="E78" s="287"/>
      <c r="F78" s="287"/>
      <c r="G78" s="287"/>
      <c r="H78" s="287"/>
      <c r="I78" s="287"/>
      <c r="J78" s="287"/>
      <c r="K78" s="287"/>
      <c r="L78" s="449"/>
      <c r="M78" s="287"/>
      <c r="N78" s="287"/>
      <c r="O78" s="287"/>
      <c r="P78" s="287"/>
      <c r="Q78" s="287"/>
      <c r="R78" s="287"/>
      <c r="S78" s="287"/>
      <c r="T78" s="287"/>
      <c r="U78" s="287"/>
      <c r="V78" s="287"/>
      <c r="W78" s="449"/>
    </row>
    <row r="79" spans="1:27" ht="14.25" customHeight="1" x14ac:dyDescent="0.35">
      <c r="A79" s="38"/>
      <c r="B79" s="91">
        <v>2022</v>
      </c>
      <c r="C79" s="91">
        <v>2021</v>
      </c>
      <c r="D79" s="91">
        <v>2020</v>
      </c>
      <c r="E79" s="91">
        <v>2019</v>
      </c>
      <c r="F79" s="91">
        <v>2018</v>
      </c>
      <c r="G79" s="273" t="s">
        <v>417</v>
      </c>
      <c r="H79" s="273" t="s">
        <v>418</v>
      </c>
      <c r="I79" s="555" t="s">
        <v>419</v>
      </c>
      <c r="J79" s="535"/>
      <c r="K79" s="555" t="s">
        <v>420</v>
      </c>
      <c r="L79" s="535"/>
      <c r="M79" s="18"/>
      <c r="N79" s="18"/>
      <c r="O79" s="18"/>
      <c r="P79" s="18"/>
      <c r="Q79" s="18"/>
      <c r="R79" s="18"/>
      <c r="S79" s="18"/>
      <c r="T79" s="18"/>
      <c r="U79" s="18"/>
      <c r="V79" s="18"/>
      <c r="W79" s="39"/>
    </row>
    <row r="80" spans="1:27" ht="14.25" customHeight="1" x14ac:dyDescent="0.35">
      <c r="A80" s="380" t="s">
        <v>421</v>
      </c>
      <c r="B80" s="53">
        <v>122501</v>
      </c>
      <c r="C80" s="53">
        <v>136324</v>
      </c>
      <c r="D80" s="53">
        <v>135136</v>
      </c>
      <c r="E80" s="53">
        <v>194316</v>
      </c>
      <c r="F80" s="53">
        <v>177188</v>
      </c>
      <c r="G80" s="450">
        <f>AVERAGE(B80:F80)</f>
        <v>153093</v>
      </c>
      <c r="H80" s="450">
        <f>G80/6</f>
        <v>25515.5</v>
      </c>
      <c r="I80" s="451">
        <f>H80*V101</f>
        <v>115021.84691844891</v>
      </c>
      <c r="J80" s="393" t="s">
        <v>422</v>
      </c>
      <c r="K80" s="452">
        <f t="shared" ref="K80:K81" si="12">8*I80</f>
        <v>920174.77534759126</v>
      </c>
      <c r="L80" s="393" t="s">
        <v>422</v>
      </c>
      <c r="M80" s="18"/>
      <c r="N80" s="18"/>
      <c r="O80" s="18"/>
      <c r="P80" s="18"/>
      <c r="Q80" s="18"/>
      <c r="R80" s="18"/>
      <c r="S80" s="18"/>
      <c r="T80" s="18"/>
      <c r="U80" s="18"/>
      <c r="V80" s="18"/>
      <c r="W80" s="39"/>
    </row>
    <row r="81" spans="1:27" ht="14.25" customHeight="1" x14ac:dyDescent="0.35">
      <c r="A81" s="380" t="s">
        <v>423</v>
      </c>
      <c r="B81" s="18"/>
      <c r="C81" s="18"/>
      <c r="D81" s="18"/>
      <c r="E81" s="18"/>
      <c r="F81" s="18"/>
      <c r="G81" s="18"/>
      <c r="H81" s="18"/>
      <c r="I81" s="453">
        <f>H80*F84</f>
        <v>28195.870690947224</v>
      </c>
      <c r="J81" s="373" t="s">
        <v>424</v>
      </c>
      <c r="K81" s="453">
        <f t="shared" si="12"/>
        <v>225566.96552757779</v>
      </c>
      <c r="L81" s="373" t="s">
        <v>424</v>
      </c>
      <c r="M81" s="18"/>
      <c r="N81" s="18"/>
      <c r="O81" s="18"/>
      <c r="P81" s="18"/>
      <c r="Q81" s="18"/>
      <c r="R81" s="18"/>
      <c r="S81" s="18"/>
      <c r="T81" s="18"/>
      <c r="U81" s="18"/>
      <c r="V81" s="18"/>
      <c r="W81" s="39"/>
    </row>
    <row r="82" spans="1:27" ht="14.25" customHeight="1" x14ac:dyDescent="0.35">
      <c r="A82" s="38"/>
      <c r="B82" s="18"/>
      <c r="C82" s="18"/>
      <c r="D82" s="18"/>
      <c r="E82" s="18"/>
      <c r="F82" s="18"/>
      <c r="G82" s="18"/>
      <c r="H82" s="18"/>
      <c r="I82" s="18"/>
      <c r="J82" s="18"/>
      <c r="K82" s="18"/>
      <c r="L82" s="39"/>
      <c r="M82" s="18"/>
      <c r="N82" s="18"/>
      <c r="O82" s="18"/>
      <c r="P82" s="18"/>
      <c r="Q82" s="18"/>
      <c r="R82" s="18"/>
      <c r="S82" s="18"/>
      <c r="T82" s="18"/>
      <c r="U82" s="18"/>
      <c r="V82" s="18"/>
      <c r="W82" s="39"/>
    </row>
    <row r="83" spans="1:27" ht="14.25" customHeight="1" x14ac:dyDescent="0.35">
      <c r="A83" s="454" t="s">
        <v>425</v>
      </c>
      <c r="B83" s="239" t="s">
        <v>426</v>
      </c>
      <c r="C83" s="239"/>
      <c r="D83" s="239"/>
      <c r="E83" s="117" t="s">
        <v>268</v>
      </c>
      <c r="F83" s="455" t="s">
        <v>427</v>
      </c>
      <c r="G83" s="18"/>
      <c r="H83" s="18"/>
      <c r="I83" s="18"/>
      <c r="J83" s="18"/>
      <c r="K83" s="18"/>
      <c r="L83" s="39"/>
      <c r="M83" s="18"/>
      <c r="N83" s="18"/>
      <c r="O83" s="18"/>
      <c r="P83" s="18"/>
      <c r="Q83" s="18"/>
      <c r="R83" s="18"/>
      <c r="S83" s="18"/>
      <c r="T83" s="18"/>
      <c r="U83" s="18"/>
      <c r="V83" s="18"/>
      <c r="W83" s="39"/>
    </row>
    <row r="84" spans="1:27" ht="14.25" customHeight="1" x14ac:dyDescent="0.35">
      <c r="A84" s="74"/>
      <c r="B84" s="456" t="s">
        <v>428</v>
      </c>
      <c r="C84" s="457">
        <f>500*F88</f>
        <v>310.68559499999998</v>
      </c>
      <c r="D84" s="75" t="s">
        <v>429</v>
      </c>
      <c r="E84" s="76">
        <f>520/C84</f>
        <v>1.6737177660264553</v>
      </c>
      <c r="F84" s="19">
        <f>E84*'Electricity Conversions'!B20</f>
        <v>1.1050487229702426</v>
      </c>
      <c r="G84" s="75"/>
      <c r="H84" s="75"/>
      <c r="I84" s="75"/>
      <c r="J84" s="75"/>
      <c r="K84" s="75"/>
      <c r="L84" s="76"/>
      <c r="M84" s="18"/>
      <c r="N84" s="18"/>
      <c r="O84" s="18"/>
      <c r="P84" s="18"/>
      <c r="Q84" s="18"/>
      <c r="R84" s="18"/>
      <c r="S84" s="18"/>
      <c r="T84" s="18"/>
      <c r="U84" s="18"/>
      <c r="V84" s="18"/>
      <c r="W84" s="39"/>
    </row>
    <row r="85" spans="1:27" ht="14.25" customHeight="1" x14ac:dyDescent="0.35">
      <c r="A85" s="153"/>
      <c r="B85" s="416"/>
      <c r="C85" s="239"/>
      <c r="D85" s="239"/>
      <c r="E85" s="117"/>
      <c r="F85" s="18"/>
      <c r="G85" s="18"/>
      <c r="H85" s="18"/>
      <c r="I85" s="18"/>
      <c r="J85" s="18"/>
      <c r="K85" s="18"/>
      <c r="L85" s="18"/>
      <c r="M85" s="18"/>
      <c r="N85" s="18"/>
      <c r="O85" s="18"/>
      <c r="P85" s="18"/>
      <c r="Q85" s="18"/>
      <c r="R85" s="18"/>
      <c r="S85" s="18"/>
      <c r="T85" s="18"/>
      <c r="U85" s="18"/>
      <c r="V85" s="18"/>
      <c r="W85" s="39"/>
    </row>
    <row r="86" spans="1:27" ht="14.25" customHeight="1" x14ac:dyDescent="0.35">
      <c r="A86" s="458" t="s">
        <v>302</v>
      </c>
      <c r="B86" s="18"/>
      <c r="C86" s="18"/>
      <c r="D86" s="18"/>
      <c r="E86" s="39"/>
      <c r="F86" s="18"/>
      <c r="G86" s="18"/>
      <c r="H86" s="18"/>
      <c r="I86" s="18"/>
      <c r="J86" s="18"/>
      <c r="K86" s="18"/>
      <c r="L86" s="18"/>
      <c r="M86" s="18"/>
      <c r="N86" s="18"/>
      <c r="O86" s="18"/>
      <c r="P86" s="18"/>
      <c r="Q86" s="18"/>
      <c r="R86" s="18"/>
      <c r="S86" s="18"/>
      <c r="T86" s="18"/>
      <c r="U86" s="18"/>
      <c r="V86" s="18"/>
      <c r="W86" s="39"/>
    </row>
    <row r="87" spans="1:27" ht="16.5" customHeight="1" x14ac:dyDescent="0.35">
      <c r="A87" s="559" t="s">
        <v>430</v>
      </c>
      <c r="B87" s="537"/>
      <c r="C87" s="537"/>
      <c r="D87" s="537"/>
      <c r="E87" s="538"/>
      <c r="F87" s="153">
        <v>1</v>
      </c>
      <c r="G87" s="117" t="s">
        <v>431</v>
      </c>
      <c r="H87" s="153" t="s">
        <v>432</v>
      </c>
      <c r="I87" s="239">
        <v>2.20462E-3</v>
      </c>
      <c r="J87" s="117" t="s">
        <v>309</v>
      </c>
      <c r="K87" s="459"/>
      <c r="L87" s="459"/>
      <c r="M87" s="459"/>
      <c r="N87" s="459"/>
      <c r="O87" s="460"/>
      <c r="P87" s="460"/>
      <c r="Q87" s="460"/>
      <c r="R87" s="460"/>
      <c r="S87" s="460"/>
      <c r="T87" s="460"/>
      <c r="U87" s="460"/>
      <c r="V87" s="460"/>
      <c r="W87" s="461"/>
      <c r="X87" s="460"/>
      <c r="Y87" s="460"/>
      <c r="Z87" s="460"/>
      <c r="AA87" s="460"/>
    </row>
    <row r="88" spans="1:27" ht="16.5" customHeight="1" x14ac:dyDescent="0.35">
      <c r="A88" s="560" t="s">
        <v>433</v>
      </c>
      <c r="B88" s="561"/>
      <c r="C88" s="561"/>
      <c r="D88" s="562"/>
      <c r="E88" s="462"/>
      <c r="F88" s="74">
        <v>0.62137118999999996</v>
      </c>
      <c r="G88" s="76" t="s">
        <v>434</v>
      </c>
      <c r="H88" s="74"/>
      <c r="I88" s="75"/>
      <c r="J88" s="76"/>
      <c r="K88" s="463"/>
      <c r="L88" s="463"/>
      <c r="M88" s="463"/>
      <c r="N88" s="463"/>
      <c r="O88" s="460"/>
      <c r="P88" s="460"/>
      <c r="Q88" s="460"/>
      <c r="R88" s="460"/>
      <c r="S88" s="460"/>
      <c r="T88" s="460"/>
      <c r="U88" s="460"/>
      <c r="V88" s="460"/>
      <c r="W88" s="461"/>
      <c r="X88" s="460"/>
      <c r="Y88" s="460"/>
      <c r="Z88" s="460"/>
      <c r="AA88" s="460"/>
    </row>
    <row r="89" spans="1:27" ht="14.25" customHeight="1" x14ac:dyDescent="0.35">
      <c r="A89" s="559" t="s">
        <v>435</v>
      </c>
      <c r="B89" s="537"/>
      <c r="C89" s="537"/>
      <c r="D89" s="537"/>
      <c r="E89" s="464"/>
      <c r="F89" s="459"/>
      <c r="G89" s="459"/>
      <c r="H89" s="459"/>
      <c r="I89" s="459"/>
      <c r="J89" s="459"/>
      <c r="K89" s="459"/>
      <c r="L89" s="460"/>
      <c r="M89" s="460"/>
      <c r="N89" s="460"/>
      <c r="O89" s="460"/>
      <c r="P89" s="460"/>
      <c r="Q89" s="460"/>
      <c r="R89" s="460"/>
      <c r="S89" s="460"/>
      <c r="T89" s="460"/>
      <c r="U89" s="460"/>
      <c r="V89" s="460"/>
      <c r="W89" s="461"/>
      <c r="X89" s="460"/>
      <c r="Y89" s="460"/>
      <c r="Z89" s="460"/>
      <c r="AA89" s="460"/>
    </row>
    <row r="90" spans="1:27" ht="14.25" customHeight="1" x14ac:dyDescent="0.35">
      <c r="A90" s="38"/>
      <c r="B90" s="18"/>
      <c r="C90" s="18"/>
      <c r="D90" s="18"/>
      <c r="E90" s="39"/>
      <c r="F90" s="18"/>
      <c r="G90" s="18"/>
      <c r="H90" s="18"/>
      <c r="I90" s="18"/>
      <c r="J90" s="18"/>
      <c r="K90" s="18"/>
      <c r="L90" s="18"/>
      <c r="M90" s="18"/>
      <c r="N90" s="18"/>
      <c r="O90" s="18"/>
      <c r="P90" s="18"/>
      <c r="Q90" s="18"/>
      <c r="R90" s="18"/>
      <c r="S90" s="18"/>
      <c r="T90" s="18"/>
      <c r="U90" s="18"/>
      <c r="V90" s="18"/>
      <c r="W90" s="39"/>
    </row>
    <row r="91" spans="1:27" ht="14.25" customHeight="1" x14ac:dyDescent="0.35">
      <c r="A91" s="74"/>
      <c r="B91" s="75"/>
      <c r="C91" s="75"/>
      <c r="D91" s="75"/>
      <c r="E91" s="76"/>
      <c r="F91" s="18"/>
      <c r="G91" s="18"/>
      <c r="H91" s="18"/>
      <c r="I91" s="18"/>
      <c r="J91" s="18"/>
      <c r="K91" s="18"/>
      <c r="L91" s="18"/>
      <c r="M91" s="18"/>
      <c r="N91" s="18"/>
      <c r="O91" s="18"/>
      <c r="P91" s="18"/>
      <c r="Q91" s="18"/>
      <c r="R91" s="18"/>
      <c r="S91" s="18"/>
      <c r="T91" s="18"/>
      <c r="U91" s="18"/>
      <c r="V91" s="18"/>
      <c r="W91" s="39"/>
    </row>
    <row r="92" spans="1:27" ht="14.25" customHeight="1" x14ac:dyDescent="0.35">
      <c r="A92" s="465" t="s">
        <v>436</v>
      </c>
      <c r="B92" s="239"/>
      <c r="C92" s="240" t="s">
        <v>437</v>
      </c>
      <c r="D92" s="239"/>
      <c r="E92" s="117"/>
      <c r="F92" s="18"/>
      <c r="G92" s="18"/>
      <c r="H92" s="18"/>
      <c r="I92" s="18"/>
      <c r="J92" s="18"/>
      <c r="K92" s="18"/>
      <c r="L92" s="18"/>
      <c r="M92" s="18"/>
      <c r="N92" s="18"/>
      <c r="O92" s="18"/>
      <c r="P92" s="18"/>
      <c r="Q92" s="18"/>
      <c r="R92" s="18"/>
      <c r="S92" s="18"/>
      <c r="T92" s="18"/>
      <c r="U92" s="18"/>
      <c r="V92" s="18"/>
      <c r="W92" s="39"/>
    </row>
    <row r="93" spans="1:27" ht="14.25" customHeight="1" x14ac:dyDescent="0.35">
      <c r="A93" s="466"/>
      <c r="B93" s="18"/>
      <c r="C93" s="18"/>
      <c r="D93" s="18"/>
      <c r="E93" s="39"/>
      <c r="F93" s="18" t="s">
        <v>438</v>
      </c>
      <c r="G93" s="18"/>
      <c r="H93" s="18"/>
      <c r="I93" s="18"/>
      <c r="J93" s="18"/>
      <c r="K93" s="18"/>
      <c r="L93" s="18"/>
      <c r="M93" s="18"/>
      <c r="N93" s="18"/>
      <c r="O93" s="18"/>
      <c r="P93" s="18"/>
      <c r="Q93" s="18"/>
      <c r="R93" s="18"/>
      <c r="S93" s="18"/>
      <c r="T93" s="18"/>
      <c r="U93" s="18"/>
      <c r="V93" s="18"/>
      <c r="W93" s="39"/>
    </row>
    <row r="94" spans="1:27" ht="14.25" customHeight="1" x14ac:dyDescent="0.35">
      <c r="A94" s="467" t="s">
        <v>439</v>
      </c>
      <c r="B94" s="18"/>
      <c r="C94" s="18"/>
      <c r="D94" s="18"/>
      <c r="E94" s="39"/>
      <c r="F94" s="78" t="s">
        <v>440</v>
      </c>
      <c r="G94" s="18"/>
      <c r="H94" s="18"/>
      <c r="I94" s="18"/>
      <c r="J94" s="18"/>
      <c r="K94" s="18"/>
      <c r="L94" s="18"/>
      <c r="M94" s="18"/>
      <c r="N94" s="18"/>
      <c r="O94" s="18"/>
      <c r="P94" s="18"/>
      <c r="Q94" s="18"/>
      <c r="R94" s="18"/>
      <c r="S94" s="18"/>
      <c r="T94" s="18"/>
      <c r="U94" s="18"/>
      <c r="V94" s="18"/>
      <c r="W94" s="39"/>
    </row>
    <row r="95" spans="1:27" ht="14.25" customHeight="1" x14ac:dyDescent="0.35">
      <c r="A95" s="468" t="s">
        <v>441</v>
      </c>
      <c r="B95" s="19">
        <v>5</v>
      </c>
      <c r="C95" s="469" t="s">
        <v>442</v>
      </c>
      <c r="D95" s="18"/>
      <c r="E95" s="39"/>
      <c r="F95" s="18"/>
      <c r="G95" s="18"/>
      <c r="H95" s="18"/>
      <c r="I95" s="18"/>
      <c r="J95" s="18"/>
      <c r="K95" s="18"/>
      <c r="L95" s="18"/>
      <c r="M95" s="563" t="s">
        <v>114</v>
      </c>
      <c r="N95" s="535"/>
      <c r="O95" s="18"/>
      <c r="P95" s="18"/>
      <c r="Q95" s="18"/>
      <c r="R95" s="18"/>
      <c r="S95" s="18"/>
      <c r="T95" s="18"/>
      <c r="U95" s="18"/>
      <c r="V95" s="18"/>
      <c r="W95" s="39"/>
    </row>
    <row r="96" spans="1:27" ht="14.25" customHeight="1" x14ac:dyDescent="0.35">
      <c r="A96" s="467" t="s">
        <v>443</v>
      </c>
      <c r="B96" s="18"/>
      <c r="C96" s="18"/>
      <c r="D96" s="18"/>
      <c r="E96" s="39"/>
      <c r="F96" s="18">
        <v>10.210000000000001</v>
      </c>
      <c r="G96" s="18" t="s">
        <v>444</v>
      </c>
      <c r="H96" s="18"/>
      <c r="I96" s="18"/>
      <c r="J96" s="18"/>
      <c r="K96" s="18"/>
      <c r="L96" s="18"/>
      <c r="M96" s="47" t="s">
        <v>116</v>
      </c>
      <c r="N96" s="49" t="s">
        <v>117</v>
      </c>
      <c r="O96" s="18"/>
      <c r="P96" s="18"/>
      <c r="Q96" s="18"/>
      <c r="R96" s="18"/>
      <c r="S96" s="18"/>
      <c r="T96" s="18"/>
      <c r="U96" s="18"/>
      <c r="V96" s="18"/>
      <c r="W96" s="39"/>
    </row>
    <row r="97" spans="1:27" ht="14.25" customHeight="1" x14ac:dyDescent="0.35">
      <c r="A97" s="467" t="s">
        <v>445</v>
      </c>
      <c r="B97" s="18"/>
      <c r="C97" s="18"/>
      <c r="D97" s="18"/>
      <c r="E97" s="39"/>
      <c r="F97" s="18">
        <v>8.7799999999999994</v>
      </c>
      <c r="G97" s="18" t="s">
        <v>446</v>
      </c>
      <c r="H97" s="18"/>
      <c r="I97" s="18"/>
      <c r="J97" s="18"/>
      <c r="K97" s="18"/>
      <c r="L97" s="18"/>
      <c r="M97" s="470">
        <v>28</v>
      </c>
      <c r="N97" s="471">
        <v>265</v>
      </c>
      <c r="O97" s="18"/>
      <c r="P97" s="18"/>
      <c r="Q97" s="18"/>
      <c r="R97" s="18"/>
      <c r="S97" s="18"/>
      <c r="T97" s="18"/>
      <c r="U97" s="18"/>
      <c r="V97" s="18"/>
      <c r="W97" s="39"/>
    </row>
    <row r="98" spans="1:27" ht="14.25" customHeight="1" x14ac:dyDescent="0.35">
      <c r="A98" s="467" t="s">
        <v>447</v>
      </c>
      <c r="B98" s="18"/>
      <c r="C98" s="18"/>
      <c r="D98" s="18"/>
      <c r="E98" s="39"/>
      <c r="F98" s="18"/>
      <c r="G98" s="18"/>
      <c r="H98" s="18"/>
      <c r="I98" s="18"/>
      <c r="J98" s="18"/>
      <c r="K98" s="18"/>
      <c r="L98" s="18"/>
      <c r="M98" s="18"/>
      <c r="N98" s="18"/>
      <c r="O98" s="18"/>
      <c r="P98" s="18"/>
      <c r="Q98" s="18"/>
      <c r="R98" s="18"/>
      <c r="S98" s="18"/>
      <c r="T98" s="18"/>
      <c r="U98" s="18"/>
      <c r="V98" s="18"/>
      <c r="W98" s="39"/>
    </row>
    <row r="99" spans="1:27" ht="14.25" customHeight="1" x14ac:dyDescent="0.35">
      <c r="A99" s="467" t="s">
        <v>448</v>
      </c>
      <c r="B99" s="18"/>
      <c r="C99" s="18"/>
      <c r="D99" s="18"/>
      <c r="E99" s="39"/>
      <c r="F99" s="18"/>
      <c r="G99" s="18"/>
      <c r="H99" s="545" t="s">
        <v>115</v>
      </c>
      <c r="I99" s="533"/>
      <c r="J99" s="535"/>
      <c r="K99" s="545" t="s">
        <v>449</v>
      </c>
      <c r="L99" s="533"/>
      <c r="M99" s="533"/>
      <c r="N99" s="533"/>
      <c r="O99" s="535"/>
      <c r="P99" s="545" t="s">
        <v>117</v>
      </c>
      <c r="Q99" s="533"/>
      <c r="R99" s="533"/>
      <c r="S99" s="533"/>
      <c r="T99" s="535"/>
      <c r="U99" s="18"/>
      <c r="V99" s="18"/>
      <c r="W99" s="39"/>
    </row>
    <row r="100" spans="1:27" ht="14.25" customHeight="1" x14ac:dyDescent="0.35">
      <c r="A100" s="467" t="s">
        <v>450</v>
      </c>
      <c r="B100" s="18"/>
      <c r="C100" s="18"/>
      <c r="D100" s="18"/>
      <c r="E100" s="39"/>
      <c r="F100" s="18"/>
      <c r="G100" s="18"/>
      <c r="H100" s="98" t="s">
        <v>451</v>
      </c>
      <c r="I100" s="472" t="s">
        <v>452</v>
      </c>
      <c r="J100" s="473" t="s">
        <v>453</v>
      </c>
      <c r="K100" s="98" t="s">
        <v>454</v>
      </c>
      <c r="L100" s="247" t="s">
        <v>455</v>
      </c>
      <c r="M100" s="247" t="s">
        <v>456</v>
      </c>
      <c r="N100" s="247" t="s">
        <v>457</v>
      </c>
      <c r="O100" s="103" t="s">
        <v>458</v>
      </c>
      <c r="P100" s="247" t="s">
        <v>459</v>
      </c>
      <c r="Q100" s="247" t="s">
        <v>460</v>
      </c>
      <c r="R100" s="247" t="s">
        <v>456</v>
      </c>
      <c r="S100" s="247" t="s">
        <v>457</v>
      </c>
      <c r="T100" s="103" t="s">
        <v>458</v>
      </c>
      <c r="U100" s="474" t="s">
        <v>461</v>
      </c>
      <c r="V100" s="474" t="s">
        <v>462</v>
      </c>
      <c r="W100" s="39"/>
    </row>
    <row r="101" spans="1:27" ht="14.25" customHeight="1" x14ac:dyDescent="0.35">
      <c r="A101" s="475" t="s">
        <v>463</v>
      </c>
      <c r="B101" s="75"/>
      <c r="C101" s="75"/>
      <c r="D101" s="75"/>
      <c r="E101" s="76"/>
      <c r="F101" s="18"/>
      <c r="G101" s="476" t="s">
        <v>464</v>
      </c>
      <c r="H101" s="477">
        <f>F96*1000</f>
        <v>10210</v>
      </c>
      <c r="I101" s="334">
        <f>H101*$I$87</f>
        <v>22.5091702</v>
      </c>
      <c r="J101" s="478">
        <f>I101/5</f>
        <v>4.5018340400000003</v>
      </c>
      <c r="K101" s="309">
        <v>8.9899999999999994E-2</v>
      </c>
      <c r="L101" s="310">
        <f>K101*B95</f>
        <v>0.44949999999999996</v>
      </c>
      <c r="M101" s="310">
        <f>L101*M97</f>
        <v>12.585999999999999</v>
      </c>
      <c r="N101" s="334">
        <f t="shared" ref="N101:N102" si="13">M101*$I$87</f>
        <v>2.7747347319999997E-2</v>
      </c>
      <c r="O101" s="478">
        <f>N101/5</f>
        <v>5.5494694639999995E-3</v>
      </c>
      <c r="P101" s="309">
        <v>8.6999999999999994E-3</v>
      </c>
      <c r="Q101" s="310">
        <f>P101*B95</f>
        <v>4.3499999999999997E-2</v>
      </c>
      <c r="R101" s="310">
        <f>Q101*M97</f>
        <v>1.218</v>
      </c>
      <c r="S101" s="334">
        <f t="shared" ref="S101:S102" si="14">R101*$I$87</f>
        <v>2.6852271599999999E-3</v>
      </c>
      <c r="T101" s="478">
        <f>S101/5</f>
        <v>5.37045432E-4</v>
      </c>
      <c r="U101" s="318">
        <f t="shared" ref="U101:V101" si="15">I101+N101+S101</f>
        <v>22.539602774479999</v>
      </c>
      <c r="V101" s="167">
        <f t="shared" si="15"/>
        <v>4.5079205548960006</v>
      </c>
      <c r="W101" s="39"/>
    </row>
    <row r="102" spans="1:27" ht="14.25" hidden="1" customHeight="1" x14ac:dyDescent="0.35">
      <c r="A102" s="38"/>
      <c r="B102" s="18"/>
      <c r="C102" s="18"/>
      <c r="D102" s="18"/>
      <c r="E102" s="18"/>
      <c r="F102" s="18"/>
      <c r="G102" s="18"/>
      <c r="H102" s="18"/>
      <c r="I102" s="18"/>
      <c r="J102" s="18"/>
      <c r="K102" s="18"/>
      <c r="L102" s="479" t="s">
        <v>465</v>
      </c>
      <c r="M102" s="309">
        <f>F97</f>
        <v>8.7799999999999994</v>
      </c>
      <c r="N102" s="334">
        <f t="shared" si="13"/>
        <v>1.9356563599999998E-2</v>
      </c>
      <c r="O102" s="478">
        <f>N102/22.2</f>
        <v>8.7191727927927922E-4</v>
      </c>
      <c r="P102" s="309">
        <v>1.7299999999999999E-2</v>
      </c>
      <c r="Q102" s="310">
        <f>22.2*P102</f>
        <v>0.38405999999999996</v>
      </c>
      <c r="R102" s="310">
        <f>Q102*M97</f>
        <v>10.753679999999999</v>
      </c>
      <c r="S102" s="334">
        <f t="shared" si="14"/>
        <v>2.37077780016E-2</v>
      </c>
      <c r="T102" s="162">
        <f>S102/22.2</f>
        <v>1.067917928E-3</v>
      </c>
      <c r="U102" s="153">
        <v>3.5999999999999999E-3</v>
      </c>
      <c r="V102" s="239">
        <f>22.2*U102</f>
        <v>7.9919999999999991E-2</v>
      </c>
      <c r="W102" s="117">
        <f>Q101*M97</f>
        <v>1.218</v>
      </c>
      <c r="X102" s="334">
        <f>W102*$I$87</f>
        <v>2.6852271599999999E-3</v>
      </c>
      <c r="Y102" s="478">
        <f>X102/5</f>
        <v>5.37045432E-4</v>
      </c>
      <c r="Z102" s="318">
        <f t="shared" ref="Z102:AA102" si="16">N102+S102+X102</f>
        <v>4.5749568761599996E-2</v>
      </c>
      <c r="AA102" s="480">
        <f t="shared" si="16"/>
        <v>2.4768806392792791E-3</v>
      </c>
    </row>
    <row r="103" spans="1:27" ht="14.25" customHeight="1" x14ac:dyDescent="0.35">
      <c r="A103" s="38"/>
      <c r="B103" s="18"/>
      <c r="C103" s="18"/>
      <c r="D103" s="18"/>
      <c r="E103" s="18"/>
      <c r="F103" s="18"/>
      <c r="G103" s="18"/>
      <c r="H103" s="18"/>
      <c r="I103" s="18"/>
      <c r="J103" s="18"/>
      <c r="K103" s="18"/>
      <c r="L103" s="18"/>
      <c r="M103" s="18"/>
      <c r="N103" s="18"/>
      <c r="O103" s="18"/>
      <c r="P103" s="18"/>
      <c r="Q103" s="18"/>
      <c r="R103" s="18"/>
      <c r="S103" s="18"/>
      <c r="T103" s="481"/>
      <c r="U103" s="481"/>
      <c r="V103" s="481"/>
      <c r="W103" s="481"/>
    </row>
    <row r="104" spans="1:27" ht="14.25" customHeight="1" x14ac:dyDescent="0.35">
      <c r="A104" s="38"/>
      <c r="B104" s="18"/>
      <c r="C104" s="18"/>
      <c r="D104" s="18"/>
      <c r="E104" s="18"/>
      <c r="F104" s="18"/>
      <c r="G104" s="18"/>
      <c r="H104" s="18"/>
      <c r="I104" s="18"/>
      <c r="J104" s="18"/>
      <c r="K104" s="18"/>
      <c r="L104" s="18"/>
      <c r="M104" s="18"/>
      <c r="N104" s="18"/>
      <c r="O104" s="18"/>
      <c r="P104" s="18"/>
      <c r="Q104" s="18"/>
      <c r="R104" s="18"/>
      <c r="S104" s="18"/>
      <c r="T104" s="481"/>
      <c r="U104" s="482"/>
      <c r="V104" s="481"/>
      <c r="W104" s="481"/>
    </row>
    <row r="105" spans="1:27" ht="14.25" customHeight="1" x14ac:dyDescent="0.35">
      <c r="A105" s="38"/>
      <c r="B105" s="78" t="s">
        <v>347</v>
      </c>
      <c r="C105" s="18"/>
      <c r="D105" s="18"/>
      <c r="E105" s="18"/>
      <c r="F105" s="18"/>
      <c r="G105" s="18"/>
      <c r="H105" s="18"/>
      <c r="I105" s="18"/>
      <c r="J105" s="18"/>
      <c r="K105" s="18"/>
      <c r="L105" s="18"/>
      <c r="M105" s="18"/>
      <c r="N105" s="18"/>
      <c r="O105" s="18"/>
      <c r="P105" s="18"/>
      <c r="Q105" s="18"/>
      <c r="R105" s="18"/>
      <c r="S105" s="18"/>
      <c r="T105" s="481"/>
      <c r="U105" s="483"/>
      <c r="V105" s="481"/>
      <c r="W105" s="481"/>
    </row>
    <row r="106" spans="1:27" ht="14.25" customHeight="1" x14ac:dyDescent="0.35">
      <c r="A106" s="38"/>
      <c r="B106" s="18"/>
      <c r="C106" s="18"/>
      <c r="D106" s="18"/>
      <c r="E106" s="18"/>
      <c r="F106" s="18"/>
      <c r="G106" s="18"/>
      <c r="H106" s="18"/>
      <c r="I106" s="18"/>
      <c r="J106" s="18"/>
      <c r="K106" s="18"/>
      <c r="L106" s="18"/>
      <c r="M106" s="18"/>
      <c r="N106" s="18"/>
      <c r="O106" s="18"/>
      <c r="P106" s="18"/>
      <c r="Q106" s="18"/>
      <c r="R106" s="18"/>
      <c r="S106" s="18"/>
      <c r="T106" s="481"/>
      <c r="U106" s="481"/>
      <c r="V106" s="481"/>
      <c r="W106" s="481"/>
    </row>
    <row r="107" spans="1:27" ht="14.25" customHeight="1" x14ac:dyDescent="0.35">
      <c r="A107" s="74"/>
      <c r="B107" s="75"/>
      <c r="C107" s="75"/>
      <c r="D107" s="75"/>
      <c r="E107" s="75"/>
      <c r="F107" s="75"/>
      <c r="G107" s="75"/>
      <c r="H107" s="75"/>
      <c r="I107" s="75"/>
      <c r="J107" s="75"/>
      <c r="K107" s="75"/>
      <c r="L107" s="75"/>
      <c r="M107" s="75"/>
      <c r="N107" s="75"/>
      <c r="O107" s="75"/>
      <c r="P107" s="75"/>
      <c r="Q107" s="75"/>
      <c r="R107" s="75"/>
      <c r="S107" s="75"/>
      <c r="T107" s="75"/>
      <c r="U107" s="75"/>
      <c r="V107" s="75"/>
      <c r="W107" s="76"/>
    </row>
    <row r="108" spans="1:27" ht="14.25" customHeight="1" x14ac:dyDescent="0.35"/>
    <row r="109" spans="1:27" ht="14.25" customHeight="1" x14ac:dyDescent="0.35"/>
    <row r="110" spans="1:27" ht="14.25" customHeight="1" x14ac:dyDescent="0.35">
      <c r="A110" s="153" t="s">
        <v>466</v>
      </c>
      <c r="B110" s="239"/>
      <c r="C110" s="239"/>
      <c r="D110" s="239" t="s">
        <v>467</v>
      </c>
      <c r="E110" s="239"/>
      <c r="F110" s="239"/>
      <c r="G110" s="239"/>
      <c r="H110" s="117"/>
    </row>
    <row r="111" spans="1:27" ht="14.25" customHeight="1" x14ac:dyDescent="0.35">
      <c r="A111" s="38" t="s">
        <v>468</v>
      </c>
      <c r="B111" s="18"/>
      <c r="C111" s="18"/>
      <c r="D111" s="18"/>
      <c r="E111" s="18"/>
      <c r="F111" s="18"/>
      <c r="G111" s="18"/>
      <c r="H111" s="39"/>
    </row>
    <row r="112" spans="1:27" ht="14.25" customHeight="1" x14ac:dyDescent="0.35">
      <c r="A112" s="38" t="s">
        <v>469</v>
      </c>
      <c r="B112" s="18"/>
      <c r="C112" s="18"/>
      <c r="D112" s="18"/>
      <c r="E112" s="18"/>
      <c r="F112" s="18"/>
      <c r="G112" s="18"/>
      <c r="H112" s="39"/>
    </row>
    <row r="113" spans="1:8" ht="14.25" customHeight="1" x14ac:dyDescent="0.35">
      <c r="A113" s="38"/>
      <c r="B113" s="18" t="s">
        <v>470</v>
      </c>
      <c r="C113" s="18"/>
      <c r="D113" s="18"/>
      <c r="E113" s="18" t="s">
        <v>470</v>
      </c>
      <c r="F113" s="18"/>
      <c r="G113" s="18"/>
      <c r="H113" s="39" t="s">
        <v>470</v>
      </c>
    </row>
    <row r="114" spans="1:8" ht="14.25" customHeight="1" x14ac:dyDescent="0.35">
      <c r="A114" s="38" t="s">
        <v>471</v>
      </c>
      <c r="B114" s="18">
        <f>0.2159-0.002</f>
        <v>0.21390000000000001</v>
      </c>
      <c r="C114" s="18"/>
      <c r="D114" s="18" t="s">
        <v>117</v>
      </c>
      <c r="E114" s="484">
        <v>5.1561999999999999E-6</v>
      </c>
      <c r="F114" s="18"/>
      <c r="G114" s="18" t="s">
        <v>116</v>
      </c>
      <c r="H114" s="485">
        <v>5.5046000000000001E-4</v>
      </c>
    </row>
    <row r="115" spans="1:8" ht="14.25" customHeight="1" x14ac:dyDescent="0.35">
      <c r="A115" s="74"/>
      <c r="B115" s="75"/>
      <c r="C115" s="75"/>
      <c r="D115" s="75"/>
      <c r="E115" s="75"/>
      <c r="F115" s="75"/>
      <c r="G115" s="75"/>
      <c r="H115" s="76"/>
    </row>
    <row r="116" spans="1:8" ht="14.25" customHeight="1" x14ac:dyDescent="0.35"/>
    <row r="117" spans="1:8" ht="14.25" customHeight="1" x14ac:dyDescent="0.35"/>
    <row r="118" spans="1:8" ht="14.25" customHeight="1" x14ac:dyDescent="0.35">
      <c r="A118" s="319" t="s">
        <v>472</v>
      </c>
      <c r="B118" s="320"/>
      <c r="C118" s="320"/>
      <c r="D118" s="320"/>
      <c r="E118" s="320"/>
      <c r="F118" s="320"/>
      <c r="G118" s="320"/>
      <c r="H118" s="321"/>
    </row>
    <row r="119" spans="1:8" ht="14.25" customHeight="1" x14ac:dyDescent="0.35">
      <c r="A119" s="38"/>
      <c r="B119" s="48" t="s">
        <v>129</v>
      </c>
      <c r="C119" s="48" t="s">
        <v>372</v>
      </c>
      <c r="D119" s="18"/>
      <c r="E119" s="18"/>
      <c r="F119" s="18"/>
      <c r="G119" s="18"/>
      <c r="H119" s="39"/>
    </row>
    <row r="120" spans="1:8" ht="14.25" customHeight="1" x14ac:dyDescent="0.35">
      <c r="A120" s="38" t="s">
        <v>473</v>
      </c>
      <c r="B120" s="12">
        <v>10454</v>
      </c>
      <c r="C120" s="18"/>
      <c r="D120" s="18"/>
      <c r="E120" s="18"/>
      <c r="F120" s="18"/>
      <c r="G120" s="18"/>
      <c r="H120" s="39"/>
    </row>
    <row r="121" spans="1:8" ht="14.25" customHeight="1" x14ac:dyDescent="0.35">
      <c r="A121" s="38" t="s">
        <v>474</v>
      </c>
      <c r="B121" s="12">
        <v>22954084</v>
      </c>
      <c r="C121" s="486">
        <f>(-1674519*'Gas Metrics'!B31)</f>
        <v>-1627326.530612245</v>
      </c>
      <c r="D121" s="18"/>
      <c r="E121" s="18"/>
      <c r="F121" s="18"/>
      <c r="G121" s="18"/>
      <c r="H121" s="39"/>
    </row>
    <row r="122" spans="1:8" ht="14.25" customHeight="1" x14ac:dyDescent="0.35">
      <c r="A122" s="38" t="s">
        <v>475</v>
      </c>
      <c r="B122" s="18">
        <v>35448</v>
      </c>
      <c r="C122" s="18"/>
      <c r="D122" s="18"/>
      <c r="E122" s="18"/>
      <c r="F122" s="18"/>
      <c r="G122" s="18"/>
      <c r="H122" s="39"/>
    </row>
    <row r="123" spans="1:8" ht="14.25" customHeight="1" x14ac:dyDescent="0.35">
      <c r="A123" s="38"/>
      <c r="B123" s="18"/>
      <c r="C123" s="18"/>
      <c r="D123" s="18"/>
      <c r="E123" s="18"/>
      <c r="F123" s="18"/>
      <c r="G123" s="18"/>
      <c r="H123" s="39"/>
    </row>
    <row r="124" spans="1:8" ht="14.25" customHeight="1" x14ac:dyDescent="0.35">
      <c r="A124" s="38"/>
      <c r="B124" s="18"/>
      <c r="C124" s="18"/>
      <c r="D124" s="18"/>
      <c r="E124" s="18"/>
      <c r="F124" s="18"/>
      <c r="G124" s="18"/>
      <c r="H124" s="39"/>
    </row>
    <row r="125" spans="1:8" ht="14.25" customHeight="1" x14ac:dyDescent="0.35">
      <c r="A125" s="38"/>
      <c r="B125" s="18"/>
      <c r="C125" s="18"/>
      <c r="D125" s="18"/>
      <c r="E125" s="18"/>
      <c r="F125" s="18"/>
      <c r="G125" s="18"/>
      <c r="H125" s="39"/>
    </row>
    <row r="126" spans="1:8" ht="14.25" customHeight="1" x14ac:dyDescent="0.35">
      <c r="A126" s="38"/>
      <c r="B126" s="18"/>
      <c r="C126" s="18"/>
      <c r="D126" s="18"/>
      <c r="E126" s="18"/>
      <c r="F126" s="18"/>
      <c r="G126" s="18"/>
      <c r="H126" s="39"/>
    </row>
    <row r="127" spans="1:8" ht="14.25" customHeight="1" x14ac:dyDescent="0.35">
      <c r="A127" s="38"/>
      <c r="B127" s="18"/>
      <c r="C127" s="18"/>
      <c r="D127" s="18"/>
      <c r="E127" s="18"/>
      <c r="F127" s="18"/>
      <c r="G127" s="18"/>
      <c r="H127" s="39"/>
    </row>
    <row r="128" spans="1:8" ht="14.25" customHeight="1" x14ac:dyDescent="0.35">
      <c r="A128" s="38"/>
      <c r="B128" s="18"/>
      <c r="C128" s="18"/>
      <c r="D128" s="18"/>
      <c r="E128" s="18"/>
      <c r="F128" s="18"/>
      <c r="G128" s="18"/>
      <c r="H128" s="39"/>
    </row>
    <row r="129" spans="1:8" ht="14.25" customHeight="1" x14ac:dyDescent="0.35">
      <c r="A129" s="38"/>
      <c r="B129" s="18"/>
      <c r="C129" s="18"/>
      <c r="D129" s="18"/>
      <c r="E129" s="18"/>
      <c r="F129" s="18"/>
      <c r="G129" s="18"/>
      <c r="H129" s="39"/>
    </row>
    <row r="130" spans="1:8" ht="14.25" customHeight="1" x14ac:dyDescent="0.35">
      <c r="A130" s="38"/>
      <c r="B130" s="18"/>
      <c r="C130" s="18"/>
      <c r="D130" s="18"/>
      <c r="E130" s="18"/>
      <c r="F130" s="18"/>
      <c r="G130" s="18"/>
      <c r="H130" s="39"/>
    </row>
    <row r="131" spans="1:8" ht="14.25" customHeight="1" x14ac:dyDescent="0.35">
      <c r="A131" s="38"/>
      <c r="B131" s="18"/>
      <c r="C131" s="18"/>
      <c r="D131" s="18"/>
      <c r="E131" s="18"/>
      <c r="F131" s="18"/>
      <c r="G131" s="18"/>
      <c r="H131" s="39"/>
    </row>
    <row r="132" spans="1:8" ht="14.25" customHeight="1" x14ac:dyDescent="0.35">
      <c r="A132" s="38"/>
      <c r="B132" s="18"/>
      <c r="C132" s="18"/>
      <c r="D132" s="18"/>
      <c r="E132" s="18"/>
      <c r="F132" s="18"/>
      <c r="G132" s="18"/>
      <c r="H132" s="39"/>
    </row>
    <row r="133" spans="1:8" ht="14.25" customHeight="1" x14ac:dyDescent="0.35">
      <c r="A133" s="38"/>
      <c r="B133" s="18"/>
      <c r="C133" s="18"/>
      <c r="D133" s="18"/>
      <c r="E133" s="18"/>
      <c r="F133" s="18"/>
      <c r="G133" s="18"/>
      <c r="H133" s="39"/>
    </row>
    <row r="134" spans="1:8" ht="14.25" customHeight="1" x14ac:dyDescent="0.35">
      <c r="A134" s="38"/>
      <c r="B134" s="18"/>
      <c r="C134" s="18"/>
      <c r="D134" s="18"/>
      <c r="E134" s="18"/>
      <c r="F134" s="18"/>
      <c r="G134" s="18"/>
      <c r="H134" s="39"/>
    </row>
    <row r="135" spans="1:8" ht="14.25" customHeight="1" x14ac:dyDescent="0.35">
      <c r="A135" s="38"/>
      <c r="B135" s="18"/>
      <c r="C135" s="18"/>
      <c r="D135" s="18"/>
      <c r="E135" s="18"/>
      <c r="F135" s="18"/>
      <c r="G135" s="18"/>
      <c r="H135" s="39"/>
    </row>
    <row r="136" spans="1:8" ht="14.25" customHeight="1" x14ac:dyDescent="0.35">
      <c r="A136" s="38"/>
      <c r="B136" s="18"/>
      <c r="C136" s="18"/>
      <c r="D136" s="18"/>
      <c r="E136" s="18"/>
      <c r="F136" s="18"/>
      <c r="G136" s="18"/>
      <c r="H136" s="39"/>
    </row>
    <row r="137" spans="1:8" ht="14.25" customHeight="1" x14ac:dyDescent="0.35">
      <c r="A137" s="38"/>
      <c r="B137" s="18"/>
      <c r="C137" s="18"/>
      <c r="D137" s="18"/>
      <c r="E137" s="18"/>
      <c r="F137" s="18"/>
      <c r="G137" s="18"/>
      <c r="H137" s="39"/>
    </row>
    <row r="138" spans="1:8" ht="14.25" customHeight="1" x14ac:dyDescent="0.35">
      <c r="A138" s="38"/>
      <c r="B138" s="18"/>
      <c r="C138" s="18"/>
      <c r="D138" s="18"/>
      <c r="E138" s="18"/>
      <c r="F138" s="18"/>
      <c r="G138" s="18"/>
      <c r="H138" s="39"/>
    </row>
    <row r="139" spans="1:8" ht="14.25" customHeight="1" x14ac:dyDescent="0.35">
      <c r="A139" s="38"/>
      <c r="B139" s="18"/>
      <c r="C139" s="18"/>
      <c r="D139" s="18"/>
      <c r="E139" s="18"/>
      <c r="F139" s="18"/>
      <c r="G139" s="18"/>
      <c r="H139" s="39"/>
    </row>
    <row r="140" spans="1:8" ht="14.25" customHeight="1" x14ac:dyDescent="0.35">
      <c r="A140" s="38"/>
      <c r="B140" s="18"/>
      <c r="C140" s="18"/>
      <c r="D140" s="18"/>
      <c r="E140" s="18"/>
      <c r="F140" s="18"/>
      <c r="G140" s="18"/>
      <c r="H140" s="39"/>
    </row>
    <row r="141" spans="1:8" ht="14.25" customHeight="1" x14ac:dyDescent="0.35">
      <c r="A141" s="38"/>
      <c r="B141" s="18"/>
      <c r="C141" s="18"/>
      <c r="D141" s="18"/>
      <c r="E141" s="18"/>
      <c r="F141" s="18"/>
      <c r="G141" s="18"/>
      <c r="H141" s="39"/>
    </row>
    <row r="142" spans="1:8" ht="14.25" customHeight="1" x14ac:dyDescent="0.35">
      <c r="A142" s="38"/>
      <c r="B142" s="18"/>
      <c r="C142" s="18"/>
      <c r="D142" s="18"/>
      <c r="E142" s="18"/>
      <c r="F142" s="18"/>
      <c r="G142" s="18"/>
      <c r="H142" s="39"/>
    </row>
    <row r="143" spans="1:8" ht="14.25" customHeight="1" x14ac:dyDescent="0.35">
      <c r="A143" s="38"/>
      <c r="B143" s="18"/>
      <c r="C143" s="18"/>
      <c r="D143" s="18"/>
      <c r="E143" s="18"/>
      <c r="F143" s="18"/>
      <c r="G143" s="18"/>
      <c r="H143" s="39"/>
    </row>
    <row r="144" spans="1:8" ht="14.25" customHeight="1" x14ac:dyDescent="0.35">
      <c r="A144" s="38"/>
      <c r="B144" s="18"/>
      <c r="C144" s="18"/>
      <c r="D144" s="18"/>
      <c r="E144" s="18"/>
      <c r="F144" s="18"/>
      <c r="G144" s="18"/>
      <c r="H144" s="39"/>
    </row>
    <row r="145" spans="1:8" ht="14.25" customHeight="1" x14ac:dyDescent="0.35">
      <c r="A145" s="38"/>
      <c r="B145" s="18"/>
      <c r="C145" s="18"/>
      <c r="D145" s="18"/>
      <c r="E145" s="18"/>
      <c r="F145" s="18"/>
      <c r="G145" s="18"/>
      <c r="H145" s="39"/>
    </row>
    <row r="146" spans="1:8" ht="14.25" customHeight="1" x14ac:dyDescent="0.35">
      <c r="A146" s="38"/>
      <c r="B146" s="18"/>
      <c r="C146" s="18"/>
      <c r="D146" s="18"/>
      <c r="E146" s="18"/>
      <c r="F146" s="18"/>
      <c r="G146" s="18"/>
      <c r="H146" s="39"/>
    </row>
    <row r="147" spans="1:8" ht="14.25" customHeight="1" x14ac:dyDescent="0.35">
      <c r="A147" s="38"/>
      <c r="B147" s="18"/>
      <c r="C147" s="18"/>
      <c r="D147" s="18"/>
      <c r="E147" s="18"/>
      <c r="F147" s="18"/>
      <c r="G147" s="18"/>
      <c r="H147" s="39"/>
    </row>
    <row r="148" spans="1:8" ht="14.25" customHeight="1" x14ac:dyDescent="0.35">
      <c r="A148" s="38"/>
      <c r="B148" s="18"/>
      <c r="C148" s="18"/>
      <c r="D148" s="18"/>
      <c r="E148" s="18"/>
      <c r="F148" s="18"/>
      <c r="G148" s="18"/>
      <c r="H148" s="39"/>
    </row>
    <row r="149" spans="1:8" ht="14.25" customHeight="1" x14ac:dyDescent="0.35">
      <c r="A149" s="38"/>
      <c r="B149" s="18"/>
      <c r="C149" s="18"/>
      <c r="D149" s="18"/>
      <c r="E149" s="18"/>
      <c r="F149" s="18"/>
      <c r="G149" s="18"/>
      <c r="H149" s="39"/>
    </row>
    <row r="150" spans="1:8" ht="14.25" customHeight="1" x14ac:dyDescent="0.35">
      <c r="A150" s="74"/>
      <c r="B150" s="75"/>
      <c r="C150" s="75"/>
      <c r="D150" s="75"/>
      <c r="E150" s="75"/>
      <c r="F150" s="75"/>
      <c r="G150" s="75"/>
      <c r="H150" s="76"/>
    </row>
    <row r="151" spans="1:8" ht="14.25" customHeight="1" x14ac:dyDescent="0.35"/>
    <row r="152" spans="1:8" ht="14.25" customHeight="1" x14ac:dyDescent="0.35"/>
    <row r="153" spans="1:8" ht="14.25" customHeight="1" x14ac:dyDescent="0.35"/>
    <row r="154" spans="1:8" ht="14.25" customHeight="1" x14ac:dyDescent="0.35"/>
    <row r="155" spans="1:8" ht="14.25" customHeight="1" x14ac:dyDescent="0.35"/>
    <row r="156" spans="1:8" ht="14.25" customHeight="1" x14ac:dyDescent="0.35"/>
    <row r="157" spans="1:8" ht="14.25" customHeight="1" x14ac:dyDescent="0.35"/>
    <row r="158" spans="1:8" ht="14.25" customHeight="1" x14ac:dyDescent="0.35"/>
    <row r="159" spans="1:8" ht="14.25" customHeight="1" x14ac:dyDescent="0.35"/>
    <row r="160" spans="1:8" ht="14.25" customHeight="1" x14ac:dyDescent="0.35"/>
    <row r="161" spans="1:19" ht="14.25" customHeight="1" x14ac:dyDescent="0.35">
      <c r="A161" s="285" t="s">
        <v>476</v>
      </c>
      <c r="B161" s="287"/>
      <c r="C161" s="287"/>
      <c r="D161" s="287"/>
      <c r="E161" s="287"/>
      <c r="F161" s="287"/>
      <c r="G161" s="287"/>
      <c r="H161" s="287"/>
    </row>
    <row r="162" spans="1:19" ht="14.25" customHeight="1" x14ac:dyDescent="0.35">
      <c r="A162" s="106"/>
      <c r="B162" s="322"/>
      <c r="C162" s="288" t="s">
        <v>477</v>
      </c>
      <c r="D162" s="288" t="s">
        <v>478</v>
      </c>
      <c r="E162" s="104" t="s">
        <v>479</v>
      </c>
      <c r="F162" s="104" t="s">
        <v>480</v>
      </c>
      <c r="G162" s="487" t="s">
        <v>481</v>
      </c>
      <c r="H162" s="105"/>
    </row>
    <row r="163" spans="1:19" ht="14.25" customHeight="1" x14ac:dyDescent="0.35">
      <c r="A163" s="289" t="s">
        <v>482</v>
      </c>
      <c r="B163" s="416">
        <v>353323</v>
      </c>
      <c r="C163" s="488">
        <f>'EV Charging Metrics'!D77*'Project-Specific Calcs_Lifecycl'!B163</f>
        <v>233276.56422799997</v>
      </c>
      <c r="D163" s="118">
        <f>B163*'EV Charging Metrics'!J78</f>
        <v>1009494.2857142857</v>
      </c>
      <c r="E163" s="161">
        <f>D163/22.2</f>
        <v>45472.71557271557</v>
      </c>
      <c r="F163" s="118">
        <f>E163*(M164*K164)</f>
        <v>890922.2672760128</v>
      </c>
      <c r="G163" s="118">
        <f>F163-C163</f>
        <v>657645.7030480128</v>
      </c>
      <c r="H163" s="117"/>
      <c r="K163" s="66" t="s">
        <v>483</v>
      </c>
      <c r="L163" s="67"/>
      <c r="M163" s="67" t="s">
        <v>484</v>
      </c>
      <c r="N163" s="68"/>
    </row>
    <row r="164" spans="1:19" ht="14.25" customHeight="1" x14ac:dyDescent="0.35">
      <c r="A164" s="38"/>
      <c r="B164" s="18"/>
      <c r="C164" s="18"/>
      <c r="D164" s="18"/>
      <c r="E164" s="18"/>
      <c r="F164" s="18"/>
      <c r="G164" s="18"/>
      <c r="H164" s="39"/>
      <c r="K164" s="74">
        <v>2.20462E-3</v>
      </c>
      <c r="L164" s="75"/>
      <c r="M164" s="75">
        <v>8887</v>
      </c>
      <c r="N164" s="76"/>
    </row>
    <row r="165" spans="1:19" ht="14.25" customHeight="1" x14ac:dyDescent="0.35">
      <c r="A165" s="380" t="s">
        <v>485</v>
      </c>
      <c r="B165" s="91"/>
      <c r="C165" s="91"/>
      <c r="D165" s="91"/>
      <c r="E165" s="91"/>
      <c r="F165" s="91"/>
      <c r="G165" s="489">
        <f>G163*1.15</f>
        <v>756292.55850521463</v>
      </c>
      <c r="H165" s="39"/>
    </row>
    <row r="166" spans="1:19" ht="14.25" customHeight="1" x14ac:dyDescent="0.35">
      <c r="A166" s="292" t="s">
        <v>486</v>
      </c>
      <c r="B166" s="398"/>
      <c r="C166" s="398"/>
      <c r="D166" s="398"/>
      <c r="E166" s="398"/>
      <c r="F166" s="398"/>
      <c r="G166" s="398"/>
      <c r="H166" s="76"/>
    </row>
    <row r="167" spans="1:19" ht="14.25" customHeight="1" x14ac:dyDescent="0.35">
      <c r="A167" s="490" t="s">
        <v>487</v>
      </c>
      <c r="B167" s="491"/>
      <c r="C167" s="491"/>
      <c r="D167" s="491"/>
      <c r="E167" s="491"/>
      <c r="F167" s="491"/>
      <c r="G167" s="492"/>
    </row>
    <row r="168" spans="1:19" ht="14.25" customHeight="1" x14ac:dyDescent="0.35">
      <c r="A168" s="493" t="s">
        <v>33</v>
      </c>
      <c r="B168" s="494"/>
      <c r="C168" s="494"/>
      <c r="D168" s="494"/>
      <c r="E168" s="494"/>
      <c r="F168" s="494"/>
      <c r="G168" s="495">
        <f>(G163*5)*1.15</f>
        <v>3781462.7925260733</v>
      </c>
    </row>
    <row r="169" spans="1:19" ht="14.25" customHeight="1" x14ac:dyDescent="0.35">
      <c r="A169" s="493" t="s">
        <v>34</v>
      </c>
      <c r="B169" s="494"/>
      <c r="C169" s="494"/>
      <c r="D169" s="494"/>
      <c r="E169" s="494"/>
      <c r="F169" s="494"/>
      <c r="G169" s="495">
        <f>G168+(G163*5.15)</f>
        <v>7168338.1632233392</v>
      </c>
    </row>
    <row r="170" spans="1:19" ht="14.25" customHeight="1" x14ac:dyDescent="0.35">
      <c r="A170" s="496"/>
      <c r="B170" s="497"/>
      <c r="C170" s="497"/>
      <c r="D170" s="497"/>
      <c r="E170" s="497"/>
      <c r="F170" s="497"/>
      <c r="G170" s="498"/>
    </row>
    <row r="171" spans="1:19" ht="14.25" customHeight="1" x14ac:dyDescent="0.35"/>
    <row r="172" spans="1:19" ht="14.25" customHeight="1" x14ac:dyDescent="0.35"/>
    <row r="173" spans="1:19" ht="14.25" customHeight="1" x14ac:dyDescent="0.35"/>
    <row r="174" spans="1:19" ht="14.25" customHeight="1" x14ac:dyDescent="0.35">
      <c r="A174" s="285" t="s">
        <v>488</v>
      </c>
      <c r="B174" s="287"/>
      <c r="C174" s="287"/>
      <c r="D174" s="287"/>
      <c r="E174" s="287"/>
      <c r="F174" s="287"/>
      <c r="G174" s="287"/>
      <c r="H174" s="287"/>
      <c r="I174" s="287"/>
      <c r="J174" s="287"/>
      <c r="K174" s="287"/>
      <c r="L174" s="287"/>
      <c r="M174" s="287"/>
      <c r="N174" s="287"/>
      <c r="O174" s="287"/>
      <c r="P174" s="287"/>
      <c r="Q174" s="287"/>
      <c r="R174" s="287"/>
      <c r="S174" s="287"/>
    </row>
    <row r="175" spans="1:19" ht="14.25" customHeight="1" x14ac:dyDescent="0.35"/>
    <row r="176" spans="1:19" ht="14.25" customHeight="1" x14ac:dyDescent="0.35">
      <c r="A176" s="70" t="s">
        <v>489</v>
      </c>
      <c r="D176" s="499">
        <v>1000</v>
      </c>
      <c r="E176" s="70" t="s">
        <v>490</v>
      </c>
      <c r="L176" s="78"/>
    </row>
    <row r="177" spans="1:27" ht="14.25" customHeight="1" x14ac:dyDescent="0.35">
      <c r="A177" s="153"/>
      <c r="B177" s="101" t="s">
        <v>491</v>
      </c>
      <c r="C177" s="288" t="s">
        <v>492</v>
      </c>
      <c r="D177" s="102" t="s">
        <v>493</v>
      </c>
      <c r="E177" s="336" t="s">
        <v>494</v>
      </c>
      <c r="G177" s="91"/>
    </row>
    <row r="178" spans="1:27" ht="14.25" customHeight="1" x14ac:dyDescent="0.35">
      <c r="A178" s="443" t="s">
        <v>409</v>
      </c>
      <c r="B178" s="12">
        <f>25*S182</f>
        <v>31167.852290250001</v>
      </c>
      <c r="C178" s="12">
        <f>20*S183</f>
        <v>9529481.2749499995</v>
      </c>
      <c r="D178" s="124">
        <f>10*S184</f>
        <v>5015516.4605</v>
      </c>
      <c r="E178" s="500">
        <f t="shared" ref="E178:E182" si="17">SUM(B178:D178)</f>
        <v>14576165.58774025</v>
      </c>
      <c r="G178" s="78"/>
    </row>
    <row r="179" spans="1:27" ht="14.25" customHeight="1" x14ac:dyDescent="0.35">
      <c r="A179" s="443" t="s">
        <v>410</v>
      </c>
      <c r="B179" s="12">
        <f>100*S182</f>
        <v>124671.409161</v>
      </c>
      <c r="C179" s="12">
        <f>50*S183</f>
        <v>23823703.187374998</v>
      </c>
      <c r="D179" s="124">
        <f>20*S184</f>
        <v>10031032.921</v>
      </c>
      <c r="E179" s="501">
        <f t="shared" si="17"/>
        <v>33979407.517535999</v>
      </c>
    </row>
    <row r="180" spans="1:27" ht="14.25" customHeight="1" x14ac:dyDescent="0.35">
      <c r="A180" s="443" t="s">
        <v>411</v>
      </c>
      <c r="B180" s="12">
        <f>200*S182</f>
        <v>249342.81832200001</v>
      </c>
      <c r="C180" s="12">
        <f>75*S183</f>
        <v>35735554.781062499</v>
      </c>
      <c r="D180" s="124">
        <f>20*S184</f>
        <v>10031032.921</v>
      </c>
      <c r="E180" s="501">
        <f t="shared" si="17"/>
        <v>46015930.520384505</v>
      </c>
      <c r="G180" s="70" t="s">
        <v>495</v>
      </c>
    </row>
    <row r="181" spans="1:27" ht="14.25" customHeight="1" x14ac:dyDescent="0.35">
      <c r="A181" s="443" t="s">
        <v>412</v>
      </c>
      <c r="B181" s="12">
        <f>400*S182</f>
        <v>498685.63664400001</v>
      </c>
      <c r="C181" s="12">
        <f>125*S183</f>
        <v>59559257.968437493</v>
      </c>
      <c r="D181" s="124">
        <f>30*S184</f>
        <v>15046549.3815</v>
      </c>
      <c r="E181" s="501">
        <f t="shared" si="17"/>
        <v>75104492.986581489</v>
      </c>
      <c r="G181" s="106"/>
      <c r="H181" s="322"/>
      <c r="I181" s="322"/>
      <c r="J181" s="322"/>
      <c r="K181" s="322"/>
      <c r="L181" s="322"/>
      <c r="M181" s="322"/>
      <c r="N181" s="487" t="s">
        <v>496</v>
      </c>
      <c r="O181" s="104" t="s">
        <v>497</v>
      </c>
      <c r="P181" s="104" t="s">
        <v>498</v>
      </c>
      <c r="Q181" s="288" t="s">
        <v>499</v>
      </c>
      <c r="R181" s="67" t="s">
        <v>500</v>
      </c>
      <c r="S181" s="502" t="s">
        <v>501</v>
      </c>
    </row>
    <row r="182" spans="1:27" ht="14.25" customHeight="1" x14ac:dyDescent="0.35">
      <c r="A182" s="503" t="s">
        <v>413</v>
      </c>
      <c r="B182" s="140">
        <f>500*S182</f>
        <v>623357.045805</v>
      </c>
      <c r="C182" s="140">
        <f>30*S183</f>
        <v>14294221.912424998</v>
      </c>
      <c r="D182" s="138">
        <f>40*S184</f>
        <v>20062065.842</v>
      </c>
      <c r="E182" s="504">
        <f t="shared" si="17"/>
        <v>34979644.800229996</v>
      </c>
      <c r="G182" s="38" t="s">
        <v>502</v>
      </c>
      <c r="H182" s="18">
        <v>0.2</v>
      </c>
      <c r="I182" s="22" t="s">
        <v>503</v>
      </c>
      <c r="J182" s="18">
        <v>6</v>
      </c>
      <c r="K182" s="18" t="s">
        <v>504</v>
      </c>
      <c r="L182" s="18" t="s">
        <v>505</v>
      </c>
      <c r="M182" s="18"/>
      <c r="N182" s="18">
        <f t="shared" ref="N182:N184" si="18">(J182-H182)/2</f>
        <v>2.9</v>
      </c>
      <c r="O182" s="18">
        <v>0.15</v>
      </c>
      <c r="P182" s="18">
        <f t="shared" ref="P182:P184" si="19">N182*O182</f>
        <v>0.435</v>
      </c>
      <c r="Q182" s="53">
        <v>1300</v>
      </c>
      <c r="R182" s="45">
        <f t="shared" ref="R182:R184" si="20">P182*Q182</f>
        <v>565.5</v>
      </c>
      <c r="S182" s="163">
        <f t="shared" ref="S182:S184" si="21">R182*$I$190</f>
        <v>1246.71409161</v>
      </c>
    </row>
    <row r="183" spans="1:27" ht="14.25" customHeight="1" x14ac:dyDescent="0.35">
      <c r="G183" s="38" t="s">
        <v>506</v>
      </c>
      <c r="H183" s="18">
        <v>50</v>
      </c>
      <c r="I183" s="22"/>
      <c r="J183" s="18">
        <v>1000</v>
      </c>
      <c r="K183" s="18" t="s">
        <v>504</v>
      </c>
      <c r="L183" s="18" t="s">
        <v>505</v>
      </c>
      <c r="M183" s="18"/>
      <c r="N183" s="18">
        <f t="shared" si="18"/>
        <v>475</v>
      </c>
      <c r="O183" s="18">
        <v>0.35</v>
      </c>
      <c r="P183" s="18">
        <f t="shared" si="19"/>
        <v>166.25</v>
      </c>
      <c r="Q183" s="53">
        <v>1300</v>
      </c>
      <c r="R183" s="45">
        <f t="shared" si="20"/>
        <v>216125</v>
      </c>
      <c r="S183" s="163">
        <f t="shared" si="21"/>
        <v>476474.06374749995</v>
      </c>
    </row>
    <row r="184" spans="1:27" ht="14.25" customHeight="1" x14ac:dyDescent="0.35">
      <c r="A184" s="95"/>
      <c r="B184" s="18"/>
      <c r="C184" s="18"/>
      <c r="D184" s="18"/>
      <c r="E184" s="18"/>
      <c r="F184" s="18"/>
      <c r="G184" s="38" t="s">
        <v>507</v>
      </c>
      <c r="H184" s="18">
        <v>1000</v>
      </c>
      <c r="I184" s="22"/>
      <c r="J184" s="18">
        <v>2000</v>
      </c>
      <c r="K184" s="18" t="s">
        <v>504</v>
      </c>
      <c r="L184" s="18" t="s">
        <v>505</v>
      </c>
      <c r="M184" s="18"/>
      <c r="N184" s="18">
        <f t="shared" si="18"/>
        <v>500</v>
      </c>
      <c r="O184" s="18">
        <v>0.35</v>
      </c>
      <c r="P184" s="18">
        <f t="shared" si="19"/>
        <v>175</v>
      </c>
      <c r="Q184" s="53">
        <v>1300</v>
      </c>
      <c r="R184" s="45">
        <f t="shared" si="20"/>
        <v>227500</v>
      </c>
      <c r="S184" s="163">
        <f t="shared" si="21"/>
        <v>501551.64604999998</v>
      </c>
    </row>
    <row r="185" spans="1:27" ht="14.25" customHeight="1" x14ac:dyDescent="0.35">
      <c r="A185" s="95"/>
      <c r="B185" s="45"/>
      <c r="C185" s="45"/>
      <c r="D185" s="45"/>
      <c r="E185" s="45"/>
      <c r="F185" s="18"/>
      <c r="G185" s="38"/>
      <c r="H185" s="18"/>
      <c r="I185" s="18"/>
      <c r="J185" s="18"/>
      <c r="K185" s="18"/>
      <c r="L185" s="18"/>
      <c r="M185" s="18"/>
      <c r="N185" s="18"/>
      <c r="O185" s="18"/>
      <c r="P185" s="18"/>
      <c r="Q185" s="18"/>
      <c r="R185" s="18"/>
      <c r="S185" s="39"/>
    </row>
    <row r="186" spans="1:27" ht="14.25" customHeight="1" x14ac:dyDescent="0.35">
      <c r="A186" s="505"/>
      <c r="B186" s="506"/>
      <c r="C186" s="506"/>
      <c r="D186" s="506"/>
      <c r="E186" s="506"/>
      <c r="F186" s="507"/>
      <c r="G186" s="38" t="s">
        <v>508</v>
      </c>
      <c r="H186" s="18"/>
      <c r="I186" s="18"/>
      <c r="J186" s="18"/>
      <c r="K186" s="18"/>
      <c r="L186" s="18"/>
      <c r="M186" s="18"/>
      <c r="N186" s="18"/>
      <c r="O186" s="18"/>
      <c r="P186" s="18"/>
      <c r="Q186" s="18"/>
      <c r="R186" s="18"/>
      <c r="S186" s="39"/>
    </row>
    <row r="187" spans="1:27" ht="14.25" customHeight="1" x14ac:dyDescent="0.35">
      <c r="A187" s="505"/>
      <c r="B187" s="506"/>
      <c r="C187" s="506"/>
      <c r="D187" s="506"/>
      <c r="E187" s="506"/>
      <c r="F187" s="507"/>
      <c r="G187" s="458" t="s">
        <v>509</v>
      </c>
      <c r="H187" s="18"/>
      <c r="I187" s="18"/>
      <c r="J187" s="18"/>
      <c r="K187" s="18"/>
      <c r="L187" s="18"/>
      <c r="M187" s="18"/>
      <c r="N187" s="18"/>
      <c r="O187" s="18"/>
      <c r="P187" s="18"/>
      <c r="Q187" s="18"/>
      <c r="R187" s="18"/>
      <c r="S187" s="39"/>
    </row>
    <row r="188" spans="1:27" ht="14.25" customHeight="1" x14ac:dyDescent="0.35">
      <c r="A188" s="505"/>
      <c r="B188" s="506"/>
      <c r="C188" s="506"/>
      <c r="D188" s="506"/>
      <c r="E188" s="506"/>
      <c r="F188" s="507"/>
      <c r="G188" s="74"/>
      <c r="H188" s="75"/>
      <c r="I188" s="75"/>
      <c r="J188" s="75"/>
      <c r="K188" s="75"/>
      <c r="L188" s="75"/>
      <c r="M188" s="75"/>
      <c r="N188" s="75"/>
      <c r="O188" s="75"/>
      <c r="P188" s="75"/>
      <c r="Q188" s="75"/>
      <c r="R188" s="75"/>
      <c r="S188" s="76"/>
    </row>
    <row r="189" spans="1:27" ht="14.25" customHeight="1" x14ac:dyDescent="0.35">
      <c r="A189" s="505"/>
      <c r="B189" s="506"/>
      <c r="C189" s="506"/>
      <c r="D189" s="506"/>
      <c r="E189" s="506"/>
      <c r="F189" s="508"/>
    </row>
    <row r="190" spans="1:27" ht="14.25" customHeight="1" x14ac:dyDescent="0.35">
      <c r="A190" s="505"/>
      <c r="B190" s="508"/>
      <c r="C190" s="508"/>
      <c r="D190" s="508"/>
      <c r="E190" s="508"/>
      <c r="F190" s="507"/>
      <c r="G190" s="309">
        <v>1</v>
      </c>
      <c r="H190" s="310" t="s">
        <v>510</v>
      </c>
      <c r="I190" s="310">
        <v>2.2046226199999999</v>
      </c>
      <c r="J190" s="186" t="s">
        <v>125</v>
      </c>
    </row>
    <row r="191" spans="1:27" ht="14.25" customHeight="1" x14ac:dyDescent="0.35">
      <c r="A191" s="508"/>
      <c r="B191" s="508"/>
      <c r="C191" s="508"/>
      <c r="D191" s="508"/>
      <c r="E191" s="508"/>
      <c r="F191" s="509"/>
      <c r="G191" s="510"/>
      <c r="H191" s="18"/>
      <c r="I191" s="18"/>
      <c r="J191" s="18"/>
      <c r="K191" s="18"/>
    </row>
    <row r="192" spans="1:27" ht="14.25" customHeight="1" x14ac:dyDescent="0.3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row>
    <row r="193" spans="1:27" ht="14.25" customHeight="1" x14ac:dyDescent="0.35">
      <c r="A193" s="66" t="s">
        <v>511</v>
      </c>
      <c r="B193" s="487" t="s">
        <v>512</v>
      </c>
      <c r="C193" s="487" t="s">
        <v>513</v>
      </c>
      <c r="D193" s="487" t="s">
        <v>514</v>
      </c>
      <c r="E193" s="487" t="s">
        <v>515</v>
      </c>
      <c r="F193" s="487" t="s">
        <v>516</v>
      </c>
      <c r="G193" s="487" t="s">
        <v>517</v>
      </c>
      <c r="H193" s="502"/>
      <c r="I193" s="511"/>
      <c r="J193" s="511"/>
      <c r="K193" s="18"/>
      <c r="L193" s="18"/>
      <c r="M193" s="18"/>
      <c r="N193" s="18"/>
      <c r="O193" s="18"/>
      <c r="P193" s="18"/>
      <c r="Q193" s="18"/>
      <c r="R193" s="18"/>
      <c r="S193" s="18"/>
      <c r="T193" s="18"/>
      <c r="U193" s="18"/>
      <c r="V193" s="18"/>
      <c r="W193" s="18"/>
      <c r="X193" s="18"/>
      <c r="Y193" s="18"/>
      <c r="Z193" s="18"/>
      <c r="AA193" s="18"/>
    </row>
    <row r="194" spans="1:27" ht="14.25" customHeight="1" x14ac:dyDescent="0.35">
      <c r="A194" s="153">
        <v>1</v>
      </c>
      <c r="B194" s="118">
        <f>E178</f>
        <v>14576165.58774025</v>
      </c>
      <c r="C194" s="239"/>
      <c r="D194" s="512"/>
      <c r="E194" s="512"/>
      <c r="F194" s="512"/>
      <c r="G194" s="513">
        <f t="shared" ref="G194:G203" si="22">SUM(B194:F194)</f>
        <v>14576165.58774025</v>
      </c>
      <c r="H194" s="514"/>
      <c r="I194" s="511"/>
      <c r="J194" s="511"/>
      <c r="K194" s="18"/>
      <c r="L194" s="18"/>
      <c r="M194" s="18"/>
      <c r="N194" s="18"/>
      <c r="O194" s="18"/>
      <c r="P194" s="18"/>
      <c r="Q194" s="18"/>
      <c r="R194" s="18"/>
      <c r="S194" s="18"/>
      <c r="T194" s="18"/>
      <c r="U194" s="18"/>
      <c r="V194" s="18"/>
      <c r="W194" s="18"/>
      <c r="X194" s="18"/>
      <c r="Y194" s="18"/>
      <c r="Z194" s="18"/>
      <c r="AA194" s="18"/>
    </row>
    <row r="195" spans="1:27" ht="14.25" customHeight="1" x14ac:dyDescent="0.35">
      <c r="A195" s="38">
        <v>2</v>
      </c>
      <c r="B195" s="45">
        <f>B194*0.5</f>
        <v>7288082.793870125</v>
      </c>
      <c r="C195" s="45">
        <f>E179</f>
        <v>33979407.517535999</v>
      </c>
      <c r="D195" s="511"/>
      <c r="E195" s="511"/>
      <c r="F195" s="511"/>
      <c r="G195" s="515">
        <f t="shared" si="22"/>
        <v>41267490.311406121</v>
      </c>
      <c r="H195" s="516"/>
      <c r="I195" s="511"/>
      <c r="J195" s="511"/>
      <c r="K195" s="18"/>
      <c r="L195" s="18"/>
      <c r="M195" s="18"/>
      <c r="N195" s="18"/>
      <c r="O195" s="18"/>
      <c r="P195" s="18"/>
      <c r="Q195" s="18"/>
      <c r="R195" s="18"/>
      <c r="S195" s="18"/>
      <c r="T195" s="18"/>
      <c r="U195" s="18"/>
      <c r="V195" s="18"/>
      <c r="W195" s="18"/>
      <c r="X195" s="18"/>
      <c r="Y195" s="18"/>
      <c r="Z195" s="18"/>
      <c r="AA195" s="18"/>
    </row>
    <row r="196" spans="1:27" ht="14.25" customHeight="1" x14ac:dyDescent="0.35">
      <c r="A196" s="38">
        <v>3</v>
      </c>
      <c r="B196" s="45">
        <f>B194*0.25</f>
        <v>3644041.3969350625</v>
      </c>
      <c r="C196" s="45">
        <f>C195*0.5</f>
        <v>16989703.758768</v>
      </c>
      <c r="D196" s="45">
        <f>E180</f>
        <v>46015930.520384505</v>
      </c>
      <c r="E196" s="18"/>
      <c r="F196" s="18"/>
      <c r="G196" s="515">
        <f t="shared" si="22"/>
        <v>66649675.676087566</v>
      </c>
      <c r="H196" s="517"/>
      <c r="I196" s="18"/>
      <c r="J196" s="18"/>
      <c r="K196" s="18"/>
      <c r="L196" s="18"/>
      <c r="M196" s="18"/>
      <c r="N196" s="18"/>
      <c r="O196" s="18"/>
      <c r="P196" s="18"/>
      <c r="Q196" s="18"/>
      <c r="R196" s="18"/>
      <c r="S196" s="18"/>
      <c r="T196" s="18"/>
      <c r="U196" s="18"/>
      <c r="V196" s="18"/>
      <c r="W196" s="18"/>
      <c r="X196" s="18"/>
      <c r="Y196" s="18"/>
      <c r="Z196" s="18"/>
      <c r="AA196" s="18"/>
    </row>
    <row r="197" spans="1:27" ht="14.25" customHeight="1" x14ac:dyDescent="0.35">
      <c r="A197" s="38">
        <v>4</v>
      </c>
      <c r="B197" s="45">
        <f>B194*0.15</f>
        <v>2186424.8381610373</v>
      </c>
      <c r="C197" s="45">
        <f>C195*0.25</f>
        <v>8494851.8793839999</v>
      </c>
      <c r="D197" s="45">
        <f>D196*0.05</f>
        <v>2300796.5260192254</v>
      </c>
      <c r="E197" s="45">
        <f>E181</f>
        <v>75104492.986581489</v>
      </c>
      <c r="F197" s="18"/>
      <c r="G197" s="515">
        <f t="shared" si="22"/>
        <v>88086566.230145752</v>
      </c>
      <c r="H197" s="517"/>
      <c r="I197" s="18"/>
      <c r="J197" s="18"/>
      <c r="K197" s="18"/>
      <c r="L197" s="18"/>
      <c r="M197" s="18"/>
      <c r="N197" s="18"/>
      <c r="O197" s="18"/>
      <c r="P197" s="18"/>
      <c r="Q197" s="18"/>
      <c r="R197" s="18"/>
      <c r="S197" s="18"/>
      <c r="T197" s="18"/>
      <c r="U197" s="18"/>
      <c r="V197" s="18"/>
      <c r="W197" s="18"/>
      <c r="X197" s="18"/>
      <c r="Y197" s="18"/>
      <c r="Z197" s="18"/>
      <c r="AA197" s="18"/>
    </row>
    <row r="198" spans="1:27" ht="14.25" customHeight="1" x14ac:dyDescent="0.35">
      <c r="A198" s="38">
        <v>5</v>
      </c>
      <c r="B198" s="45">
        <f>B194*0.05</f>
        <v>728808.27938701259</v>
      </c>
      <c r="C198" s="45">
        <f>C195*0.15</f>
        <v>5096911.1276303995</v>
      </c>
      <c r="D198" s="45">
        <f>D196*0.25</f>
        <v>11503982.630096126</v>
      </c>
      <c r="E198" s="45">
        <f>E197*0.5</f>
        <v>37552246.493290745</v>
      </c>
      <c r="F198" s="45">
        <f>E189</f>
        <v>0</v>
      </c>
      <c r="G198" s="515">
        <f t="shared" si="22"/>
        <v>54881948.530404285</v>
      </c>
      <c r="H198" s="518">
        <f>SUM(G194:G198)</f>
        <v>265461846.33578396</v>
      </c>
      <c r="I198" s="18"/>
      <c r="J198" s="18"/>
      <c r="K198" s="18"/>
      <c r="L198" s="18"/>
      <c r="M198" s="18"/>
      <c r="N198" s="18"/>
      <c r="O198" s="18"/>
      <c r="P198" s="18"/>
      <c r="Q198" s="18"/>
      <c r="R198" s="18"/>
      <c r="S198" s="18"/>
      <c r="T198" s="18"/>
      <c r="U198" s="18"/>
      <c r="V198" s="18"/>
      <c r="W198" s="18"/>
      <c r="X198" s="18"/>
      <c r="Y198" s="18"/>
      <c r="Z198" s="18"/>
      <c r="AA198" s="18"/>
    </row>
    <row r="199" spans="1:27" ht="14.25" customHeight="1" x14ac:dyDescent="0.35">
      <c r="A199" s="38">
        <v>6</v>
      </c>
      <c r="B199" s="18">
        <v>0</v>
      </c>
      <c r="C199" s="45">
        <f>C195*0.05</f>
        <v>1698970.3758768002</v>
      </c>
      <c r="D199" s="45">
        <f>D196*0.15</f>
        <v>6902389.5780576756</v>
      </c>
      <c r="E199" s="45">
        <f>E197*0.25</f>
        <v>18776123.246645372</v>
      </c>
      <c r="F199" s="45">
        <f>F198*0.05</f>
        <v>0</v>
      </c>
      <c r="G199" s="515">
        <f t="shared" si="22"/>
        <v>27377483.200579848</v>
      </c>
      <c r="H199" s="517"/>
      <c r="I199" s="18"/>
      <c r="J199" s="18"/>
      <c r="K199" s="18"/>
      <c r="L199" s="18"/>
      <c r="M199" s="18"/>
      <c r="N199" s="18"/>
      <c r="O199" s="18"/>
      <c r="P199" s="18"/>
      <c r="Q199" s="18"/>
      <c r="R199" s="18"/>
      <c r="S199" s="18"/>
      <c r="T199" s="18"/>
      <c r="U199" s="18"/>
      <c r="V199" s="18"/>
      <c r="W199" s="18"/>
      <c r="X199" s="18"/>
      <c r="Y199" s="18"/>
      <c r="Z199" s="18"/>
      <c r="AA199" s="18"/>
    </row>
    <row r="200" spans="1:27" ht="14.25" customHeight="1" x14ac:dyDescent="0.35">
      <c r="A200" s="38">
        <v>7</v>
      </c>
      <c r="B200" s="18">
        <v>0</v>
      </c>
      <c r="C200" s="18">
        <v>0</v>
      </c>
      <c r="D200" s="45">
        <f>D196*0.05</f>
        <v>2300796.5260192254</v>
      </c>
      <c r="E200" s="45">
        <f>E197*0.15</f>
        <v>11265673.947987223</v>
      </c>
      <c r="F200" s="45">
        <f>F198*0.25</f>
        <v>0</v>
      </c>
      <c r="G200" s="515">
        <f t="shared" si="22"/>
        <v>13566470.474006448</v>
      </c>
      <c r="H200" s="517"/>
      <c r="I200" s="18"/>
      <c r="J200" s="18"/>
      <c r="K200" s="18"/>
      <c r="L200" s="18"/>
      <c r="M200" s="18"/>
      <c r="N200" s="18"/>
      <c r="O200" s="18"/>
      <c r="P200" s="18"/>
      <c r="Q200" s="18"/>
      <c r="R200" s="18"/>
      <c r="S200" s="18"/>
      <c r="T200" s="18"/>
      <c r="U200" s="18"/>
      <c r="V200" s="18"/>
      <c r="W200" s="18"/>
      <c r="X200" s="18"/>
      <c r="Y200" s="18"/>
      <c r="Z200" s="18"/>
      <c r="AA200" s="18"/>
    </row>
    <row r="201" spans="1:27" ht="14.25" customHeight="1" x14ac:dyDescent="0.35">
      <c r="A201" s="38">
        <v>8</v>
      </c>
      <c r="B201" s="18"/>
      <c r="C201" s="18"/>
      <c r="D201" s="18">
        <v>0</v>
      </c>
      <c r="E201" s="45">
        <f>E197*0.05</f>
        <v>3755224.6493290747</v>
      </c>
      <c r="F201" s="45">
        <f>F198*0.15</f>
        <v>0</v>
      </c>
      <c r="G201" s="515">
        <f t="shared" si="22"/>
        <v>3755224.6493290747</v>
      </c>
      <c r="H201" s="517"/>
      <c r="I201" s="18"/>
      <c r="J201" s="18"/>
      <c r="K201" s="18"/>
      <c r="L201" s="18"/>
      <c r="M201" s="18"/>
      <c r="N201" s="18"/>
      <c r="O201" s="18"/>
      <c r="P201" s="18"/>
      <c r="Q201" s="18"/>
      <c r="R201" s="18"/>
      <c r="S201" s="18"/>
      <c r="T201" s="18"/>
      <c r="U201" s="18"/>
      <c r="V201" s="18"/>
      <c r="W201" s="18"/>
      <c r="X201" s="18"/>
      <c r="Y201" s="18"/>
      <c r="Z201" s="18"/>
      <c r="AA201" s="18"/>
    </row>
    <row r="202" spans="1:27" ht="14.25" customHeight="1" x14ac:dyDescent="0.35">
      <c r="A202" s="38">
        <v>9</v>
      </c>
      <c r="B202" s="18"/>
      <c r="C202" s="18"/>
      <c r="D202" s="18"/>
      <c r="E202" s="18">
        <v>0</v>
      </c>
      <c r="F202" s="45">
        <f>F198*0.05</f>
        <v>0</v>
      </c>
      <c r="G202" s="515">
        <f t="shared" si="22"/>
        <v>0</v>
      </c>
      <c r="H202" s="518">
        <f>SUM(G194:G202)</f>
        <v>310161024.65969932</v>
      </c>
      <c r="I202" s="18"/>
      <c r="J202" s="18"/>
      <c r="K202" s="18"/>
      <c r="L202" s="18"/>
      <c r="M202" s="18"/>
      <c r="N202" s="18"/>
      <c r="O202" s="18"/>
      <c r="P202" s="18"/>
      <c r="Q202" s="18"/>
      <c r="R202" s="18"/>
      <c r="S202" s="18"/>
      <c r="T202" s="18"/>
      <c r="U202" s="18"/>
      <c r="V202" s="18"/>
      <c r="W202" s="18"/>
      <c r="X202" s="18"/>
      <c r="Y202" s="18"/>
      <c r="Z202" s="18"/>
      <c r="AA202" s="18"/>
    </row>
    <row r="203" spans="1:27" ht="14.25" customHeight="1" x14ac:dyDescent="0.35">
      <c r="A203" s="38">
        <v>10</v>
      </c>
      <c r="B203" s="18"/>
      <c r="C203" s="18"/>
      <c r="D203" s="18"/>
      <c r="E203" s="18"/>
      <c r="F203" s="18">
        <v>0</v>
      </c>
      <c r="G203" s="515">
        <f t="shared" si="22"/>
        <v>0</v>
      </c>
      <c r="H203" s="517"/>
      <c r="I203" s="18"/>
      <c r="J203" s="18"/>
      <c r="K203" s="18"/>
      <c r="L203" s="18"/>
      <c r="M203" s="18"/>
      <c r="N203" s="18"/>
      <c r="O203" s="18"/>
      <c r="P203" s="18"/>
      <c r="Q203" s="18"/>
      <c r="R203" s="18"/>
      <c r="S203" s="18"/>
      <c r="T203" s="18"/>
      <c r="U203" s="18"/>
      <c r="V203" s="18"/>
      <c r="W203" s="18"/>
      <c r="X203" s="18"/>
      <c r="Y203" s="18"/>
      <c r="Z203" s="18"/>
      <c r="AA203" s="18"/>
    </row>
    <row r="204" spans="1:27" ht="14.25" customHeight="1" x14ac:dyDescent="0.35">
      <c r="A204" s="74">
        <v>11</v>
      </c>
      <c r="B204" s="75"/>
      <c r="C204" s="75"/>
      <c r="D204" s="75"/>
      <c r="E204" s="75"/>
      <c r="F204" s="75"/>
      <c r="G204" s="75"/>
      <c r="H204" s="129"/>
      <c r="I204" s="18"/>
      <c r="J204" s="18"/>
      <c r="K204" s="18"/>
      <c r="L204" s="18"/>
      <c r="M204" s="18"/>
      <c r="N204" s="18"/>
      <c r="O204" s="18"/>
      <c r="P204" s="18"/>
      <c r="Q204" s="18"/>
      <c r="R204" s="18"/>
      <c r="S204" s="18"/>
      <c r="T204" s="18"/>
      <c r="U204" s="18"/>
      <c r="V204" s="18"/>
      <c r="W204" s="18"/>
      <c r="X204" s="18"/>
      <c r="Y204" s="18"/>
      <c r="Z204" s="18"/>
      <c r="AA204" s="18"/>
    </row>
    <row r="205" spans="1:27" ht="14.25" customHeight="1" x14ac:dyDescent="0.3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row>
    <row r="206" spans="1:27" ht="14.25" customHeight="1" x14ac:dyDescent="0.3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row>
    <row r="207" spans="1:27" ht="14.25" customHeight="1" x14ac:dyDescent="0.3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c r="W207" s="202"/>
      <c r="X207" s="202"/>
      <c r="Y207" s="202"/>
      <c r="Z207" s="202"/>
      <c r="AA207" s="202"/>
    </row>
    <row r="208" spans="1:27" ht="14.25" customHeight="1" x14ac:dyDescent="0.35">
      <c r="A208" s="202"/>
      <c r="B208" s="202"/>
      <c r="C208" s="202">
        <v>259200</v>
      </c>
      <c r="D208" s="202"/>
      <c r="E208" s="202"/>
      <c r="F208" s="202"/>
      <c r="G208" s="202"/>
      <c r="H208" s="202"/>
      <c r="I208" s="202"/>
      <c r="J208" s="202"/>
      <c r="K208" s="202"/>
      <c r="L208" s="202"/>
      <c r="M208" s="202"/>
      <c r="N208" s="202"/>
      <c r="O208" s="202"/>
      <c r="P208" s="202"/>
      <c r="Q208" s="202"/>
      <c r="R208" s="202"/>
      <c r="S208" s="202"/>
      <c r="T208" s="202"/>
      <c r="U208" s="202"/>
      <c r="V208" s="202"/>
      <c r="W208" s="202"/>
      <c r="X208" s="202"/>
      <c r="Y208" s="202"/>
      <c r="Z208" s="202"/>
      <c r="AA208" s="202"/>
    </row>
    <row r="209" spans="1:27" ht="14.25" customHeight="1" x14ac:dyDescent="0.35">
      <c r="A209" s="202"/>
      <c r="B209" s="202"/>
      <c r="C209" s="202">
        <v>800000</v>
      </c>
      <c r="D209" s="202"/>
      <c r="E209" s="202"/>
      <c r="F209" s="202"/>
      <c r="G209" s="202"/>
      <c r="H209" s="202"/>
      <c r="I209" s="202"/>
      <c r="J209" s="202"/>
      <c r="K209" s="202"/>
      <c r="L209" s="202"/>
      <c r="M209" s="202"/>
      <c r="N209" s="202"/>
      <c r="O209" s="202"/>
      <c r="P209" s="202"/>
      <c r="Q209" s="202"/>
      <c r="R209" s="202"/>
      <c r="S209" s="202"/>
      <c r="T209" s="202"/>
      <c r="U209" s="202"/>
      <c r="V209" s="202"/>
      <c r="W209" s="202"/>
      <c r="X209" s="202"/>
      <c r="Y209" s="202"/>
      <c r="Z209" s="202"/>
      <c r="AA209" s="202"/>
    </row>
    <row r="210" spans="1:27" ht="14.25" customHeight="1" x14ac:dyDescent="0.35">
      <c r="A210" s="202"/>
      <c r="B210" s="202"/>
      <c r="C210" s="202">
        <f>C209/C208</f>
        <v>3.0864197530864197</v>
      </c>
      <c r="D210" s="202"/>
      <c r="E210" s="202" t="s">
        <v>518</v>
      </c>
      <c r="F210" s="202"/>
      <c r="G210" s="202"/>
      <c r="H210" s="202"/>
      <c r="I210" s="202"/>
      <c r="J210" s="202"/>
      <c r="K210" s="202"/>
      <c r="L210" s="202"/>
      <c r="M210" s="202"/>
      <c r="N210" s="202"/>
      <c r="O210" s="202"/>
      <c r="P210" s="202"/>
      <c r="Q210" s="202"/>
      <c r="R210" s="202"/>
      <c r="S210" s="202"/>
      <c r="T210" s="202"/>
      <c r="U210" s="202"/>
      <c r="V210" s="202"/>
      <c r="W210" s="202"/>
      <c r="X210" s="202"/>
      <c r="Y210" s="202"/>
      <c r="Z210" s="202"/>
      <c r="AA210" s="202"/>
    </row>
    <row r="211" spans="1:27" ht="14.25" customHeight="1" x14ac:dyDescent="0.3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c r="W211" s="202"/>
      <c r="X211" s="202"/>
      <c r="Y211" s="202"/>
      <c r="Z211" s="202"/>
      <c r="AA211" s="202"/>
    </row>
    <row r="212" spans="1:27" ht="14.25" customHeight="1" x14ac:dyDescent="0.35"/>
    <row r="213" spans="1:27" ht="14.25" customHeight="1" x14ac:dyDescent="0.35">
      <c r="A213" s="285" t="s">
        <v>519</v>
      </c>
      <c r="B213" s="287"/>
      <c r="C213" s="287"/>
      <c r="D213" s="287"/>
      <c r="E213" s="287"/>
      <c r="F213" s="287"/>
      <c r="G213" s="287"/>
      <c r="H213" s="287"/>
      <c r="I213" s="287"/>
      <c r="J213" s="287"/>
      <c r="K213" s="287"/>
      <c r="L213" s="287"/>
      <c r="M213" s="287"/>
      <c r="N213" s="287"/>
      <c r="O213" s="287"/>
      <c r="P213" s="287"/>
      <c r="Q213" s="287"/>
      <c r="R213" s="287"/>
      <c r="S213" s="287"/>
    </row>
    <row r="214" spans="1:27" ht="14.25" customHeight="1" x14ac:dyDescent="0.35">
      <c r="A214" s="285"/>
      <c r="B214" s="287"/>
      <c r="C214" s="287"/>
      <c r="D214" s="287"/>
      <c r="E214" s="287"/>
      <c r="F214" s="287"/>
      <c r="G214" s="287"/>
      <c r="H214" s="287"/>
      <c r="I214" s="287"/>
      <c r="J214" s="287"/>
      <c r="K214" s="287"/>
      <c r="L214" s="287"/>
      <c r="M214" s="287"/>
      <c r="N214" s="287"/>
      <c r="O214" s="287"/>
      <c r="P214" s="287"/>
      <c r="Q214" s="287"/>
      <c r="R214" s="287"/>
      <c r="S214" s="287"/>
      <c r="T214" s="18"/>
      <c r="U214" s="18"/>
      <c r="V214" s="18"/>
      <c r="W214" s="18"/>
      <c r="X214" s="18"/>
      <c r="Y214" s="18"/>
      <c r="Z214" s="18"/>
      <c r="AA214" s="18"/>
    </row>
    <row r="215" spans="1:27" ht="14.25" customHeight="1" x14ac:dyDescent="0.35">
      <c r="A215" s="519" t="s">
        <v>520</v>
      </c>
    </row>
    <row r="216" spans="1:27" ht="14.25" customHeight="1" x14ac:dyDescent="0.35">
      <c r="A216" s="520"/>
      <c r="B216" s="565">
        <f>0.57*A218</f>
        <v>170.99999999999997</v>
      </c>
      <c r="C216" s="566"/>
      <c r="D216" s="565">
        <v>42</v>
      </c>
      <c r="E216" s="566"/>
      <c r="F216" s="565">
        <f>0.29*A218</f>
        <v>87</v>
      </c>
      <c r="G216" s="566"/>
      <c r="H216" s="567" t="s">
        <v>521</v>
      </c>
      <c r="I216" s="568"/>
      <c r="J216" s="545" t="s">
        <v>522</v>
      </c>
      <c r="K216" s="534"/>
      <c r="L216" s="545" t="s">
        <v>523</v>
      </c>
      <c r="M216" s="535"/>
      <c r="N216" s="564" t="s">
        <v>524</v>
      </c>
      <c r="O216" s="534"/>
      <c r="P216" s="545" t="s">
        <v>525</v>
      </c>
      <c r="Q216" s="535"/>
      <c r="R216" s="564" t="s">
        <v>526</v>
      </c>
      <c r="S216" s="535"/>
    </row>
    <row r="217" spans="1:27" ht="14.25" customHeight="1" x14ac:dyDescent="0.35">
      <c r="A217" s="520"/>
      <c r="B217" s="56" t="s">
        <v>129</v>
      </c>
      <c r="C217" s="56" t="s">
        <v>527</v>
      </c>
      <c r="D217" s="56" t="s">
        <v>129</v>
      </c>
      <c r="E217" s="56" t="s">
        <v>527</v>
      </c>
      <c r="F217" s="56" t="s">
        <v>129</v>
      </c>
      <c r="G217" s="56" t="s">
        <v>527</v>
      </c>
      <c r="H217" s="56" t="s">
        <v>129</v>
      </c>
      <c r="I217" s="57" t="s">
        <v>527</v>
      </c>
      <c r="J217" s="47" t="s">
        <v>129</v>
      </c>
      <c r="K217" s="48" t="s">
        <v>527</v>
      </c>
      <c r="L217" s="47" t="s">
        <v>129</v>
      </c>
      <c r="M217" s="49" t="s">
        <v>527</v>
      </c>
      <c r="N217" s="48" t="s">
        <v>129</v>
      </c>
      <c r="O217" s="48" t="s">
        <v>527</v>
      </c>
      <c r="P217" s="47" t="s">
        <v>129</v>
      </c>
      <c r="Q217" s="49" t="s">
        <v>527</v>
      </c>
      <c r="R217" s="48" t="s">
        <v>129</v>
      </c>
      <c r="S217" s="49" t="s">
        <v>527</v>
      </c>
      <c r="T217" s="18"/>
      <c r="U217" s="18"/>
      <c r="V217" s="18"/>
      <c r="W217" s="18"/>
      <c r="X217" s="18"/>
      <c r="Y217" s="18"/>
      <c r="Z217" s="18"/>
      <c r="AA217" s="18"/>
    </row>
    <row r="218" spans="1:27" ht="14.25" customHeight="1" x14ac:dyDescent="0.35">
      <c r="A218" s="521">
        <v>300</v>
      </c>
      <c r="B218" s="522">
        <f>K229*B216</f>
        <v>-319427.99999999994</v>
      </c>
      <c r="C218" s="523">
        <f>L229*B216</f>
        <v>68160.599999999991</v>
      </c>
      <c r="D218" s="524">
        <f>N229*D216</f>
        <v>179592</v>
      </c>
      <c r="E218" s="524">
        <f>O229*D216</f>
        <v>20634.600000000002</v>
      </c>
      <c r="F218" s="524">
        <f>Q229*F216</f>
        <v>-48546</v>
      </c>
      <c r="G218" s="524">
        <f>R229*F216</f>
        <v>10692.300000000001</v>
      </c>
      <c r="H218" s="524">
        <f t="shared" ref="H218:I218" si="23">B218+D218+F218</f>
        <v>-188381.99999999994</v>
      </c>
      <c r="I218" s="323">
        <f t="shared" si="23"/>
        <v>99487.5</v>
      </c>
      <c r="J218" s="525">
        <f t="shared" ref="J218:K218" si="24">H218</f>
        <v>-188381.99999999994</v>
      </c>
      <c r="K218" s="525">
        <f t="shared" si="24"/>
        <v>99487.5</v>
      </c>
      <c r="L218" s="526">
        <f t="shared" ref="L218:M218" si="25">SUM(H218:H219)</f>
        <v>-539489.99999999977</v>
      </c>
      <c r="M218" s="527">
        <f t="shared" si="25"/>
        <v>301410.3</v>
      </c>
      <c r="N218" s="525">
        <f t="shared" ref="N218:O218" si="26">SUM(H218:H220)</f>
        <v>-919856.99999999965</v>
      </c>
      <c r="O218" s="525">
        <f t="shared" si="26"/>
        <v>520160</v>
      </c>
      <c r="P218" s="526">
        <f t="shared" ref="P218:Q218" si="27">SUM(H218:H221)</f>
        <v>-1300223.9999999995</v>
      </c>
      <c r="Q218" s="527">
        <f t="shared" si="27"/>
        <v>738909.7</v>
      </c>
      <c r="R218" s="525">
        <f t="shared" ref="R218:S218" si="28">SUM(H218:H222)</f>
        <v>-1488605.9999999995</v>
      </c>
      <c r="S218" s="527">
        <f t="shared" si="28"/>
        <v>838397.2</v>
      </c>
    </row>
    <row r="219" spans="1:27" ht="14.25" customHeight="1" x14ac:dyDescent="0.35">
      <c r="A219" s="521">
        <v>600</v>
      </c>
      <c r="B219" s="528">
        <f>(A219*B227)*K229</f>
        <v>-638855.99999999988</v>
      </c>
      <c r="C219" s="529">
        <f>(A219*B227)*L229</f>
        <v>136321.19999999998</v>
      </c>
      <c r="D219" s="530">
        <f>A219*D227*N229</f>
        <v>384840</v>
      </c>
      <c r="E219" s="530">
        <f>(A219*D227)*O229</f>
        <v>44217</v>
      </c>
      <c r="F219" s="530">
        <f>A219*F227*Q229</f>
        <v>-97092</v>
      </c>
      <c r="G219" s="530">
        <f>A219*F227*R229</f>
        <v>21384.600000000002</v>
      </c>
      <c r="H219" s="530">
        <f t="shared" ref="H219:I219" si="29">B219+D219+F219</f>
        <v>-351107.99999999988</v>
      </c>
      <c r="I219" s="124">
        <f t="shared" si="29"/>
        <v>201922.8</v>
      </c>
    </row>
    <row r="220" spans="1:27" ht="14.25" customHeight="1" x14ac:dyDescent="0.35">
      <c r="A220" s="20">
        <v>650</v>
      </c>
      <c r="B220" s="38">
        <f>A220*B227*K229</f>
        <v>-692093.99999999988</v>
      </c>
      <c r="C220" s="12">
        <f>A220*B227*L229</f>
        <v>147681.29999999999</v>
      </c>
      <c r="D220" s="18">
        <f>A220*D227*N229</f>
        <v>416910</v>
      </c>
      <c r="E220" s="18">
        <f>A220*D227*O229</f>
        <v>47901.75</v>
      </c>
      <c r="F220" s="18">
        <f>A220*F227*Q229</f>
        <v>-105183</v>
      </c>
      <c r="G220" s="18">
        <f>A220*F227*R229</f>
        <v>23166.65</v>
      </c>
      <c r="H220" s="530">
        <f t="shared" ref="H220:I220" si="30">B220+D220+F220</f>
        <v>-380366.99999999988</v>
      </c>
      <c r="I220" s="124">
        <f t="shared" si="30"/>
        <v>218749.69999999998</v>
      </c>
    </row>
    <row r="221" spans="1:27" ht="14.25" customHeight="1" x14ac:dyDescent="0.35">
      <c r="A221" s="20">
        <v>650</v>
      </c>
      <c r="B221" s="38">
        <f t="shared" ref="B221:G221" si="31">B220</f>
        <v>-692093.99999999988</v>
      </c>
      <c r="C221" s="12">
        <f t="shared" si="31"/>
        <v>147681.29999999999</v>
      </c>
      <c r="D221" s="18">
        <f t="shared" si="31"/>
        <v>416910</v>
      </c>
      <c r="E221" s="18">
        <f t="shared" si="31"/>
        <v>47901.75</v>
      </c>
      <c r="F221" s="18">
        <f t="shared" si="31"/>
        <v>-105183</v>
      </c>
      <c r="G221" s="18">
        <f t="shared" si="31"/>
        <v>23166.65</v>
      </c>
      <c r="H221" s="530">
        <f t="shared" ref="H221:I221" si="32">B221+D221+F221</f>
        <v>-380366.99999999988</v>
      </c>
      <c r="I221" s="124">
        <f t="shared" si="32"/>
        <v>218749.69999999998</v>
      </c>
    </row>
    <row r="222" spans="1:27" ht="14.25" customHeight="1" x14ac:dyDescent="0.35">
      <c r="A222" s="135">
        <v>300</v>
      </c>
      <c r="B222" s="74">
        <f t="shared" ref="B222:G222" si="33">B218</f>
        <v>-319427.99999999994</v>
      </c>
      <c r="C222" s="140">
        <f t="shared" si="33"/>
        <v>68160.599999999991</v>
      </c>
      <c r="D222" s="75">
        <f t="shared" si="33"/>
        <v>179592</v>
      </c>
      <c r="E222" s="75">
        <f t="shared" si="33"/>
        <v>20634.600000000002</v>
      </c>
      <c r="F222" s="75">
        <f t="shared" si="33"/>
        <v>-48546</v>
      </c>
      <c r="G222" s="75">
        <f t="shared" si="33"/>
        <v>10692.300000000001</v>
      </c>
      <c r="H222" s="531">
        <f t="shared" ref="H222:I222" si="34">B222+D222+F222</f>
        <v>-188381.99999999994</v>
      </c>
      <c r="I222" s="138">
        <f t="shared" si="34"/>
        <v>99487.5</v>
      </c>
    </row>
    <row r="223" spans="1:27" ht="14.25" customHeight="1" x14ac:dyDescent="0.35">
      <c r="A223" s="91">
        <f>SUM(A218:A222)</f>
        <v>2500</v>
      </c>
    </row>
    <row r="224" spans="1:27" ht="14.25" customHeight="1" x14ac:dyDescent="0.35"/>
    <row r="225" spans="2:19" ht="14.25" customHeight="1" x14ac:dyDescent="0.35"/>
    <row r="226" spans="2:19" ht="14.25" customHeight="1" x14ac:dyDescent="0.35">
      <c r="B226" s="569" t="s">
        <v>528</v>
      </c>
      <c r="C226" s="548"/>
      <c r="D226" s="548"/>
      <c r="E226" s="548"/>
      <c r="F226" s="548"/>
      <c r="G226" s="549"/>
    </row>
    <row r="227" spans="2:19" ht="14.25" customHeight="1" x14ac:dyDescent="0.35">
      <c r="B227" s="74">
        <v>0.56999999999999995</v>
      </c>
      <c r="C227" s="75"/>
      <c r="D227" s="75">
        <v>0.15</v>
      </c>
      <c r="E227" s="75"/>
      <c r="F227" s="75">
        <v>0.28999999999999998</v>
      </c>
      <c r="G227" s="76"/>
      <c r="K227" s="70" t="s">
        <v>529</v>
      </c>
      <c r="L227" s="70" t="s">
        <v>530</v>
      </c>
      <c r="N227" s="18" t="s">
        <v>529</v>
      </c>
      <c r="O227" s="18" t="s">
        <v>530</v>
      </c>
      <c r="Q227" s="18" t="s">
        <v>529</v>
      </c>
      <c r="R227" s="18" t="s">
        <v>530</v>
      </c>
    </row>
    <row r="228" spans="2:19" ht="14.25" customHeight="1" x14ac:dyDescent="0.35">
      <c r="K228" s="18"/>
      <c r="L228" s="18"/>
      <c r="M228" s="18"/>
      <c r="N228" s="18"/>
      <c r="O228" s="18"/>
      <c r="P228" s="18"/>
      <c r="Q228" s="18"/>
      <c r="R228" s="18"/>
      <c r="S228" s="18"/>
    </row>
    <row r="229" spans="2:19" ht="14.25" customHeight="1" x14ac:dyDescent="0.35">
      <c r="K229" s="70">
        <v>-1868</v>
      </c>
      <c r="L229" s="70">
        <v>398.6</v>
      </c>
      <c r="N229" s="70">
        <v>4276</v>
      </c>
      <c r="O229" s="70">
        <v>491.3</v>
      </c>
      <c r="Q229" s="70">
        <v>-558</v>
      </c>
      <c r="R229" s="70">
        <v>122.9</v>
      </c>
    </row>
    <row r="230" spans="2:19" ht="14.25" customHeight="1" x14ac:dyDescent="0.35"/>
    <row r="231" spans="2:19" ht="14.25" customHeight="1" x14ac:dyDescent="0.35"/>
    <row r="232" spans="2:19" ht="14.25" customHeight="1" x14ac:dyDescent="0.35">
      <c r="M232" s="532">
        <v>137381</v>
      </c>
      <c r="N232" s="239" t="s">
        <v>531</v>
      </c>
      <c r="O232" s="117"/>
    </row>
    <row r="233" spans="2:19" ht="14.25" customHeight="1" x14ac:dyDescent="0.35">
      <c r="M233" s="292">
        <f>M232/1000</f>
        <v>137.381</v>
      </c>
      <c r="N233" s="75" t="s">
        <v>532</v>
      </c>
      <c r="O233" s="76"/>
    </row>
    <row r="234" spans="2:19" ht="14.25" customHeight="1" x14ac:dyDescent="0.35"/>
    <row r="235" spans="2:19" ht="14.25" customHeight="1" x14ac:dyDescent="0.35"/>
    <row r="236" spans="2:19" ht="14.25" customHeight="1" x14ac:dyDescent="0.35"/>
    <row r="237" spans="2:19" ht="14.25" customHeight="1" x14ac:dyDescent="0.35"/>
    <row r="238" spans="2:19" ht="14.25" customHeight="1" x14ac:dyDescent="0.35"/>
    <row r="239" spans="2:19" ht="14.25" customHeight="1" x14ac:dyDescent="0.35"/>
    <row r="240" spans="2:19"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9">
    <mergeCell ref="B226:G226"/>
    <mergeCell ref="P216:Q216"/>
    <mergeCell ref="R216:S216"/>
    <mergeCell ref="B216:C216"/>
    <mergeCell ref="D216:E216"/>
    <mergeCell ref="F216:G216"/>
    <mergeCell ref="H216:I216"/>
    <mergeCell ref="J216:K216"/>
    <mergeCell ref="L216:M216"/>
    <mergeCell ref="N216:O216"/>
    <mergeCell ref="K99:O99"/>
    <mergeCell ref="P99:T99"/>
    <mergeCell ref="I79:J79"/>
    <mergeCell ref="K79:L79"/>
    <mergeCell ref="A87:E87"/>
    <mergeCell ref="A88:D88"/>
    <mergeCell ref="A89:D89"/>
    <mergeCell ref="M95:N95"/>
    <mergeCell ref="H99:J99"/>
  </mergeCells>
  <hyperlinks>
    <hyperlink ref="A86" r:id="rId1" xr:uid="{00000000-0004-0000-0600-000000000000}"/>
    <hyperlink ref="C92" r:id="rId2" xr:uid="{00000000-0004-0000-0600-000001000000}"/>
    <hyperlink ref="F94" r:id="rId3" xr:uid="{00000000-0004-0000-0600-000002000000}"/>
    <hyperlink ref="B105" r:id="rId4" xr:uid="{00000000-0004-0000-0600-000003000000}"/>
    <hyperlink ref="G187" r:id="rId5" xr:uid="{00000000-0004-0000-0600-000004000000}"/>
  </hyperlinks>
  <pageMargins left="0.7" right="0.7" top="0.75" bottom="0.75" header="0" footer="0"/>
  <pageSetup orientation="portrait"/>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Final Project Calcs</vt:lpstr>
      <vt:lpstr>Electricity Conversions</vt:lpstr>
      <vt:lpstr>Solar PV Data</vt:lpstr>
      <vt:lpstr>EV Charging Metrics</vt:lpstr>
      <vt:lpstr>Gas Metrics</vt:lpstr>
      <vt:lpstr>Fuel Oil+Propane Metrics</vt:lpstr>
      <vt:lpstr>Project-Specific Calcs_Lifecycl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herrin, dianne</dc:creator>
  <cp:lastModifiedBy>Rae Pagliarulo</cp:lastModifiedBy>
  <dcterms:created xsi:type="dcterms:W3CDTF">2024-02-29T15:00:15Z</dcterms:created>
  <dcterms:modified xsi:type="dcterms:W3CDTF">2024-03-28T13:24:16Z</dcterms:modified>
</cp:coreProperties>
</file>