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ENVQUAL\BF\Federal Grant Applications\2024 CPRG Proposal\Project Narrative Attachments\"/>
    </mc:Choice>
  </mc:AlternateContent>
  <bookViews>
    <workbookView xWindow="28680" yWindow="-2850" windowWidth="29040" windowHeight="17520" tabRatio="628"/>
  </bookViews>
  <sheets>
    <sheet name="Budget Summary" sheetId="20" r:id="rId1"/>
    <sheet name="Program Summary" sheetId="18" r:id="rId2"/>
    <sheet name="1-Res. Roof Solar" sheetId="15" r:id="rId3"/>
    <sheet name="2-Res_Heating_Cooling" sheetId="17" r:id="rId4"/>
    <sheet name="3-Muni. Fac. Solar" sheetId="7" r:id="rId5"/>
    <sheet name="4-Muni Upgrades" sheetId="8" r:id="rId6"/>
    <sheet name="Resources" sheetId="12" r:id="rId7"/>
    <sheet name="Conv. Fact." sheetId="13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8" l="1"/>
  <c r="F72" i="8"/>
  <c r="F2" i="8"/>
  <c r="B45" i="8"/>
  <c r="B50" i="7"/>
  <c r="B98" i="8" l="1"/>
  <c r="B97" i="8"/>
  <c r="B96" i="8"/>
  <c r="E99" i="8"/>
  <c r="F99" i="8" s="1"/>
  <c r="G99" i="8" s="1"/>
  <c r="E98" i="8"/>
  <c r="E97" i="8"/>
  <c r="F97" i="8" s="1"/>
  <c r="G97" i="8" s="1"/>
  <c r="E96" i="8"/>
  <c r="F96" i="8" s="1"/>
  <c r="C80" i="8"/>
  <c r="F98" i="8" l="1"/>
  <c r="G98" i="8" s="1"/>
  <c r="G96" i="8"/>
  <c r="B70" i="8"/>
  <c r="B65" i="8"/>
  <c r="C86" i="8" s="1"/>
  <c r="F100" i="8" l="1"/>
  <c r="C4" i="8" s="1"/>
  <c r="G100" i="8"/>
  <c r="E4" i="8" s="1"/>
  <c r="F71" i="8"/>
  <c r="C79" i="8"/>
  <c r="C78" i="8"/>
  <c r="E175" i="13"/>
  <c r="B188" i="13"/>
  <c r="E172" i="13" s="1"/>
  <c r="E169" i="13"/>
  <c r="B184" i="13"/>
  <c r="B180" i="13"/>
  <c r="E167" i="13" l="1"/>
  <c r="D81" i="8"/>
  <c r="D77" i="8"/>
  <c r="C81" i="8"/>
  <c r="C77" i="8"/>
  <c r="C85" i="8" l="1"/>
  <c r="C84" i="8"/>
  <c r="F66" i="8" s="1"/>
  <c r="D127" i="17"/>
  <c r="F142" i="13"/>
  <c r="F141" i="13"/>
  <c r="F140" i="13"/>
  <c r="F139" i="13"/>
  <c r="F138" i="13"/>
  <c r="F137" i="13"/>
  <c r="F136" i="13"/>
  <c r="F135" i="13"/>
  <c r="F134" i="13"/>
  <c r="F133" i="13"/>
  <c r="F132" i="13"/>
  <c r="F131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F143" i="13" l="1"/>
  <c r="B73" i="8" s="1"/>
  <c r="D143" i="13"/>
  <c r="B106" i="7"/>
  <c r="B105" i="7"/>
  <c r="B77" i="7"/>
  <c r="B76" i="7"/>
  <c r="B48" i="7"/>
  <c r="B47" i="7"/>
  <c r="A5" i="20"/>
  <c r="A15" i="20" s="1"/>
  <c r="A4" i="20"/>
  <c r="A14" i="20" s="1"/>
  <c r="A3" i="20"/>
  <c r="A13" i="20" s="1"/>
  <c r="A2" i="20"/>
  <c r="A12" i="20" s="1"/>
  <c r="B5" i="20"/>
  <c r="B15" i="20" s="1"/>
  <c r="B4" i="20"/>
  <c r="B14" i="20" s="1"/>
  <c r="B3" i="20"/>
  <c r="B13" i="20" s="1"/>
  <c r="B2" i="20"/>
  <c r="B12" i="20" s="1"/>
  <c r="C87" i="8" l="1"/>
  <c r="B72" i="8"/>
  <c r="B68" i="8"/>
  <c r="B67" i="8"/>
  <c r="B71" i="8"/>
  <c r="B66" i="8"/>
  <c r="D128" i="17"/>
  <c r="B43" i="8"/>
  <c r="B44" i="8" s="1"/>
  <c r="B41" i="8"/>
  <c r="B35" i="8" s="1"/>
  <c r="E46" i="17"/>
  <c r="E25" i="17"/>
  <c r="E48" i="17"/>
  <c r="E47" i="17"/>
  <c r="E45" i="17"/>
  <c r="E44" i="17"/>
  <c r="E43" i="17"/>
  <c r="E81" i="13"/>
  <c r="E24" i="17"/>
  <c r="E79" i="13"/>
  <c r="E23" i="17"/>
  <c r="E76" i="13"/>
  <c r="E75" i="13"/>
  <c r="E74" i="13"/>
  <c r="E73" i="13"/>
  <c r="E72" i="13"/>
  <c r="E71" i="13"/>
  <c r="E70" i="13"/>
  <c r="A120" i="18"/>
  <c r="C88" i="8" l="1"/>
  <c r="C89" i="8" s="1"/>
  <c r="F73" i="8"/>
  <c r="F3" i="8" s="1"/>
  <c r="B69" i="8"/>
  <c r="F65" i="8" s="1"/>
  <c r="B74" i="8"/>
  <c r="D129" i="17"/>
  <c r="D131" i="17" s="1"/>
  <c r="D134" i="17"/>
  <c r="D130" i="17"/>
  <c r="D132" i="17" s="1"/>
  <c r="C3" i="8" l="1"/>
  <c r="C90" i="8"/>
  <c r="C91" i="8"/>
  <c r="A13" i="18"/>
  <c r="A12" i="18"/>
  <c r="A15" i="18"/>
  <c r="A14" i="18"/>
  <c r="B13" i="18"/>
  <c r="B12" i="18"/>
  <c r="B15" i="18"/>
  <c r="B14" i="18"/>
  <c r="A89" i="18"/>
  <c r="A58" i="18"/>
  <c r="B13" i="15"/>
  <c r="F117" i="17"/>
  <c r="F118" i="17" s="1"/>
  <c r="F82" i="17"/>
  <c r="C92" i="8" l="1"/>
  <c r="F67" i="8" s="1"/>
  <c r="F68" i="8" s="1"/>
  <c r="F69" i="8" s="1"/>
  <c r="F84" i="17"/>
  <c r="F83" i="17"/>
  <c r="F85" i="17" s="1"/>
  <c r="B76" i="13"/>
  <c r="E22" i="17" s="1"/>
  <c r="B102" i="7"/>
  <c r="B93" i="7" s="1"/>
  <c r="B73" i="7"/>
  <c r="B64" i="7" s="1"/>
  <c r="A35" i="13"/>
  <c r="B44" i="7"/>
  <c r="B35" i="7" s="1"/>
  <c r="B103" i="7"/>
  <c r="B74" i="7"/>
  <c r="B75" i="13"/>
  <c r="E21" i="17" s="1"/>
  <c r="B21" i="18"/>
  <c r="B20" i="18"/>
  <c r="B23" i="18"/>
  <c r="B22" i="18"/>
  <c r="A21" i="18"/>
  <c r="A20" i="18"/>
  <c r="A23" i="18"/>
  <c r="A22" i="18"/>
  <c r="E3" i="8" l="1"/>
  <c r="B45" i="7"/>
  <c r="B36" i="7" s="1"/>
  <c r="B42" i="8"/>
  <c r="B36" i="8" s="1"/>
  <c r="C2" i="8" s="1"/>
  <c r="B14" i="15"/>
  <c r="B98" i="7"/>
  <c r="B97" i="7"/>
  <c r="B69" i="7"/>
  <c r="B68" i="7"/>
  <c r="B39" i="7"/>
  <c r="B40" i="7"/>
  <c r="B65" i="7"/>
  <c r="B94" i="7"/>
  <c r="B104" i="13"/>
  <c r="B106" i="13"/>
  <c r="E36" i="17"/>
  <c r="C5" i="8" l="1"/>
  <c r="B37" i="8"/>
  <c r="F109" i="17"/>
  <c r="F108" i="17"/>
  <c r="A27" i="18"/>
  <c r="B17" i="15"/>
  <c r="L20" i="17"/>
  <c r="K20" i="17"/>
  <c r="J20" i="17"/>
  <c r="I20" i="17"/>
  <c r="H20" i="17"/>
  <c r="L19" i="17"/>
  <c r="K19" i="17"/>
  <c r="J19" i="17"/>
  <c r="I19" i="17"/>
  <c r="H19" i="17"/>
  <c r="L18" i="17"/>
  <c r="K18" i="17"/>
  <c r="J18" i="17"/>
  <c r="I18" i="17"/>
  <c r="H18" i="17"/>
  <c r="L16" i="17"/>
  <c r="K16" i="17"/>
  <c r="J16" i="17"/>
  <c r="I16" i="17"/>
  <c r="H16" i="17"/>
  <c r="L14" i="17"/>
  <c r="K14" i="17"/>
  <c r="J14" i="17"/>
  <c r="I14" i="17"/>
  <c r="H14" i="17"/>
  <c r="L13" i="17"/>
  <c r="K13" i="17"/>
  <c r="J13" i="17"/>
  <c r="I13" i="17"/>
  <c r="H13" i="17"/>
  <c r="E42" i="17"/>
  <c r="E41" i="17"/>
  <c r="E40" i="17"/>
  <c r="E38" i="17"/>
  <c r="E39" i="17"/>
  <c r="E37" i="17"/>
  <c r="E35" i="17"/>
  <c r="F107" i="17" l="1"/>
  <c r="B103" i="13"/>
  <c r="F95" i="17" s="1"/>
  <c r="F96" i="17" l="1"/>
  <c r="F101" i="17" s="1"/>
  <c r="F105" i="17" s="1"/>
  <c r="F99" i="17"/>
  <c r="F98" i="17"/>
  <c r="F111" i="17"/>
  <c r="F112" i="17"/>
  <c r="F97" i="17"/>
  <c r="F102" i="17"/>
  <c r="F103" i="17" s="1"/>
  <c r="F100" i="17" l="1"/>
  <c r="F104" i="17" s="1"/>
  <c r="F114" i="17"/>
  <c r="F110" i="17"/>
  <c r="B102" i="13"/>
  <c r="E20" i="17"/>
  <c r="E19" i="17"/>
  <c r="E18" i="17"/>
  <c r="E17" i="17"/>
  <c r="E16" i="17"/>
  <c r="E14" i="17"/>
  <c r="B80" i="13" s="1"/>
  <c r="L10" i="17"/>
  <c r="L9" i="17"/>
  <c r="F113" i="17" l="1"/>
  <c r="F115" i="17" s="1"/>
  <c r="F74" i="17"/>
  <c r="E15" i="17"/>
  <c r="F116" i="17"/>
  <c r="F63" i="17"/>
  <c r="F64" i="17" s="1"/>
  <c r="F77" i="17" l="1"/>
  <c r="F76" i="17"/>
  <c r="F68" i="17"/>
  <c r="F67" i="17"/>
  <c r="F75" i="17"/>
  <c r="F79" i="17"/>
  <c r="F66" i="17"/>
  <c r="F65" i="17"/>
  <c r="F70" i="17" s="1"/>
  <c r="F72" i="17" s="1"/>
  <c r="F78" i="17" l="1"/>
  <c r="F80" i="17" s="1"/>
  <c r="G3" i="17" s="1"/>
  <c r="F69" i="17"/>
  <c r="F71" i="17" s="1"/>
  <c r="G2" i="17" s="1"/>
  <c r="F81" i="17"/>
  <c r="B79" i="7"/>
  <c r="B108" i="7"/>
  <c r="B104" i="7"/>
  <c r="B107" i="7" s="1"/>
  <c r="B75" i="7"/>
  <c r="B78" i="7" s="1"/>
  <c r="B46" i="7"/>
  <c r="B49" i="7" s="1"/>
  <c r="G4" i="17" l="1"/>
  <c r="D4" i="18" l="1"/>
  <c r="G7" i="17"/>
  <c r="C4" i="18"/>
  <c r="C122" i="18" s="1"/>
  <c r="D122" i="18" s="1"/>
  <c r="G5" i="17"/>
  <c r="F5" i="8"/>
  <c r="E2" i="8"/>
  <c r="A6" i="7"/>
  <c r="A5" i="7"/>
  <c r="A4" i="7"/>
  <c r="B12" i="15"/>
  <c r="B15" i="15" s="1"/>
  <c r="B2" i="15" s="1"/>
  <c r="C60" i="18" l="1"/>
  <c r="D60" i="18" s="1"/>
  <c r="E5" i="8"/>
  <c r="D6" i="18" s="1"/>
  <c r="C123" i="18"/>
  <c r="B3" i="15"/>
  <c r="C4" i="7"/>
  <c r="C7" i="7" s="1"/>
  <c r="B38" i="7"/>
  <c r="F4" i="7" s="1"/>
  <c r="B37" i="7"/>
  <c r="B95" i="7"/>
  <c r="E6" i="7" s="1"/>
  <c r="B96" i="7"/>
  <c r="F6" i="7" s="1"/>
  <c r="B66" i="7"/>
  <c r="E5" i="7" s="1"/>
  <c r="B67" i="7"/>
  <c r="F5" i="7" s="1"/>
  <c r="C6" i="7"/>
  <c r="C5" i="7"/>
  <c r="F7" i="7" l="1"/>
  <c r="C6" i="18"/>
  <c r="C124" i="18"/>
  <c r="D123" i="18"/>
  <c r="B19" i="15"/>
  <c r="B18" i="15"/>
  <c r="B20" i="15"/>
  <c r="E4" i="7"/>
  <c r="C29" i="18"/>
  <c r="C61" i="18"/>
  <c r="D61" i="18" s="1"/>
  <c r="B7" i="15"/>
  <c r="B8" i="15" s="1"/>
  <c r="B4" i="15"/>
  <c r="E7" i="7" l="1"/>
  <c r="D5" i="18" s="1"/>
  <c r="C30" i="18"/>
  <c r="D29" i="18"/>
  <c r="C125" i="18"/>
  <c r="D124" i="18"/>
  <c r="B5" i="15"/>
  <c r="B6" i="15" s="1"/>
  <c r="D3" i="18" s="1"/>
  <c r="C62" i="18"/>
  <c r="D62" i="18" s="1"/>
  <c r="C5" i="18"/>
  <c r="C31" i="18" l="1"/>
  <c r="D30" i="18"/>
  <c r="C126" i="18"/>
  <c r="D126" i="18" s="1"/>
  <c r="D125" i="18"/>
  <c r="C3" i="18"/>
  <c r="C91" i="18" s="1"/>
  <c r="C63" i="18"/>
  <c r="D63" i="18" s="1"/>
  <c r="C32" i="18" l="1"/>
  <c r="D31" i="18"/>
  <c r="C92" i="18"/>
  <c r="D91" i="18"/>
  <c r="C64" i="18"/>
  <c r="D64" i="18" s="1"/>
  <c r="C7" i="18"/>
  <c r="C127" i="18"/>
  <c r="D127" i="18" s="1"/>
  <c r="D32" i="18" l="1"/>
  <c r="C33" i="18"/>
  <c r="D33" i="18" s="1"/>
  <c r="C93" i="18"/>
  <c r="D92" i="18"/>
  <c r="C65" i="18"/>
  <c r="D65" i="18" s="1"/>
  <c r="C128" i="18"/>
  <c r="D128" i="18" s="1"/>
  <c r="C148" i="18"/>
  <c r="C13" i="18" s="1"/>
  <c r="D148" i="18"/>
  <c r="D13" i="18" s="1"/>
  <c r="C94" i="18" l="1"/>
  <c r="D94" i="18" s="1"/>
  <c r="D93" i="18"/>
  <c r="E3" i="20"/>
  <c r="C13" i="20" s="1"/>
  <c r="D86" i="18"/>
  <c r="D15" i="18" s="1"/>
  <c r="E5" i="20" s="1"/>
  <c r="C15" i="20" s="1"/>
  <c r="C66" i="18"/>
  <c r="D66" i="18" s="1"/>
  <c r="C86" i="18"/>
  <c r="C15" i="18" s="1"/>
  <c r="C129" i="18"/>
  <c r="D129" i="18" s="1"/>
  <c r="C67" i="18" l="1"/>
  <c r="D67" i="18" s="1"/>
  <c r="C130" i="18"/>
  <c r="D130" i="18" s="1"/>
  <c r="C95" i="18"/>
  <c r="D95" i="18" s="1"/>
  <c r="C34" i="18"/>
  <c r="C55" i="18" l="1"/>
  <c r="C14" i="18" s="1"/>
  <c r="D34" i="18"/>
  <c r="C68" i="18"/>
  <c r="D68" i="18" s="1"/>
  <c r="C131" i="18"/>
  <c r="D131" i="18" s="1"/>
  <c r="C96" i="18"/>
  <c r="D96" i="18" s="1"/>
  <c r="C35" i="18"/>
  <c r="D35" i="18" s="1"/>
  <c r="C69" i="18" l="1"/>
  <c r="D69" i="18" s="1"/>
  <c r="C132" i="18"/>
  <c r="D132" i="18" s="1"/>
  <c r="C97" i="18"/>
  <c r="D97" i="18" s="1"/>
  <c r="C117" i="18"/>
  <c r="C12" i="18" s="1"/>
  <c r="D117" i="18"/>
  <c r="D12" i="18" s="1"/>
  <c r="C36" i="18"/>
  <c r="D36" i="18" s="1"/>
  <c r="C16" i="18" l="1"/>
  <c r="C70" i="18"/>
  <c r="D70" i="18" s="1"/>
  <c r="E2" i="20"/>
  <c r="C12" i="20" s="1"/>
  <c r="C133" i="18"/>
  <c r="D133" i="18" s="1"/>
  <c r="C98" i="18"/>
  <c r="D98" i="18" s="1"/>
  <c r="C37" i="18"/>
  <c r="D37" i="18" s="1"/>
  <c r="C71" i="18" l="1"/>
  <c r="D71" i="18" s="1"/>
  <c r="C134" i="18"/>
  <c r="D134" i="18" s="1"/>
  <c r="C99" i="18"/>
  <c r="D99" i="18" s="1"/>
  <c r="C38" i="18"/>
  <c r="D38" i="18" s="1"/>
  <c r="C72" i="18" l="1"/>
  <c r="D72" i="18" s="1"/>
  <c r="C135" i="18"/>
  <c r="D135" i="18" s="1"/>
  <c r="C100" i="18"/>
  <c r="D100" i="18" s="1"/>
  <c r="C39" i="18"/>
  <c r="D39" i="18" s="1"/>
  <c r="C73" i="18" l="1"/>
  <c r="D73" i="18" s="1"/>
  <c r="C136" i="18"/>
  <c r="D136" i="18" s="1"/>
  <c r="C101" i="18"/>
  <c r="D101" i="18" s="1"/>
  <c r="C40" i="18"/>
  <c r="D40" i="18" s="1"/>
  <c r="C74" i="18" l="1"/>
  <c r="D74" i="18" s="1"/>
  <c r="C137" i="18"/>
  <c r="D137" i="18" s="1"/>
  <c r="C102" i="18"/>
  <c r="D102" i="18" s="1"/>
  <c r="C41" i="18"/>
  <c r="D41" i="18" s="1"/>
  <c r="C75" i="18" l="1"/>
  <c r="D75" i="18" s="1"/>
  <c r="C138" i="18"/>
  <c r="D138" i="18" s="1"/>
  <c r="C103" i="18"/>
  <c r="D103" i="18" s="1"/>
  <c r="C42" i="18"/>
  <c r="D42" i="18" s="1"/>
  <c r="C76" i="18" l="1"/>
  <c r="D76" i="18" s="1"/>
  <c r="C139" i="18"/>
  <c r="D139" i="18" s="1"/>
  <c r="C104" i="18"/>
  <c r="D104" i="18" s="1"/>
  <c r="C43" i="18"/>
  <c r="D43" i="18" s="1"/>
  <c r="C77" i="18" l="1"/>
  <c r="D77" i="18" s="1"/>
  <c r="C140" i="18"/>
  <c r="D140" i="18" s="1"/>
  <c r="C105" i="18"/>
  <c r="D105" i="18" s="1"/>
  <c r="C44" i="18"/>
  <c r="D44" i="18" s="1"/>
  <c r="C78" i="18" l="1"/>
  <c r="D78" i="18" s="1"/>
  <c r="C141" i="18"/>
  <c r="D141" i="18" s="1"/>
  <c r="C106" i="18"/>
  <c r="D106" i="18" s="1"/>
  <c r="C45" i="18"/>
  <c r="D45" i="18" s="1"/>
  <c r="C79" i="18" l="1"/>
  <c r="D79" i="18" s="1"/>
  <c r="C142" i="18"/>
  <c r="D142" i="18" s="1"/>
  <c r="C107" i="18"/>
  <c r="D107" i="18" s="1"/>
  <c r="C46" i="18"/>
  <c r="D46" i="18" s="1"/>
  <c r="C80" i="18" l="1"/>
  <c r="D80" i="18" s="1"/>
  <c r="C143" i="18"/>
  <c r="D143" i="18" s="1"/>
  <c r="C108" i="18"/>
  <c r="D108" i="18" s="1"/>
  <c r="C47" i="18"/>
  <c r="D47" i="18" s="1"/>
  <c r="C81" i="18" l="1"/>
  <c r="D81" i="18" s="1"/>
  <c r="C144" i="18"/>
  <c r="D144" i="18" s="1"/>
  <c r="C109" i="18"/>
  <c r="D109" i="18" s="1"/>
  <c r="C48" i="18"/>
  <c r="D48" i="18" s="1"/>
  <c r="C82" i="18" l="1"/>
  <c r="D82" i="18" s="1"/>
  <c r="C145" i="18"/>
  <c r="D145" i="18" s="1"/>
  <c r="C110" i="18"/>
  <c r="D110" i="18" s="1"/>
  <c r="C49" i="18"/>
  <c r="D49" i="18" s="1"/>
  <c r="C83" i="18" l="1"/>
  <c r="D83" i="18" s="1"/>
  <c r="C146" i="18"/>
  <c r="D146" i="18" s="1"/>
  <c r="C111" i="18"/>
  <c r="D111" i="18" s="1"/>
  <c r="C50" i="18"/>
  <c r="D50" i="18" s="1"/>
  <c r="C84" i="18" l="1"/>
  <c r="D84" i="18" s="1"/>
  <c r="C147" i="18"/>
  <c r="D147" i="18" s="1"/>
  <c r="C112" i="18"/>
  <c r="D112" i="18" s="1"/>
  <c r="C51" i="18"/>
  <c r="D51" i="18" s="1"/>
  <c r="C85" i="18" l="1"/>
  <c r="D85" i="18" s="1"/>
  <c r="D149" i="18"/>
  <c r="C149" i="18"/>
  <c r="C113" i="18"/>
  <c r="D113" i="18" s="1"/>
  <c r="C52" i="18"/>
  <c r="D52" i="18" s="1"/>
  <c r="D87" i="18" l="1"/>
  <c r="D23" i="18" s="1"/>
  <c r="C87" i="18"/>
  <c r="C23" i="18" s="1"/>
  <c r="C21" i="18"/>
  <c r="D21" i="18"/>
  <c r="C114" i="18"/>
  <c r="D114" i="18" s="1"/>
  <c r="C53" i="18"/>
  <c r="D53" i="18" s="1"/>
  <c r="C115" i="18" l="1"/>
  <c r="D115" i="18" s="1"/>
  <c r="C54" i="18"/>
  <c r="D54" i="18" s="1"/>
  <c r="C116" i="18" l="1"/>
  <c r="D116" i="18" s="1"/>
  <c r="C56" i="18"/>
  <c r="C22" i="18" l="1"/>
  <c r="D118" i="18"/>
  <c r="D20" i="18" s="1"/>
  <c r="C118" i="18"/>
  <c r="C20" i="18" s="1"/>
  <c r="C24" i="18" l="1"/>
  <c r="C6" i="20"/>
  <c r="D55" i="18" l="1"/>
  <c r="D14" i="18" s="1"/>
  <c r="D16" i="18" s="1"/>
  <c r="D7" i="18"/>
  <c r="D56" i="18"/>
  <c r="D22" i="18" l="1"/>
  <c r="D24" i="18" s="1"/>
  <c r="E4" i="20"/>
  <c r="C14" i="20" s="1"/>
  <c r="D6" i="20"/>
</calcChain>
</file>

<file path=xl/sharedStrings.xml><?xml version="1.0" encoding="utf-8"?>
<sst xmlns="http://schemas.openxmlformats.org/spreadsheetml/2006/main" count="728" uniqueCount="433">
  <si>
    <t>TOTALS:</t>
  </si>
  <si>
    <t>No. Bulbs</t>
  </si>
  <si>
    <t>Projected Energy Savings (KWh)</t>
  </si>
  <si>
    <t>Proposed Facility #1:</t>
  </si>
  <si>
    <t>Project #1 - Streetlight Replacement</t>
  </si>
  <si>
    <t>Project #2 - Public Rooftop Solar</t>
  </si>
  <si>
    <t>Solar Energy &amp; Solar Power in Rochester, NY | Solar Energy Local</t>
  </si>
  <si>
    <t>1.</t>
  </si>
  <si>
    <r>
      <t>ft</t>
    </r>
    <r>
      <rPr>
        <vertAlign val="superscript"/>
        <sz val="11"/>
        <color theme="1"/>
        <rFont val="Franklin Gothic Book"/>
        <family val="2"/>
      </rPr>
      <t>2</t>
    </r>
  </si>
  <si>
    <r>
      <t>m</t>
    </r>
    <r>
      <rPr>
        <vertAlign val="superscript"/>
        <sz val="11"/>
        <color theme="1"/>
        <rFont val="Franklin Gothic Book"/>
        <family val="2"/>
      </rPr>
      <t>2</t>
    </r>
  </si>
  <si>
    <t>Rooftop Panel Area:</t>
  </si>
  <si>
    <r>
      <t>ft</t>
    </r>
    <r>
      <rPr>
        <i/>
        <vertAlign val="superscript"/>
        <sz val="11"/>
        <color theme="1"/>
        <rFont val="Franklin Gothic Book"/>
        <family val="2"/>
      </rPr>
      <t>2</t>
    </r>
  </si>
  <si>
    <t>=</t>
  </si>
  <si>
    <t>kWh/year</t>
  </si>
  <si>
    <t>Existing Bulb Wattage</t>
  </si>
  <si>
    <t>per kWh</t>
  </si>
  <si>
    <t>Existing Bulb Types</t>
  </si>
  <si>
    <t>Available Solar Radiation for Rochester, NY area (average annual)</t>
  </si>
  <si>
    <t xml:space="preserve">https://www.timeanddate.com/sun/usa/rochester </t>
  </si>
  <si>
    <t>Average Daily Nighttime Length</t>
  </si>
  <si>
    <t>2.</t>
  </si>
  <si>
    <t>PVWatts Calculator (nrel.gov)</t>
  </si>
  <si>
    <t>Length of Program:</t>
  </si>
  <si>
    <t>years</t>
  </si>
  <si>
    <t>kWh</t>
  </si>
  <si>
    <t>Projected Reduction in GHG Emissions:</t>
  </si>
  <si>
    <t>Proposed Facility #2:</t>
  </si>
  <si>
    <t>Proposed Facility #3:</t>
  </si>
  <si>
    <t>Facility</t>
  </si>
  <si>
    <t>Annual Energy Production (kWh/year)</t>
  </si>
  <si>
    <t>Annual Electricity Production:</t>
  </si>
  <si>
    <t>per year</t>
  </si>
  <si>
    <t>BTU/hr</t>
  </si>
  <si>
    <t>Solar Energy on Municipal Building Rooftops - Impacts Summary</t>
  </si>
  <si>
    <t>Blue Cross Arena</t>
  </si>
  <si>
    <t>Residential Rooftop Solar Estimates:</t>
  </si>
  <si>
    <t>Rochester Riverside Convention Center</t>
  </si>
  <si>
    <t>Public Safety Building</t>
  </si>
  <si>
    <t>Facility Address:</t>
  </si>
  <si>
    <t>One War Memorial Square, Rochester, NY 14614</t>
  </si>
  <si>
    <t>123 E. Main St., Rochester, NY 14614</t>
  </si>
  <si>
    <t>185 Exchange Blvd., Rochester, NY 14614</t>
  </si>
  <si>
    <t>210 Colfax St., Rochester, NY 14606</t>
  </si>
  <si>
    <t>West Side Garage</t>
  </si>
  <si>
    <t>Annual Energy Cost Savings</t>
  </si>
  <si>
    <t>GHG Emissions per kWh:</t>
  </si>
  <si>
    <t>Rate per kWh:</t>
  </si>
  <si>
    <t xml:space="preserve">1. </t>
  </si>
  <si>
    <t>2023 Furnace Size Calculator | What Size Furnace Do I Need? | Modernize</t>
  </si>
  <si>
    <t>Furnace Sizing for Average House</t>
  </si>
  <si>
    <t>gal</t>
  </si>
  <si>
    <r>
      <t>tCO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e</t>
    </r>
  </si>
  <si>
    <t>mmBTU</t>
  </si>
  <si>
    <r>
      <t>mmtCO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e</t>
    </r>
  </si>
  <si>
    <t>Project #5 - Emergency Furnace/Hot Water Heater Replacement Program</t>
  </si>
  <si>
    <t>ENERGY STAR Central Heat Pumps (Ducted) | EPA ENERGY STAR</t>
  </si>
  <si>
    <t>ENERGY STAR Heat Pump Options and Typical SEER/HSPF Values</t>
  </si>
  <si>
    <t>HSPF</t>
  </si>
  <si>
    <t>Wh</t>
  </si>
  <si>
    <t>BTU</t>
  </si>
  <si>
    <t>therm</t>
  </si>
  <si>
    <t>3.</t>
  </si>
  <si>
    <t>803dead4-e831-7eae-3cad-db517fe152d9 (rge.com)</t>
  </si>
  <si>
    <t>RG&amp;E Rates (December 2023)</t>
  </si>
  <si>
    <t>Program</t>
  </si>
  <si>
    <r>
      <t>BTU/hr-ft</t>
    </r>
    <r>
      <rPr>
        <vertAlign val="superscript"/>
        <sz val="11"/>
        <color theme="1"/>
        <rFont val="Franklin Gothic Book"/>
        <family val="2"/>
      </rPr>
      <t>2</t>
    </r>
  </si>
  <si>
    <r>
      <t>F</t>
    </r>
    <r>
      <rPr>
        <i/>
        <vertAlign val="subscript"/>
        <sz val="11"/>
        <color theme="1"/>
        <rFont val="Franklin Gothic Book"/>
        <family val="2"/>
      </rPr>
      <t>FuelHeat</t>
    </r>
    <r>
      <rPr>
        <i/>
        <sz val="11"/>
        <color theme="1"/>
        <rFont val="Franklin Gothic Book"/>
        <family val="2"/>
      </rPr>
      <t>:</t>
    </r>
  </si>
  <si>
    <r>
      <t>Eff</t>
    </r>
    <r>
      <rPr>
        <i/>
        <vertAlign val="subscript"/>
        <sz val="11"/>
        <color theme="1"/>
        <rFont val="Franklin Gothic Book"/>
        <family val="2"/>
      </rPr>
      <t>baseline</t>
    </r>
    <r>
      <rPr>
        <i/>
        <sz val="11"/>
        <color theme="1"/>
        <rFont val="Franklin Gothic Book"/>
        <family val="2"/>
      </rPr>
      <t>:</t>
    </r>
  </si>
  <si>
    <r>
      <t>BEFLH</t>
    </r>
    <r>
      <rPr>
        <i/>
        <vertAlign val="subscript"/>
        <sz val="11"/>
        <color theme="1"/>
        <rFont val="Franklin Gothic Book"/>
        <family val="2"/>
      </rPr>
      <t>heating</t>
    </r>
    <r>
      <rPr>
        <i/>
        <sz val="11"/>
        <color theme="1"/>
        <rFont val="Franklin Gothic Book"/>
        <family val="2"/>
      </rPr>
      <t>:</t>
    </r>
  </si>
  <si>
    <r>
      <t>F</t>
    </r>
    <r>
      <rPr>
        <i/>
        <vertAlign val="subscript"/>
        <sz val="11"/>
        <color theme="1"/>
        <rFont val="Franklin Gothic Book"/>
        <family val="2"/>
      </rPr>
      <t>load,heating</t>
    </r>
    <r>
      <rPr>
        <i/>
        <sz val="11"/>
        <color theme="1"/>
        <rFont val="Franklin Gothic Book"/>
        <family val="2"/>
      </rPr>
      <t>:</t>
    </r>
  </si>
  <si>
    <r>
      <t>F</t>
    </r>
    <r>
      <rPr>
        <i/>
        <vertAlign val="subscript"/>
        <sz val="11"/>
        <color theme="1"/>
        <rFont val="Franklin Gothic Book"/>
        <family val="2"/>
      </rPr>
      <t>ctrl</t>
    </r>
    <r>
      <rPr>
        <i/>
        <sz val="11"/>
        <color theme="1"/>
        <rFont val="Franklin Gothic Book"/>
        <family val="2"/>
      </rPr>
      <t>:</t>
    </r>
  </si>
  <si>
    <t>Old; Buffalo, NY</t>
  </si>
  <si>
    <t>MMBtu</t>
  </si>
  <si>
    <r>
      <t>lb CO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e</t>
    </r>
  </si>
  <si>
    <t>Hot Water Heater:</t>
  </si>
  <si>
    <t>Units:</t>
  </si>
  <si>
    <t>GPD/unit:</t>
  </si>
  <si>
    <r>
      <rPr>
        <sz val="11"/>
        <color theme="1"/>
        <rFont val="Calibri"/>
        <family val="2"/>
      </rPr>
      <t>°</t>
    </r>
    <r>
      <rPr>
        <sz val="11"/>
        <color theme="1"/>
        <rFont val="Franklin Gothic Book"/>
        <family val="2"/>
      </rPr>
      <t>F</t>
    </r>
  </si>
  <si>
    <r>
      <rPr>
        <i/>
        <sz val="11"/>
        <color theme="1"/>
        <rFont val="Calibri"/>
        <family val="2"/>
      </rPr>
      <t>ΔT</t>
    </r>
    <r>
      <rPr>
        <i/>
        <vertAlign val="subscript"/>
        <sz val="11"/>
        <color theme="1"/>
        <rFont val="Franklin Gothic Book"/>
        <family val="2"/>
      </rPr>
      <t>main</t>
    </r>
    <r>
      <rPr>
        <i/>
        <sz val="11"/>
        <color theme="1"/>
        <rFont val="Franklin Gothic Book"/>
        <family val="2"/>
      </rPr>
      <t>:</t>
    </r>
  </si>
  <si>
    <r>
      <t>F</t>
    </r>
    <r>
      <rPr>
        <i/>
        <vertAlign val="subscript"/>
        <sz val="11"/>
        <color theme="1"/>
        <rFont val="Franklin Gothic Book"/>
        <family val="2"/>
      </rPr>
      <t>FFDHW</t>
    </r>
    <r>
      <rPr>
        <i/>
        <sz val="11"/>
        <color theme="1"/>
        <rFont val="Franklin Gothic Book"/>
        <family val="2"/>
      </rPr>
      <t>:</t>
    </r>
  </si>
  <si>
    <r>
      <t>UEF</t>
    </r>
    <r>
      <rPr>
        <i/>
        <vertAlign val="subscript"/>
        <sz val="11"/>
        <color theme="1"/>
        <rFont val="Franklin Gothic Book"/>
        <family val="2"/>
      </rPr>
      <t>baseline</t>
    </r>
    <r>
      <rPr>
        <i/>
        <sz val="11"/>
        <color theme="1"/>
        <rFont val="Franklin Gothic Book"/>
        <family val="2"/>
      </rPr>
      <t>:</t>
    </r>
  </si>
  <si>
    <r>
      <t>F</t>
    </r>
    <r>
      <rPr>
        <i/>
        <vertAlign val="subscript"/>
        <sz val="11"/>
        <color theme="1"/>
        <rFont val="Franklin Gothic Book"/>
        <family val="2"/>
      </rPr>
      <t>BoilerDHW</t>
    </r>
    <r>
      <rPr>
        <i/>
        <sz val="11"/>
        <color theme="1"/>
        <rFont val="Franklin Gothic Book"/>
        <family val="2"/>
      </rPr>
      <t>:</t>
    </r>
  </si>
  <si>
    <t>AFUE:</t>
  </si>
  <si>
    <r>
      <t>UEF</t>
    </r>
    <r>
      <rPr>
        <i/>
        <vertAlign val="subscript"/>
        <sz val="11"/>
        <color theme="1"/>
        <rFont val="Franklin Gothic Book"/>
        <family val="2"/>
      </rPr>
      <t>ee</t>
    </r>
    <r>
      <rPr>
        <i/>
        <sz val="11"/>
        <color theme="1"/>
        <rFont val="Franklin Gothic Book"/>
        <family val="2"/>
      </rPr>
      <t>:</t>
    </r>
  </si>
  <si>
    <r>
      <t>F</t>
    </r>
    <r>
      <rPr>
        <i/>
        <vertAlign val="subscript"/>
        <sz val="11"/>
        <color theme="1"/>
        <rFont val="Franklin Gothic Book"/>
        <family val="2"/>
      </rPr>
      <t>loc</t>
    </r>
    <r>
      <rPr>
        <i/>
        <sz val="11"/>
        <color theme="1"/>
        <rFont val="Franklin Gothic Book"/>
        <family val="2"/>
      </rPr>
      <t>:</t>
    </r>
  </si>
  <si>
    <r>
      <t>F</t>
    </r>
    <r>
      <rPr>
        <i/>
        <vertAlign val="subscript"/>
        <sz val="11"/>
        <color theme="1"/>
        <rFont val="Franklin Gothic Book"/>
        <family val="2"/>
      </rPr>
      <t>heat</t>
    </r>
    <r>
      <rPr>
        <i/>
        <sz val="11"/>
        <color theme="1"/>
        <rFont val="Franklin Gothic Book"/>
        <family val="2"/>
      </rPr>
      <t>:</t>
    </r>
  </si>
  <si>
    <t>Days/Year:</t>
  </si>
  <si>
    <t>Water Spec. Heat:</t>
  </si>
  <si>
    <t>Buffalo</t>
  </si>
  <si>
    <t>Low; 50 gal.</t>
  </si>
  <si>
    <t>Typ. Value</t>
  </si>
  <si>
    <t>4.</t>
  </si>
  <si>
    <t>ENERGY STAR Hot Water Tanks</t>
  </si>
  <si>
    <t>ENERGY STAR Certified Water Heaters | EPA ENERGY STAR</t>
  </si>
  <si>
    <t>gal/day</t>
  </si>
  <si>
    <t>Existing Natural Gas Furnaces:</t>
  </si>
  <si>
    <t>Existing Hot Water Tanks:</t>
  </si>
  <si>
    <t>Replacement Heat Pumps:</t>
  </si>
  <si>
    <t>Heat Pump Hot Water Tank:</t>
  </si>
  <si>
    <t>Equivalent Annual Electricity Demand (per tank):</t>
  </si>
  <si>
    <t>Annual Natural Gas Usage (per tank):</t>
  </si>
  <si>
    <t>Annual GHG Emissions (per tank):</t>
  </si>
  <si>
    <t>Annual GHG Emissions (Program):</t>
  </si>
  <si>
    <t>Annual Operational Cost (Program):</t>
  </si>
  <si>
    <t>Annual Natural Gas Usage (Program):</t>
  </si>
  <si>
    <t>Annual Operational Cost (per tank):</t>
  </si>
  <si>
    <t>Equivalent Annual Electricity Demand (per house):</t>
  </si>
  <si>
    <t>Annual GHG Emissions from Grid (per tank):</t>
  </si>
  <si>
    <t>5.</t>
  </si>
  <si>
    <t>nys-trm-v11_filing.pdf</t>
  </si>
  <si>
    <t>Hot Water Tanks - Single and Multi-Family Residences, Heat Pump Water Heater (HPWH) - Air Source</t>
  </si>
  <si>
    <t>Annual GHG Emissions from Grid (per house):</t>
  </si>
  <si>
    <r>
      <t>Annual Natural Gas Usage (per ft</t>
    </r>
    <r>
      <rPr>
        <i/>
        <vertAlign val="super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):</t>
    </r>
  </si>
  <si>
    <t>Annual Natural Gas Usage (per house):</t>
  </si>
  <si>
    <t>Annual GHG Emissions (per house):</t>
  </si>
  <si>
    <t>Annual Operational Cost (per house):</t>
  </si>
  <si>
    <t>Annual Operational Costs (Program):</t>
  </si>
  <si>
    <t>Furnace/Air-Source Heat Pump</t>
  </si>
  <si>
    <t>Natural Gas/Air-Source Heat Pump Water Heaters:</t>
  </si>
  <si>
    <r>
      <t>Average Home Size</t>
    </r>
    <r>
      <rPr>
        <i/>
        <vertAlign val="superscript"/>
        <sz val="11"/>
        <color theme="1"/>
        <rFont val="Franklin Gothic Book"/>
        <family val="2"/>
      </rPr>
      <t>1</t>
    </r>
    <r>
      <rPr>
        <i/>
        <sz val="11"/>
        <color theme="1"/>
        <rFont val="Franklin Gothic Book"/>
        <family val="2"/>
      </rPr>
      <t>:</t>
    </r>
  </si>
  <si>
    <r>
      <t>Building Heat Load</t>
    </r>
    <r>
      <rPr>
        <i/>
        <vertAlign val="super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:</t>
    </r>
  </si>
  <si>
    <r>
      <t>Average Furnace Replacement Rate</t>
    </r>
    <r>
      <rPr>
        <i/>
        <vertAlign val="superscript"/>
        <sz val="11"/>
        <color theme="1"/>
        <rFont val="Franklin Gothic Book"/>
        <family val="2"/>
      </rPr>
      <t>1</t>
    </r>
    <r>
      <rPr>
        <i/>
        <sz val="11"/>
        <color theme="1"/>
        <rFont val="Franklin Gothic Book"/>
        <family val="2"/>
      </rPr>
      <t>:</t>
    </r>
  </si>
  <si>
    <r>
      <t>Average Hot Water Tank Replacement Rate</t>
    </r>
    <r>
      <rPr>
        <i/>
        <vertAlign val="superscript"/>
        <sz val="11"/>
        <color theme="1"/>
        <rFont val="Franklin Gothic Book"/>
        <family val="2"/>
      </rPr>
      <t>1</t>
    </r>
    <r>
      <rPr>
        <i/>
        <sz val="11"/>
        <color theme="1"/>
        <rFont val="Franklin Gothic Book"/>
        <family val="2"/>
      </rPr>
      <t>:</t>
    </r>
  </si>
  <si>
    <t>City of Rochester Program Inputs:</t>
  </si>
  <si>
    <t>Furnace Replacement Parameters:</t>
  </si>
  <si>
    <t>Energy Cost Inputs:</t>
  </si>
  <si>
    <t>Hot Water Tank Replacement Parameters:</t>
  </si>
  <si>
    <r>
      <t>Fossil Fuel Heating Factor</t>
    </r>
    <r>
      <rPr>
        <i/>
        <vertAlign val="superscript"/>
        <sz val="11"/>
        <color theme="1"/>
        <rFont val="Franklin Gothic Book"/>
        <family val="2"/>
      </rPr>
      <t>3</t>
    </r>
    <r>
      <rPr>
        <i/>
        <sz val="11"/>
        <color theme="1"/>
        <rFont val="Franklin Gothic Book"/>
        <family val="2"/>
      </rPr>
      <t>:</t>
    </r>
  </si>
  <si>
    <r>
      <t>Efficiency Rating of Fossil Fuel Heating Equip</t>
    </r>
    <r>
      <rPr>
        <i/>
        <vertAlign val="superscript"/>
        <sz val="11"/>
        <color theme="1"/>
        <rFont val="Franklin Gothic Book"/>
        <family val="2"/>
      </rPr>
      <t>4</t>
    </r>
    <r>
      <rPr>
        <i/>
        <sz val="11"/>
        <color theme="1"/>
        <rFont val="Franklin Gothic Book"/>
        <family val="2"/>
      </rPr>
      <t>:</t>
    </r>
  </si>
  <si>
    <r>
      <t>Heating Equivalent Full-Load Hours</t>
    </r>
    <r>
      <rPr>
        <i/>
        <vertAlign val="superscript"/>
        <sz val="11"/>
        <color theme="1"/>
        <rFont val="Franklin Gothic Book"/>
        <family val="2"/>
      </rPr>
      <t>5</t>
    </r>
    <r>
      <rPr>
        <i/>
        <sz val="11"/>
        <color theme="1"/>
        <rFont val="Franklin Gothic Book"/>
        <family val="2"/>
      </rPr>
      <t>:</t>
    </r>
  </si>
  <si>
    <r>
      <t>Adjustment Factor for Seasonal Heating Load</t>
    </r>
    <r>
      <rPr>
        <i/>
        <vertAlign val="superscript"/>
        <sz val="11"/>
        <color theme="1"/>
        <rFont val="Franklin Gothic Book"/>
        <family val="2"/>
      </rPr>
      <t>6</t>
    </r>
    <r>
      <rPr>
        <i/>
        <sz val="11"/>
        <color theme="1"/>
        <rFont val="Franklin Gothic Book"/>
        <family val="2"/>
      </rPr>
      <t>:</t>
    </r>
  </si>
  <si>
    <r>
      <t>Heating Load Fraction Modification</t>
    </r>
    <r>
      <rPr>
        <i/>
        <vertAlign val="superscript"/>
        <sz val="11"/>
        <color theme="1"/>
        <rFont val="Franklin Gothic Book"/>
        <family val="2"/>
      </rPr>
      <t>7</t>
    </r>
    <r>
      <rPr>
        <i/>
        <sz val="11"/>
        <color theme="1"/>
        <rFont val="Franklin Gothic Book"/>
        <family val="2"/>
      </rPr>
      <t>:</t>
    </r>
  </si>
  <si>
    <t>Conversion Factors:</t>
  </si>
  <si>
    <t>Natural Gas:</t>
  </si>
  <si>
    <t>No.</t>
  </si>
  <si>
    <t>Sustainable Municipal Upgrades</t>
  </si>
  <si>
    <t>Residential Rooftop Solar</t>
  </si>
  <si>
    <t>Estimated Annual Cost Savings to Avg. Homeowner:</t>
  </si>
  <si>
    <t>Year</t>
  </si>
  <si>
    <r>
      <t>Cumulative GHG Emissions Reduction (tCO</t>
    </r>
    <r>
      <rPr>
        <b/>
        <vertAlign val="subscript"/>
        <sz val="11"/>
        <color theme="1"/>
        <rFont val="Franklin Gothic Book"/>
        <family val="2"/>
      </rPr>
      <t>2</t>
    </r>
    <r>
      <rPr>
        <b/>
        <sz val="11"/>
        <color theme="1"/>
        <rFont val="Franklin Gothic Book"/>
        <family val="2"/>
      </rPr>
      <t>e)</t>
    </r>
  </si>
  <si>
    <t>Program Status</t>
  </si>
  <si>
    <t>25-YEAR TOTAL:</t>
  </si>
  <si>
    <t>Value is based on inputs from City.</t>
  </si>
  <si>
    <t>Represents assumed or estimated value.</t>
  </si>
  <si>
    <t>HSPF:</t>
  </si>
  <si>
    <r>
      <t>F</t>
    </r>
    <r>
      <rPr>
        <i/>
        <vertAlign val="subscript"/>
        <sz val="11"/>
        <color theme="1"/>
        <rFont val="Franklin Gothic Book"/>
        <family val="2"/>
      </rPr>
      <t>HSPF</t>
    </r>
    <r>
      <rPr>
        <i/>
        <sz val="11"/>
        <color theme="1"/>
        <rFont val="Franklin Gothic Book"/>
        <family val="2"/>
      </rPr>
      <t>:</t>
    </r>
  </si>
  <si>
    <r>
      <t>COP</t>
    </r>
    <r>
      <rPr>
        <i/>
        <vertAlign val="subscript"/>
        <sz val="11"/>
        <color theme="1"/>
        <rFont val="Franklin Gothic Book"/>
        <family val="2"/>
      </rPr>
      <t>season,baseline</t>
    </r>
    <r>
      <rPr>
        <i/>
        <sz val="11"/>
        <color theme="1"/>
        <rFont val="Franklin Gothic Book"/>
        <family val="2"/>
      </rPr>
      <t>:</t>
    </r>
  </si>
  <si>
    <t>Solar Conversion Factors:</t>
  </si>
  <si>
    <r>
      <t>W/ft</t>
    </r>
    <r>
      <rPr>
        <vertAlign val="superscript"/>
        <sz val="11"/>
        <color theme="1"/>
        <rFont val="Franklin Gothic Book"/>
        <family val="2"/>
      </rPr>
      <t>2</t>
    </r>
  </si>
  <si>
    <t>From GreenSpark</t>
  </si>
  <si>
    <t>hr sunlight/day</t>
  </si>
  <si>
    <t>hr/day</t>
  </si>
  <si>
    <r>
      <t>COP</t>
    </r>
    <r>
      <rPr>
        <i/>
        <vertAlign val="subscript"/>
        <sz val="11"/>
        <color theme="1"/>
        <rFont val="Franklin Gothic Book"/>
        <family val="2"/>
      </rPr>
      <t>season,ee</t>
    </r>
    <r>
      <rPr>
        <i/>
        <sz val="11"/>
        <color theme="1"/>
        <rFont val="Franklin Gothic Book"/>
        <family val="2"/>
      </rPr>
      <t>:</t>
    </r>
  </si>
  <si>
    <t>a:</t>
  </si>
  <si>
    <t>b:</t>
  </si>
  <si>
    <t>Central, ducted, HP Sizing = 1.0</t>
  </si>
  <si>
    <r>
      <t>F</t>
    </r>
    <r>
      <rPr>
        <i/>
        <vertAlign val="subscript"/>
        <sz val="11"/>
        <color theme="1"/>
        <rFont val="Franklin Gothic Book"/>
        <family val="2"/>
      </rPr>
      <t>ElecHeat</t>
    </r>
    <r>
      <rPr>
        <i/>
        <sz val="11"/>
        <color theme="1"/>
        <rFont val="Franklin Gothic Book"/>
        <family val="2"/>
      </rPr>
      <t>:</t>
    </r>
  </si>
  <si>
    <t>Furnace/ASHP:</t>
  </si>
  <si>
    <t>BHL:</t>
  </si>
  <si>
    <r>
      <t>F</t>
    </r>
    <r>
      <rPr>
        <i/>
        <vertAlign val="subscript"/>
        <sz val="11"/>
        <color theme="1"/>
        <rFont val="Franklin Gothic Book"/>
        <family val="2"/>
      </rPr>
      <t>ElecHeat,new</t>
    </r>
    <r>
      <rPr>
        <i/>
        <sz val="11"/>
        <color theme="1"/>
        <rFont val="Franklin Gothic Book"/>
        <family val="2"/>
      </rPr>
      <t>:</t>
    </r>
  </si>
  <si>
    <r>
      <t>F</t>
    </r>
    <r>
      <rPr>
        <i/>
        <vertAlign val="subscript"/>
        <sz val="11"/>
        <color theme="1"/>
        <rFont val="Franklin Gothic Book"/>
        <family val="2"/>
      </rPr>
      <t>eDHW</t>
    </r>
    <r>
      <rPr>
        <i/>
        <sz val="11"/>
        <color theme="1"/>
        <rFont val="Franklin Gothic Book"/>
        <family val="2"/>
      </rPr>
      <t>:</t>
    </r>
  </si>
  <si>
    <r>
      <t>F</t>
    </r>
    <r>
      <rPr>
        <i/>
        <vertAlign val="subscript"/>
        <sz val="11"/>
        <color theme="1"/>
        <rFont val="Franklin Gothic Book"/>
        <family val="2"/>
      </rPr>
      <t>derate</t>
    </r>
    <r>
      <rPr>
        <i/>
        <sz val="11"/>
        <color theme="1"/>
        <rFont val="Franklin Gothic Book"/>
        <family val="2"/>
      </rPr>
      <t>:</t>
    </r>
  </si>
  <si>
    <r>
      <t>Electric Cooling Bonus (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Franklin Gothic Book"/>
        <family val="2"/>
      </rPr>
      <t>kWh</t>
    </r>
    <r>
      <rPr>
        <i/>
        <vertAlign val="subscript"/>
        <sz val="11"/>
        <color theme="1"/>
        <rFont val="Franklin Gothic Book"/>
        <family val="2"/>
      </rPr>
      <t>cooling</t>
    </r>
    <r>
      <rPr>
        <i/>
        <sz val="11"/>
        <color theme="1"/>
        <rFont val="Franklin Gothic Book"/>
        <family val="2"/>
      </rPr>
      <t>):</t>
    </r>
  </si>
  <si>
    <r>
      <t>Electric Heating Penalty (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Franklin Gothic Book"/>
        <family val="2"/>
      </rPr>
      <t>kWh</t>
    </r>
    <r>
      <rPr>
        <i/>
        <vertAlign val="subscript"/>
        <sz val="11"/>
        <color theme="1"/>
        <rFont val="Franklin Gothic Book"/>
        <family val="2"/>
      </rPr>
      <t>heating</t>
    </r>
    <r>
      <rPr>
        <i/>
        <sz val="11"/>
        <color theme="1"/>
        <rFont val="Franklin Gothic Book"/>
        <family val="2"/>
      </rPr>
      <t>):</t>
    </r>
  </si>
  <si>
    <t>SEER:</t>
  </si>
  <si>
    <r>
      <t>F</t>
    </r>
    <r>
      <rPr>
        <i/>
        <vertAlign val="subscript"/>
        <sz val="11"/>
        <color theme="1"/>
        <rFont val="Franklin Gothic Book"/>
        <family val="2"/>
      </rPr>
      <t>cool</t>
    </r>
    <r>
      <rPr>
        <i/>
        <sz val="11"/>
        <color theme="1"/>
        <rFont val="Franklin Gothic Book"/>
        <family val="2"/>
      </rPr>
      <t>:</t>
    </r>
  </si>
  <si>
    <t>From guidance</t>
  </si>
  <si>
    <r>
      <t>mtCO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e</t>
    </r>
  </si>
  <si>
    <r>
      <t>Projected GHG Reduction (mtCO</t>
    </r>
    <r>
      <rPr>
        <i/>
        <u/>
        <vertAlign val="subscript"/>
        <sz val="11"/>
        <color theme="1"/>
        <rFont val="Franklin Gothic Book"/>
        <family val="2"/>
      </rPr>
      <t>2</t>
    </r>
    <r>
      <rPr>
        <i/>
        <u/>
        <sz val="11"/>
        <color theme="1"/>
        <rFont val="Franklin Gothic Book"/>
        <family val="2"/>
      </rPr>
      <t>e)</t>
    </r>
  </si>
  <si>
    <r>
      <t>Estimated Annual GHG Reduction (mtCO</t>
    </r>
    <r>
      <rPr>
        <b/>
        <i/>
        <vertAlign val="subscript"/>
        <sz val="11"/>
        <color theme="1"/>
        <rFont val="Franklin Gothic Book"/>
        <family val="2"/>
      </rPr>
      <t>2</t>
    </r>
    <r>
      <rPr>
        <b/>
        <i/>
        <sz val="11"/>
        <color theme="1"/>
        <rFont val="Franklin Gothic Book"/>
        <family val="2"/>
      </rPr>
      <t>e)</t>
    </r>
  </si>
  <si>
    <r>
      <t>mtCO</t>
    </r>
    <r>
      <rPr>
        <b/>
        <vertAlign val="subscript"/>
        <sz val="11"/>
        <color theme="1"/>
        <rFont val="Franklin Gothic Book"/>
        <family val="2"/>
      </rPr>
      <t>2</t>
    </r>
    <r>
      <rPr>
        <b/>
        <sz val="11"/>
        <color theme="1"/>
        <rFont val="Franklin Gothic Book"/>
        <family val="2"/>
      </rPr>
      <t>e</t>
    </r>
  </si>
  <si>
    <r>
      <t>GHG Emissions Reduction (mtCO</t>
    </r>
    <r>
      <rPr>
        <i/>
        <vertAlign val="sub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e)</t>
    </r>
  </si>
  <si>
    <t>ENERGY RATES</t>
  </si>
  <si>
    <t>Heating Conversion Parameters</t>
  </si>
  <si>
    <t>Variable:</t>
  </si>
  <si>
    <t>Value:</t>
  </si>
  <si>
    <t>Assumptions:</t>
  </si>
  <si>
    <t>Proposed Array Size:</t>
  </si>
  <si>
    <t>kW</t>
  </si>
  <si>
    <t>Annual Energy Cost Savings:</t>
  </si>
  <si>
    <t>Replacement Heat Pump Incremental Cost:</t>
  </si>
  <si>
    <t>Incremental Costs:</t>
  </si>
  <si>
    <t>ASHP:</t>
  </si>
  <si>
    <t>HWHP:</t>
  </si>
  <si>
    <t>System Size:</t>
  </si>
  <si>
    <t>Projected Annual Reduction in GHG Emissions per House:</t>
  </si>
  <si>
    <r>
      <t>Qualified GHG Reductions from CPRG Funding (mtCO</t>
    </r>
    <r>
      <rPr>
        <b/>
        <i/>
        <vertAlign val="subscript"/>
        <sz val="11"/>
        <color theme="1"/>
        <rFont val="Franklin Gothic Book"/>
        <family val="2"/>
      </rPr>
      <t>2</t>
    </r>
    <r>
      <rPr>
        <b/>
        <i/>
        <sz val="11"/>
        <color theme="1"/>
        <rFont val="Franklin Gothic Book"/>
        <family val="2"/>
      </rPr>
      <t>e)</t>
    </r>
  </si>
  <si>
    <t>Projected Program Reduction in GHG Emissions:</t>
  </si>
  <si>
    <t>Annual Electricity Production per House:</t>
  </si>
  <si>
    <t>Annual Electricity Generated by Program:</t>
  </si>
  <si>
    <r>
      <t>Qualified GHG Emissions Reduction from CPRG Funding (mtCO</t>
    </r>
    <r>
      <rPr>
        <b/>
        <vertAlign val="subscript"/>
        <sz val="11"/>
        <color theme="1"/>
        <rFont val="Franklin Gothic Book"/>
        <family val="2"/>
      </rPr>
      <t>2</t>
    </r>
    <r>
      <rPr>
        <b/>
        <sz val="11"/>
        <color theme="1"/>
        <rFont val="Franklin Gothic Book"/>
        <family val="2"/>
      </rPr>
      <t>e)</t>
    </r>
  </si>
  <si>
    <t>Emissions Reduction Estimate (Through 2030):</t>
  </si>
  <si>
    <t>Install 75 ASHPs, 40 HWHPs</t>
  </si>
  <si>
    <t>Avg. Array Size:</t>
  </si>
  <si>
    <t>Anticipated Program Duration:</t>
  </si>
  <si>
    <t>Estimated Annual Reduction in GHG Emissions:</t>
  </si>
  <si>
    <t>Estimated Annual GHG Emissions from Existing Natural Gas Mechanicals:</t>
  </si>
  <si>
    <t>Estimated Annual GHG Emissions from Replacement Heat Pumps:</t>
  </si>
  <si>
    <t>Name:</t>
  </si>
  <si>
    <r>
      <t>Location factor for COP</t>
    </r>
    <r>
      <rPr>
        <vertAlign val="subscript"/>
        <sz val="11"/>
        <color theme="1"/>
        <rFont val="Franklin Gothic Book"/>
        <family val="2"/>
      </rPr>
      <t>season,ee</t>
    </r>
  </si>
  <si>
    <t>Building heating load</t>
  </si>
  <si>
    <t>Efficiency Derating Factor</t>
  </si>
  <si>
    <t>Elec. Water Heating Factor</t>
  </si>
  <si>
    <t>No. Hot Water Tank Units</t>
  </si>
  <si>
    <t>Gallons per Day per Unit</t>
  </si>
  <si>
    <t>Change in Temp. from Main to Tank</t>
  </si>
  <si>
    <t>Uniform Energy Factor, Baseline Conditions</t>
  </si>
  <si>
    <t>Uniform Energy Factor, Energy Eff. Equip.</t>
  </si>
  <si>
    <t>Program Summary</t>
  </si>
  <si>
    <t>Heating Seasonal Performance Factor</t>
  </si>
  <si>
    <t>Seasonal Energy Efficiency Ratio</t>
  </si>
  <si>
    <t>Cooling Factor</t>
  </si>
  <si>
    <r>
      <t>Cooling Factor</t>
    </r>
    <r>
      <rPr>
        <i/>
        <vertAlign val="superscript"/>
        <sz val="11"/>
        <color theme="1"/>
        <rFont val="Franklin Gothic Book"/>
        <family val="2"/>
      </rPr>
      <t>27</t>
    </r>
    <r>
      <rPr>
        <i/>
        <sz val="11"/>
        <color theme="1"/>
        <rFont val="Franklin Gothic Book"/>
        <family val="2"/>
      </rPr>
      <t>:</t>
    </r>
  </si>
  <si>
    <r>
      <t>Rate per kWh</t>
    </r>
    <r>
      <rPr>
        <i/>
        <vertAlign val="superscript"/>
        <sz val="11"/>
        <color theme="1"/>
        <rFont val="Franklin Gothic Book"/>
        <family val="2"/>
      </rPr>
      <t>29</t>
    </r>
    <r>
      <rPr>
        <i/>
        <sz val="11"/>
        <color theme="1"/>
        <rFont val="Franklin Gothic Book"/>
        <family val="2"/>
      </rPr>
      <t>:</t>
    </r>
  </si>
  <si>
    <r>
      <t>Rate per therm</t>
    </r>
    <r>
      <rPr>
        <i/>
        <vertAlign val="superscript"/>
        <sz val="11"/>
        <color theme="1"/>
        <rFont val="Franklin Gothic Book"/>
        <family val="2"/>
      </rPr>
      <t>30</t>
    </r>
    <r>
      <rPr>
        <i/>
        <sz val="11"/>
        <color theme="1"/>
        <rFont val="Franklin Gothic Book"/>
        <family val="2"/>
      </rPr>
      <t>:</t>
    </r>
  </si>
  <si>
    <r>
      <t>Natural Gas to Electricity Demand</t>
    </r>
    <r>
      <rPr>
        <i/>
        <vertAlign val="superscript"/>
        <sz val="11"/>
        <color theme="1"/>
        <rFont val="Franklin Gothic Book"/>
        <family val="2"/>
      </rPr>
      <t>31</t>
    </r>
    <r>
      <rPr>
        <i/>
        <sz val="11"/>
        <color theme="1"/>
        <rFont val="Franklin Gothic Book"/>
        <family val="2"/>
      </rPr>
      <t>:</t>
    </r>
  </si>
  <si>
    <r>
      <t>Greenhouse Gas Conversions</t>
    </r>
    <r>
      <rPr>
        <i/>
        <vertAlign val="superscript"/>
        <sz val="11"/>
        <color theme="1"/>
        <rFont val="Franklin Gothic Book"/>
        <family val="2"/>
      </rPr>
      <t>32</t>
    </r>
    <r>
      <rPr>
        <i/>
        <sz val="11"/>
        <color theme="1"/>
        <rFont val="Franklin Gothic Book"/>
        <family val="2"/>
      </rPr>
      <t>:</t>
    </r>
  </si>
  <si>
    <r>
      <t>Seaonally-Adj. Coefficient of Performance</t>
    </r>
    <r>
      <rPr>
        <i/>
        <vertAlign val="superscript"/>
        <sz val="11"/>
        <color theme="1"/>
        <rFont val="Franklin Gothic Book"/>
        <family val="2"/>
      </rPr>
      <t>8</t>
    </r>
    <r>
      <rPr>
        <i/>
        <sz val="11"/>
        <color theme="1"/>
        <rFont val="Franklin Gothic Book"/>
        <family val="2"/>
      </rPr>
      <t>:</t>
    </r>
  </si>
  <si>
    <r>
      <t>Coeff. of Performance of Energy-Efficient Equip.</t>
    </r>
    <r>
      <rPr>
        <i/>
        <vertAlign val="superscript"/>
        <sz val="11"/>
        <color theme="1"/>
        <rFont val="Franklin Gothic Book"/>
        <family val="2"/>
      </rPr>
      <t>9</t>
    </r>
    <r>
      <rPr>
        <i/>
        <sz val="11"/>
        <color theme="1"/>
        <rFont val="Franklin Gothic Book"/>
        <family val="2"/>
      </rPr>
      <t>:</t>
    </r>
  </si>
  <si>
    <r>
      <t>Electric Heating Factor</t>
    </r>
    <r>
      <rPr>
        <i/>
        <vertAlign val="superscript"/>
        <sz val="11"/>
        <color theme="1"/>
        <rFont val="Franklin Gothic Book"/>
        <family val="2"/>
      </rPr>
      <t>10</t>
    </r>
    <r>
      <rPr>
        <i/>
        <sz val="11"/>
        <color theme="1"/>
        <rFont val="Franklin Gothic Book"/>
        <family val="2"/>
      </rPr>
      <t>:</t>
    </r>
  </si>
  <si>
    <r>
      <t>New Electric Heating Factor</t>
    </r>
    <r>
      <rPr>
        <i/>
        <vertAlign val="superscript"/>
        <sz val="11"/>
        <color theme="1"/>
        <rFont val="Franklin Gothic Book"/>
        <family val="2"/>
      </rPr>
      <t>11</t>
    </r>
    <r>
      <rPr>
        <i/>
        <sz val="11"/>
        <color theme="1"/>
        <rFont val="Franklin Gothic Book"/>
        <family val="2"/>
      </rPr>
      <t>:</t>
    </r>
  </si>
  <si>
    <t>Buffalo, HSPF &lt; 8.5</t>
  </si>
  <si>
    <r>
      <t>HSPF Climate Adjustment Factor</t>
    </r>
    <r>
      <rPr>
        <i/>
        <vertAlign val="superscript"/>
        <sz val="11"/>
        <color theme="1"/>
        <rFont val="Franklin Gothic Book"/>
        <family val="2"/>
      </rPr>
      <t>12</t>
    </r>
    <r>
      <rPr>
        <i/>
        <sz val="11"/>
        <color theme="1"/>
        <rFont val="Franklin Gothic Book"/>
        <family val="2"/>
      </rPr>
      <t>:</t>
    </r>
  </si>
  <si>
    <r>
      <t>Average Existing Hot Water Tank Capacity</t>
    </r>
    <r>
      <rPr>
        <i/>
        <vertAlign val="superscript"/>
        <sz val="11"/>
        <color theme="1"/>
        <rFont val="Franklin Gothic Book"/>
        <family val="2"/>
      </rPr>
      <t>13</t>
    </r>
    <r>
      <rPr>
        <i/>
        <sz val="11"/>
        <color theme="1"/>
        <rFont val="Franklin Gothic Book"/>
        <family val="2"/>
      </rPr>
      <t>:</t>
    </r>
  </si>
  <si>
    <r>
      <t>Average Daily Hot Water Usage</t>
    </r>
    <r>
      <rPr>
        <i/>
        <vertAlign val="superscript"/>
        <sz val="11"/>
        <color theme="1"/>
        <rFont val="Franklin Gothic Book"/>
        <family val="2"/>
      </rPr>
      <t>15</t>
    </r>
    <r>
      <rPr>
        <i/>
        <sz val="11"/>
        <color theme="1"/>
        <rFont val="Franklin Gothic Book"/>
        <family val="2"/>
      </rPr>
      <t>:</t>
    </r>
  </si>
  <si>
    <r>
      <t>Change in Temp. (Main to Target Temp)</t>
    </r>
    <r>
      <rPr>
        <i/>
        <vertAlign val="superscript"/>
        <sz val="11"/>
        <color theme="1"/>
        <rFont val="Franklin Gothic Book"/>
        <family val="2"/>
      </rPr>
      <t>16</t>
    </r>
    <r>
      <rPr>
        <i/>
        <sz val="11"/>
        <color theme="1"/>
        <rFont val="Franklin Gothic Book"/>
        <family val="2"/>
      </rPr>
      <t>:</t>
    </r>
  </si>
  <si>
    <r>
      <t>Fossil Fuel Water Heating Factor</t>
    </r>
    <r>
      <rPr>
        <i/>
        <vertAlign val="superscript"/>
        <sz val="11"/>
        <color theme="1"/>
        <rFont val="Franklin Gothic Book"/>
        <family val="2"/>
      </rPr>
      <t>17</t>
    </r>
    <r>
      <rPr>
        <i/>
        <sz val="11"/>
        <color theme="1"/>
        <rFont val="Franklin Gothic Book"/>
        <family val="2"/>
      </rPr>
      <t>:</t>
    </r>
  </si>
  <si>
    <r>
      <t>Uniform Energy Factor, Baseline Conditions (NG Tank)</t>
    </r>
    <r>
      <rPr>
        <i/>
        <vertAlign val="superscript"/>
        <sz val="11"/>
        <color theme="1"/>
        <rFont val="Franklin Gothic Book"/>
        <family val="2"/>
      </rPr>
      <t>18</t>
    </r>
    <r>
      <rPr>
        <i/>
        <sz val="11"/>
        <color theme="1"/>
        <rFont val="Franklin Gothic Book"/>
        <family val="2"/>
      </rPr>
      <t>:</t>
    </r>
  </si>
  <si>
    <r>
      <t>Annual Fuel Utilization Efficiency</t>
    </r>
    <r>
      <rPr>
        <i/>
        <vertAlign val="superscript"/>
        <sz val="11"/>
        <color theme="1"/>
        <rFont val="Franklin Gothic Book"/>
        <family val="2"/>
      </rPr>
      <t>19</t>
    </r>
    <r>
      <rPr>
        <i/>
        <sz val="11"/>
        <color theme="1"/>
        <rFont val="Franklin Gothic Book"/>
        <family val="2"/>
      </rPr>
      <t>:</t>
    </r>
  </si>
  <si>
    <r>
      <t>Uniform Energy Factor, Energy Eff. Equip. (HPWH Tank)</t>
    </r>
    <r>
      <rPr>
        <i/>
        <vertAlign val="superscript"/>
        <sz val="11"/>
        <color theme="1"/>
        <rFont val="Franklin Gothic Book"/>
        <family val="2"/>
      </rPr>
      <t>20</t>
    </r>
    <r>
      <rPr>
        <i/>
        <sz val="11"/>
        <color theme="1"/>
        <rFont val="Franklin Gothic Book"/>
        <family val="2"/>
      </rPr>
      <t>:</t>
    </r>
  </si>
  <si>
    <r>
      <t>Installation Location Factor</t>
    </r>
    <r>
      <rPr>
        <i/>
        <vertAlign val="superscript"/>
        <sz val="11"/>
        <color theme="1"/>
        <rFont val="Franklin Gothic Book"/>
        <family val="2"/>
      </rPr>
      <t>21</t>
    </r>
    <r>
      <rPr>
        <i/>
        <sz val="11"/>
        <color theme="1"/>
        <rFont val="Franklin Gothic Book"/>
        <family val="2"/>
      </rPr>
      <t>:</t>
    </r>
  </si>
  <si>
    <r>
      <t>Heating Factor</t>
    </r>
    <r>
      <rPr>
        <i/>
        <vertAlign val="superscript"/>
        <sz val="11"/>
        <color theme="1"/>
        <rFont val="Franklin Gothic Book"/>
        <family val="2"/>
      </rPr>
      <t>22</t>
    </r>
    <r>
      <rPr>
        <i/>
        <sz val="11"/>
        <color theme="1"/>
        <rFont val="Franklin Gothic Book"/>
        <family val="2"/>
      </rPr>
      <t>:</t>
    </r>
  </si>
  <si>
    <r>
      <t>Electric Water Heating Factor</t>
    </r>
    <r>
      <rPr>
        <i/>
        <vertAlign val="superscript"/>
        <sz val="11"/>
        <color theme="1"/>
        <rFont val="Franklin Gothic Book"/>
        <family val="2"/>
      </rPr>
      <t>23</t>
    </r>
    <r>
      <rPr>
        <i/>
        <sz val="11"/>
        <color theme="1"/>
        <rFont val="Franklin Gothic Book"/>
        <family val="2"/>
      </rPr>
      <t>:</t>
    </r>
  </si>
  <si>
    <r>
      <t>Efficiency Derating Factor</t>
    </r>
    <r>
      <rPr>
        <i/>
        <vertAlign val="superscript"/>
        <sz val="11"/>
        <color theme="1"/>
        <rFont val="Franklin Gothic Book"/>
        <family val="2"/>
      </rPr>
      <t>24</t>
    </r>
    <r>
      <rPr>
        <i/>
        <sz val="11"/>
        <color theme="1"/>
        <rFont val="Franklin Gothic Book"/>
        <family val="2"/>
      </rPr>
      <t>:</t>
    </r>
  </si>
  <si>
    <r>
      <t>Heating Seasonal Performance Factor</t>
    </r>
    <r>
      <rPr>
        <i/>
        <vertAlign val="superscript"/>
        <sz val="11"/>
        <color theme="1"/>
        <rFont val="Franklin Gothic Book"/>
        <family val="2"/>
      </rPr>
      <t>25</t>
    </r>
    <r>
      <rPr>
        <i/>
        <sz val="11"/>
        <color theme="1"/>
        <rFont val="Franklin Gothic Book"/>
        <family val="2"/>
      </rPr>
      <t>:</t>
    </r>
  </si>
  <si>
    <r>
      <t>Average New Hot Water Tank Capacity</t>
    </r>
    <r>
      <rPr>
        <i/>
        <vertAlign val="superscript"/>
        <sz val="11"/>
        <color theme="1"/>
        <rFont val="Franklin Gothic Book"/>
        <family val="2"/>
      </rPr>
      <t>14</t>
    </r>
    <r>
      <rPr>
        <i/>
        <sz val="11"/>
        <color theme="1"/>
        <rFont val="Franklin Gothic Book"/>
        <family val="2"/>
      </rPr>
      <t>:</t>
    </r>
  </si>
  <si>
    <r>
      <t>HSPF Climate Adjustment Factor</t>
    </r>
    <r>
      <rPr>
        <i/>
        <vertAlign val="superscript"/>
        <sz val="11"/>
        <color theme="1"/>
        <rFont val="Franklin Gothic Book"/>
        <family val="2"/>
      </rPr>
      <t>26</t>
    </r>
    <r>
      <rPr>
        <i/>
        <sz val="11"/>
        <color theme="1"/>
        <rFont val="Franklin Gothic Book"/>
        <family val="2"/>
      </rPr>
      <t>:</t>
    </r>
  </si>
  <si>
    <r>
      <t>Seasonal Energy Efficiency Ratio</t>
    </r>
    <r>
      <rPr>
        <i/>
        <vertAlign val="superscript"/>
        <sz val="11"/>
        <color theme="1"/>
        <rFont val="Franklin Gothic Book"/>
        <family val="2"/>
      </rPr>
      <t>28</t>
    </r>
    <r>
      <rPr>
        <i/>
        <sz val="11"/>
        <color theme="1"/>
        <rFont val="Franklin Gothic Book"/>
        <family val="2"/>
      </rPr>
      <t>:</t>
    </r>
  </si>
  <si>
    <t>Value is based on inputs from GreenSpark Solar.</t>
  </si>
  <si>
    <r>
      <t>Rooftop Area</t>
    </r>
    <r>
      <rPr>
        <i/>
        <vertAlign val="superscript"/>
        <sz val="11"/>
        <color theme="1"/>
        <rFont val="Franklin Gothic Book"/>
        <family val="2"/>
      </rPr>
      <t>1</t>
    </r>
    <r>
      <rPr>
        <i/>
        <sz val="11"/>
        <color theme="1"/>
        <rFont val="Franklin Gothic Book"/>
        <family val="2"/>
      </rPr>
      <t>:</t>
    </r>
  </si>
  <si>
    <r>
      <t>Assumed % Roof Area for Solar</t>
    </r>
    <r>
      <rPr>
        <i/>
        <vertAlign val="superscript"/>
        <sz val="11"/>
        <color theme="1"/>
        <rFont val="Franklin Gothic Book"/>
        <family val="2"/>
      </rPr>
      <t>3</t>
    </r>
    <r>
      <rPr>
        <i/>
        <sz val="11"/>
        <color theme="1"/>
        <rFont val="Franklin Gothic Book"/>
        <family val="2"/>
      </rPr>
      <t>:</t>
    </r>
  </si>
  <si>
    <r>
      <t>Panel Efficiency</t>
    </r>
    <r>
      <rPr>
        <i/>
        <vertAlign val="superscript"/>
        <sz val="11"/>
        <color theme="1"/>
        <rFont val="Franklin Gothic Book"/>
        <family val="2"/>
      </rPr>
      <t>4</t>
    </r>
    <r>
      <rPr>
        <i/>
        <sz val="11"/>
        <color theme="1"/>
        <rFont val="Franklin Gothic Book"/>
        <family val="2"/>
      </rPr>
      <t>:</t>
    </r>
  </si>
  <si>
    <r>
      <t>Avg. Hours Sunlight/Day</t>
    </r>
    <r>
      <rPr>
        <i/>
        <vertAlign val="superscript"/>
        <sz val="11"/>
        <color theme="1"/>
        <rFont val="Franklin Gothic Book"/>
        <family val="2"/>
      </rPr>
      <t>5</t>
    </r>
    <r>
      <rPr>
        <i/>
        <sz val="11"/>
        <color theme="1"/>
        <rFont val="Franklin Gothic Book"/>
        <family val="2"/>
      </rPr>
      <t>:</t>
    </r>
  </si>
  <si>
    <t>Inputs</t>
  </si>
  <si>
    <r>
      <t>Assumed % Roof Area for Solar</t>
    </r>
    <r>
      <rPr>
        <i/>
        <vertAlign val="super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:</t>
    </r>
  </si>
  <si>
    <r>
      <t>Panel Efficiency</t>
    </r>
    <r>
      <rPr>
        <i/>
        <vertAlign val="superscript"/>
        <sz val="11"/>
        <color theme="1"/>
        <rFont val="Franklin Gothic Book"/>
        <family val="2"/>
      </rPr>
      <t>3</t>
    </r>
    <r>
      <rPr>
        <i/>
        <sz val="11"/>
        <color theme="1"/>
        <rFont val="Franklin Gothic Book"/>
        <family val="2"/>
      </rPr>
      <t>:</t>
    </r>
  </si>
  <si>
    <r>
      <t>Avg. Hours Sunlight/Day</t>
    </r>
    <r>
      <rPr>
        <i/>
        <vertAlign val="superscript"/>
        <sz val="11"/>
        <color theme="1"/>
        <rFont val="Franklin Gothic Book"/>
        <family val="2"/>
      </rPr>
      <t>4</t>
    </r>
    <r>
      <rPr>
        <i/>
        <sz val="11"/>
        <color theme="1"/>
        <rFont val="Franklin Gothic Book"/>
        <family val="2"/>
      </rPr>
      <t>:</t>
    </r>
  </si>
  <si>
    <r>
      <t>lb CO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e/kWh</t>
    </r>
  </si>
  <si>
    <r>
      <t>mtCO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e/kWh</t>
    </r>
  </si>
  <si>
    <t>Facility:</t>
  </si>
  <si>
    <t>Insulation/Air Sealing</t>
  </si>
  <si>
    <t>Estimated Cost/Household:</t>
  </si>
  <si>
    <t>No. Houses Insulated Annually:</t>
  </si>
  <si>
    <t>Annual Cost to Program:</t>
  </si>
  <si>
    <t>Total Cost for Program Duration:</t>
  </si>
  <si>
    <t>Solar Array Installation</t>
  </si>
  <si>
    <t>Geothermal Heating Upgrades</t>
  </si>
  <si>
    <t>Annual Energy Production/Usage (kWh/year)</t>
  </si>
  <si>
    <r>
      <t>lb CO</t>
    </r>
    <r>
      <rPr>
        <vertAlign val="subscript"/>
        <sz val="11"/>
        <color theme="1"/>
        <rFont val="Franklin Gothic Book"/>
        <family val="2"/>
      </rPr>
      <t>2</t>
    </r>
  </si>
  <si>
    <t>lb CH4</t>
  </si>
  <si>
    <t>lb N2O</t>
  </si>
  <si>
    <r>
      <t>lb CH</t>
    </r>
    <r>
      <rPr>
        <vertAlign val="subscript"/>
        <sz val="11"/>
        <color theme="1"/>
        <rFont val="Franklin Gothic Book"/>
        <family val="2"/>
      </rPr>
      <t>4</t>
    </r>
  </si>
  <si>
    <r>
      <t>lb N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O</t>
    </r>
  </si>
  <si>
    <t>GWP</t>
  </si>
  <si>
    <t>20-yr</t>
  </si>
  <si>
    <t>100-yr</t>
  </si>
  <si>
    <r>
      <t>CO</t>
    </r>
    <r>
      <rPr>
        <vertAlign val="subscript"/>
        <sz val="11"/>
        <color theme="1"/>
        <rFont val="Franklin Gothic Book"/>
        <family val="2"/>
      </rPr>
      <t>2</t>
    </r>
  </si>
  <si>
    <r>
      <t>CH</t>
    </r>
    <r>
      <rPr>
        <vertAlign val="subscript"/>
        <sz val="11"/>
        <color theme="1"/>
        <rFont val="Franklin Gothic Book"/>
        <family val="2"/>
      </rPr>
      <t>4</t>
    </r>
  </si>
  <si>
    <r>
      <t>N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O</t>
    </r>
  </si>
  <si>
    <t>IPCC Box 3.2, Table 1</t>
  </si>
  <si>
    <t>AR5 Synthesis Report - Climate Change 2014 (ipcc.ch)</t>
  </si>
  <si>
    <r>
      <t>CO</t>
    </r>
    <r>
      <rPr>
        <i/>
        <vertAlign val="sub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 xml:space="preserve"> Emissions:</t>
    </r>
  </si>
  <si>
    <r>
      <t>N</t>
    </r>
    <r>
      <rPr>
        <i/>
        <vertAlign val="sub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O Emissions:</t>
    </r>
  </si>
  <si>
    <t>lb CO2</t>
  </si>
  <si>
    <r>
      <t>CO</t>
    </r>
    <r>
      <rPr>
        <i/>
        <vertAlign val="sub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 xml:space="preserve"> Emissions (per house):</t>
    </r>
  </si>
  <si>
    <r>
      <t>CH</t>
    </r>
    <r>
      <rPr>
        <i/>
        <vertAlign val="subscript"/>
        <sz val="11"/>
        <color theme="1"/>
        <rFont val="Franklin Gothic Book"/>
        <family val="2"/>
      </rPr>
      <t>4</t>
    </r>
    <r>
      <rPr>
        <i/>
        <sz val="11"/>
        <color theme="1"/>
        <rFont val="Franklin Gothic Book"/>
        <family val="2"/>
      </rPr>
      <t xml:space="preserve"> Emissions (per house):</t>
    </r>
  </si>
  <si>
    <r>
      <t>N</t>
    </r>
    <r>
      <rPr>
        <i/>
        <vertAlign val="sub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O Emissions (per house):</t>
    </r>
  </si>
  <si>
    <r>
      <t>CH</t>
    </r>
    <r>
      <rPr>
        <i/>
        <vertAlign val="subscript"/>
        <sz val="11"/>
        <color theme="1"/>
        <rFont val="Franklin Gothic Book"/>
        <family val="2"/>
      </rPr>
      <t>4</t>
    </r>
    <r>
      <rPr>
        <i/>
        <sz val="11"/>
        <color theme="1"/>
        <rFont val="Franklin Gothic Book"/>
        <family val="2"/>
      </rPr>
      <t xml:space="preserve"> Emissions:</t>
    </r>
  </si>
  <si>
    <r>
      <t>CO</t>
    </r>
    <r>
      <rPr>
        <i/>
        <vertAlign val="sub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e Emissions:</t>
    </r>
  </si>
  <si>
    <r>
      <t>Estimated Cumulative GHG Reduction (mtCO</t>
    </r>
    <r>
      <rPr>
        <b/>
        <i/>
        <vertAlign val="subscript"/>
        <sz val="11"/>
        <color theme="1"/>
        <rFont val="Franklin Gothic Book"/>
        <family val="2"/>
      </rPr>
      <t>2</t>
    </r>
    <r>
      <rPr>
        <b/>
        <i/>
        <sz val="11"/>
        <color theme="1"/>
        <rFont val="Franklin Gothic Book"/>
        <family val="2"/>
      </rPr>
      <t>e)</t>
    </r>
  </si>
  <si>
    <r>
      <t>Qualified Cumulative GHG Reductions from CPRG Funding (mtCO</t>
    </r>
    <r>
      <rPr>
        <b/>
        <i/>
        <vertAlign val="subscript"/>
        <sz val="11"/>
        <color theme="1"/>
        <rFont val="Franklin Gothic Book"/>
        <family val="2"/>
      </rPr>
      <t>2</t>
    </r>
    <r>
      <rPr>
        <b/>
        <i/>
        <sz val="11"/>
        <color theme="1"/>
        <rFont val="Franklin Gothic Book"/>
        <family val="2"/>
      </rPr>
      <t>e)</t>
    </r>
  </si>
  <si>
    <r>
      <t>Cumulative GHG Reduction Through 2050 (mtCO</t>
    </r>
    <r>
      <rPr>
        <b/>
        <i/>
        <vertAlign val="subscript"/>
        <sz val="11"/>
        <color theme="1"/>
        <rFont val="Franklin Gothic Book"/>
        <family val="2"/>
      </rPr>
      <t>2</t>
    </r>
    <r>
      <rPr>
        <b/>
        <i/>
        <sz val="11"/>
        <color theme="1"/>
        <rFont val="Franklin Gothic Book"/>
        <family val="2"/>
      </rPr>
      <t>e)</t>
    </r>
  </si>
  <si>
    <t>Table 2 - Short-Term Cumulative Impact on GHG Emissions - 2025 Through 2030</t>
  </si>
  <si>
    <t>Table 3 - Long-Term Cumulative Impact on GHG Emissions - 2025 Through 2050</t>
  </si>
  <si>
    <t>Table 1 - Annual Impact on GHG Emissions</t>
  </si>
  <si>
    <t>Annual Panel Loss</t>
  </si>
  <si>
    <t>Cost to Implement</t>
  </si>
  <si>
    <t>Requested CPRG Funding</t>
  </si>
  <si>
    <r>
      <t>lb CO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/kWh</t>
    </r>
  </si>
  <si>
    <r>
      <t>lb CH</t>
    </r>
    <r>
      <rPr>
        <vertAlign val="subscript"/>
        <sz val="11"/>
        <color theme="1"/>
        <rFont val="Franklin Gothic Book"/>
        <family val="2"/>
      </rPr>
      <t>4</t>
    </r>
    <r>
      <rPr>
        <sz val="11"/>
        <color theme="1"/>
        <rFont val="Franklin Gothic Book"/>
        <family val="2"/>
      </rPr>
      <t>/kWh</t>
    </r>
  </si>
  <si>
    <r>
      <t>lb N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O/kWh</t>
    </r>
  </si>
  <si>
    <r>
      <t>mtCO</t>
    </r>
    <r>
      <rPr>
        <vertAlign val="subscript"/>
        <sz val="11"/>
        <color theme="1"/>
        <rFont val="Franklin Gothic Book"/>
        <family val="2"/>
      </rPr>
      <t>2</t>
    </r>
    <r>
      <rPr>
        <sz val="11"/>
        <color theme="1"/>
        <rFont val="Franklin Gothic Book"/>
        <family val="2"/>
      </rPr>
      <t>e/yr</t>
    </r>
  </si>
  <si>
    <r>
      <t>mtCO</t>
    </r>
    <r>
      <rPr>
        <b/>
        <vertAlign val="subscript"/>
        <sz val="11"/>
        <color theme="1"/>
        <rFont val="Franklin Gothic Book"/>
        <family val="2"/>
      </rPr>
      <t>2</t>
    </r>
    <r>
      <rPr>
        <b/>
        <sz val="11"/>
        <color theme="1"/>
        <rFont val="Franklin Gothic Book"/>
        <family val="2"/>
      </rPr>
      <t>e/yr</t>
    </r>
  </si>
  <si>
    <t>Cost per mtCO2e Removed (Through 2030)</t>
  </si>
  <si>
    <t>Table 4 - Cost Effectiveness of Proposed Programs</t>
  </si>
  <si>
    <t>Cost per mtCO2e Removed with CPRG Funding (Through 2030)</t>
  </si>
  <si>
    <r>
      <t>Avg. Operational Time (hr)</t>
    </r>
    <r>
      <rPr>
        <i/>
        <u/>
        <vertAlign val="superscript"/>
        <sz val="11"/>
        <color theme="1"/>
        <rFont val="Franklin Gothic Book"/>
        <family val="2"/>
      </rPr>
      <t>3</t>
    </r>
  </si>
  <si>
    <r>
      <t>Qualified Cumulative GHG Reduction from CPRG Funding (mtCO</t>
    </r>
    <r>
      <rPr>
        <b/>
        <i/>
        <vertAlign val="subscript"/>
        <sz val="11"/>
        <color theme="1"/>
        <rFont val="Franklin Gothic Book"/>
        <family val="2"/>
      </rPr>
      <t>2</t>
    </r>
    <r>
      <rPr>
        <b/>
        <i/>
        <sz val="11"/>
        <color theme="1"/>
        <rFont val="Franklin Gothic Book"/>
        <family val="2"/>
      </rPr>
      <t>e)</t>
    </r>
  </si>
  <si>
    <t>80 residential rooftop arrays installed</t>
  </si>
  <si>
    <t>160 residential rooftop arrays installed</t>
  </si>
  <si>
    <t>240 residential rooftop arrays installed</t>
  </si>
  <si>
    <t>320 residential rooftop arrays installed</t>
  </si>
  <si>
    <t>400 residential rooftop arrays installed</t>
  </si>
  <si>
    <t>Assume Projects #1 Completed</t>
  </si>
  <si>
    <t>Assume Project #2 Completed</t>
  </si>
  <si>
    <t>Assume Project #3 Completed</t>
  </si>
  <si>
    <t>Assume Project #4 Completed</t>
  </si>
  <si>
    <t>Assume Project #5 Completed</t>
  </si>
  <si>
    <t>LED Lighting Upgrades</t>
  </si>
  <si>
    <t>Geothermal Heating System Upgrades</t>
  </si>
  <si>
    <t>All Projects Completed</t>
  </si>
  <si>
    <t>All Arrays Constructed</t>
  </si>
  <si>
    <t>End of Program</t>
  </si>
  <si>
    <t>West Side Garage - ENERGY STAR Data</t>
  </si>
  <si>
    <t>Date</t>
  </si>
  <si>
    <t>Gas (kBtu)</t>
  </si>
  <si>
    <t>Gas (Therms)</t>
  </si>
  <si>
    <t>Electric (kBTU)</t>
  </si>
  <si>
    <t>Electric (kWh)</t>
  </si>
  <si>
    <t>Existing Equipment/Energy Usage</t>
  </si>
  <si>
    <r>
      <t>Annual CO</t>
    </r>
    <r>
      <rPr>
        <b/>
        <i/>
        <vertAlign val="subscript"/>
        <sz val="11"/>
        <color theme="1"/>
        <rFont val="Franklin Gothic Book"/>
        <family val="2"/>
      </rPr>
      <t>2</t>
    </r>
    <r>
      <rPr>
        <b/>
        <i/>
        <sz val="11"/>
        <color theme="1"/>
        <rFont val="Franklin Gothic Book"/>
        <family val="2"/>
      </rPr>
      <t>e Emissions:</t>
    </r>
  </si>
  <si>
    <t>New GSHP System</t>
  </si>
  <si>
    <r>
      <t>New CO</t>
    </r>
    <r>
      <rPr>
        <i/>
        <vertAlign val="sub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e Footprint:</t>
    </r>
  </si>
  <si>
    <r>
      <t>Annual CO</t>
    </r>
    <r>
      <rPr>
        <i/>
        <vertAlign val="sub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e Reduction:</t>
    </r>
  </si>
  <si>
    <t>Total Program Replacement Cost (Annual):</t>
  </si>
  <si>
    <t>Cost to Implement (Pre-NYSERDA Funding)</t>
  </si>
  <si>
    <t>Requested Funding (from CPRG)</t>
  </si>
  <si>
    <t>Post-Incentives Cost:</t>
  </si>
  <si>
    <t>Pre-Incentives Cost:</t>
  </si>
  <si>
    <t>Electrical Panel Cost/House:</t>
  </si>
  <si>
    <t>Annual Panel Upgrade Cost:</t>
  </si>
  <si>
    <t>Project #4</t>
  </si>
  <si>
    <t>gcshp-brochure.pdf (iwae.com)</t>
  </si>
  <si>
    <t>Geothermal Heating Parameters</t>
  </si>
  <si>
    <t>Variable</t>
  </si>
  <si>
    <t>Name</t>
  </si>
  <si>
    <t>Value</t>
  </si>
  <si>
    <t>Units</t>
  </si>
  <si>
    <t>Reference</t>
  </si>
  <si>
    <t>BCL</t>
  </si>
  <si>
    <t>BHL</t>
  </si>
  <si>
    <r>
      <t>F</t>
    </r>
    <r>
      <rPr>
        <vertAlign val="subscript"/>
        <sz val="11"/>
        <color theme="1"/>
        <rFont val="Franklin Gothic Book"/>
        <family val="2"/>
      </rPr>
      <t>ElecHeat</t>
    </r>
  </si>
  <si>
    <r>
      <t>F</t>
    </r>
    <r>
      <rPr>
        <vertAlign val="subscript"/>
        <sz val="11"/>
        <color theme="1"/>
        <rFont val="Franklin Gothic Book"/>
        <family val="2"/>
      </rPr>
      <t>ElecCool</t>
    </r>
  </si>
  <si>
    <r>
      <t>EER</t>
    </r>
    <r>
      <rPr>
        <vertAlign val="subscript"/>
        <sz val="11"/>
        <color theme="1"/>
        <rFont val="Franklin Gothic Book"/>
        <family val="2"/>
      </rPr>
      <t>season,baseline</t>
    </r>
  </si>
  <si>
    <r>
      <t>EER</t>
    </r>
    <r>
      <rPr>
        <vertAlign val="subscript"/>
        <sz val="11"/>
        <color theme="1"/>
        <rFont val="Franklin Gothic Book"/>
        <family val="2"/>
      </rPr>
      <t>season,ee</t>
    </r>
  </si>
  <si>
    <r>
      <t>BEFLH</t>
    </r>
    <r>
      <rPr>
        <vertAlign val="subscript"/>
        <sz val="11"/>
        <color theme="1"/>
        <rFont val="Franklin Gothic Book"/>
        <family val="2"/>
      </rPr>
      <t>cooling</t>
    </r>
  </si>
  <si>
    <r>
      <t>BEFLH</t>
    </r>
    <r>
      <rPr>
        <vertAlign val="subscript"/>
        <sz val="11"/>
        <color theme="1"/>
        <rFont val="Franklin Gothic Book"/>
        <family val="2"/>
      </rPr>
      <t>heating</t>
    </r>
  </si>
  <si>
    <r>
      <t>kW</t>
    </r>
    <r>
      <rPr>
        <vertAlign val="subscript"/>
        <sz val="11"/>
        <color theme="1"/>
        <rFont val="Franklin Gothic Book"/>
        <family val="2"/>
      </rPr>
      <t>pump,avg</t>
    </r>
  </si>
  <si>
    <r>
      <t>F</t>
    </r>
    <r>
      <rPr>
        <vertAlign val="subscript"/>
        <sz val="11"/>
        <color theme="1"/>
        <rFont val="Franklin Gothic Book"/>
        <family val="2"/>
      </rPr>
      <t>pump,avg</t>
    </r>
  </si>
  <si>
    <r>
      <t>COP</t>
    </r>
    <r>
      <rPr>
        <vertAlign val="subscript"/>
        <sz val="11"/>
        <color theme="1"/>
        <rFont val="Franklin Gothic Book"/>
        <family val="2"/>
      </rPr>
      <t>season,ee</t>
    </r>
  </si>
  <si>
    <r>
      <t>COP</t>
    </r>
    <r>
      <rPr>
        <vertAlign val="subscript"/>
        <sz val="11"/>
        <color theme="1"/>
        <rFont val="Franklin Gothic Book"/>
        <family val="2"/>
      </rPr>
      <t>season,baseline</t>
    </r>
  </si>
  <si>
    <t>Building Cooling Load</t>
  </si>
  <si>
    <t>Electric Cooling Factor</t>
  </si>
  <si>
    <t>Energy Efficiency Ratio, Seasonal Baseline</t>
  </si>
  <si>
    <t>Energy Efficiency Ratio, Seasonal Energy Eff.</t>
  </si>
  <si>
    <t>Cooling Equivalent Full-Load Hours</t>
  </si>
  <si>
    <t>Building Heating Load</t>
  </si>
  <si>
    <t>Electric Heating Factor</t>
  </si>
  <si>
    <t>Coefficient of Performance, Seasonal Baseline</t>
  </si>
  <si>
    <t>Coefficient of Performance, Seasonal Energy Eff.</t>
  </si>
  <si>
    <t>Heating Equivalent Full-Load Hours</t>
  </si>
  <si>
    <t>Annual Average Pumping %</t>
  </si>
  <si>
    <t>Pumping Power at Design</t>
  </si>
  <si>
    <t>hr</t>
  </si>
  <si>
    <t>Zone 5A, post-1980;</t>
  </si>
  <si>
    <t>COP times Upstate NY factor</t>
  </si>
  <si>
    <t>New Geothermal System Calculations</t>
  </si>
  <si>
    <t>Total Change in Energy Consumption:</t>
  </si>
  <si>
    <r>
      <t>EER</t>
    </r>
    <r>
      <rPr>
        <vertAlign val="subscript"/>
        <sz val="11"/>
        <color theme="1"/>
        <rFont val="Franklin Gothic Book"/>
        <family val="2"/>
      </rPr>
      <t>GLHP,full</t>
    </r>
  </si>
  <si>
    <r>
      <t>F</t>
    </r>
    <r>
      <rPr>
        <vertAlign val="subscript"/>
        <sz val="11"/>
        <color theme="1"/>
        <rFont val="Franklin Gothic Book"/>
        <family val="2"/>
      </rPr>
      <t>pump,full</t>
    </r>
  </si>
  <si>
    <r>
      <t>EWT</t>
    </r>
    <r>
      <rPr>
        <vertAlign val="subscript"/>
        <sz val="11"/>
        <color theme="1"/>
        <rFont val="Franklin Gothic Book"/>
        <family val="2"/>
      </rPr>
      <t>avg,c</t>
    </r>
  </si>
  <si>
    <r>
      <t>EER</t>
    </r>
    <r>
      <rPr>
        <vertAlign val="subscript"/>
        <sz val="11"/>
        <color theme="1"/>
        <rFont val="Franklin Gothic Book"/>
        <family val="2"/>
      </rPr>
      <t>GLHP,part</t>
    </r>
  </si>
  <si>
    <r>
      <t>F</t>
    </r>
    <r>
      <rPr>
        <vertAlign val="subscript"/>
        <sz val="11"/>
        <color theme="1"/>
        <rFont val="Franklin Gothic Book"/>
        <family val="2"/>
      </rPr>
      <t>pump,part</t>
    </r>
  </si>
  <si>
    <r>
      <t>F</t>
    </r>
    <r>
      <rPr>
        <vertAlign val="subscript"/>
        <sz val="11"/>
        <color theme="1"/>
        <rFont val="Franklin Gothic Book"/>
        <family val="2"/>
      </rPr>
      <t>part</t>
    </r>
  </si>
  <si>
    <r>
      <t>F</t>
    </r>
    <r>
      <rPr>
        <vertAlign val="subscript"/>
        <sz val="11"/>
        <color theme="1"/>
        <rFont val="Franklin Gothic Book"/>
        <family val="2"/>
      </rPr>
      <t>full</t>
    </r>
  </si>
  <si>
    <r>
      <t>F</t>
    </r>
    <r>
      <rPr>
        <vertAlign val="subscript"/>
        <sz val="11"/>
        <color theme="1"/>
        <rFont val="Franklin Gothic Book"/>
        <family val="2"/>
      </rPr>
      <t>dist,c</t>
    </r>
  </si>
  <si>
    <t>p. 802 table</t>
  </si>
  <si>
    <t>Existing system = boiler + AC (p. 805)</t>
  </si>
  <si>
    <t>Assumed value - p. 802</t>
  </si>
  <si>
    <t>Clean Heating and Cooling</t>
  </si>
  <si>
    <t>from Project Budget</t>
  </si>
  <si>
    <t>Municipal Rooftop Solar</t>
  </si>
  <si>
    <r>
      <t>Total No. Roofs Replaced in Program</t>
    </r>
    <r>
      <rPr>
        <i/>
        <vertAlign val="super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:</t>
    </r>
  </si>
  <si>
    <t>Total Annual Program Savings (Elec. Costs):</t>
  </si>
  <si>
    <t>75 W/ton; p. 804</t>
  </si>
  <si>
    <t>2-stage, 40% bypass flow, Buffalo; p. 800</t>
  </si>
  <si>
    <t>Nordic W-500 Series EER (between 75 and 80F)</t>
  </si>
  <si>
    <t>Nordic W-500 Series EER (between 65 and 70F)</t>
  </si>
  <si>
    <t>Assume 3x higher than cooling load</t>
  </si>
  <si>
    <t>Provided by City</t>
  </si>
  <si>
    <r>
      <t>F</t>
    </r>
    <r>
      <rPr>
        <vertAlign val="subscript"/>
        <sz val="11"/>
        <color theme="1"/>
        <rFont val="Franklin Gothic Book"/>
        <family val="2"/>
      </rPr>
      <t>dist,h</t>
    </r>
  </si>
  <si>
    <r>
      <t>COP</t>
    </r>
    <r>
      <rPr>
        <vertAlign val="subscript"/>
        <sz val="11"/>
        <color theme="1"/>
        <rFont val="Franklin Gothic Book"/>
        <family val="2"/>
      </rPr>
      <t>GHLP,full</t>
    </r>
  </si>
  <si>
    <r>
      <t>EWT</t>
    </r>
    <r>
      <rPr>
        <vertAlign val="subscript"/>
        <sz val="11"/>
        <color theme="1"/>
        <rFont val="Franklin Gothic Book"/>
        <family val="2"/>
      </rPr>
      <t>avg,h</t>
    </r>
  </si>
  <si>
    <r>
      <t>COP</t>
    </r>
    <r>
      <rPr>
        <vertAlign val="subscript"/>
        <sz val="11"/>
        <color theme="1"/>
        <rFont val="Franklin Gothic Book"/>
        <family val="2"/>
      </rPr>
      <t>GHLP,part</t>
    </r>
  </si>
  <si>
    <t>From TRM, p. 805</t>
  </si>
  <si>
    <t>From Nordic W-500 Series COP (between 30 and 35F)</t>
  </si>
  <si>
    <t>Assumed</t>
  </si>
  <si>
    <t>From Nordic W-500 Series COP (40F)</t>
  </si>
  <si>
    <t>Nordic W-500 Ground Loop Cooling, design</t>
  </si>
  <si>
    <t>Nordic W-500 Water-to-Water GSHP</t>
  </si>
  <si>
    <r>
      <t>COP</t>
    </r>
    <r>
      <rPr>
        <vertAlign val="subscript"/>
        <sz val="11"/>
        <color theme="1"/>
        <rFont val="Franklin Gothic Book"/>
        <family val="2"/>
      </rPr>
      <t>h</t>
    </r>
  </si>
  <si>
    <t>002097MAN-04-ISSUE-03-Commercial-W-WH-Series-150-1000.pdf (nordicghp.com)</t>
  </si>
  <si>
    <r>
      <t>COP</t>
    </r>
    <r>
      <rPr>
        <vertAlign val="subscript"/>
        <sz val="11"/>
        <color theme="1"/>
        <rFont val="Franklin Gothic Book"/>
        <family val="2"/>
      </rPr>
      <t>c</t>
    </r>
  </si>
  <si>
    <t>Energy Consumption Due to Heating (Existing NG):</t>
  </si>
  <si>
    <t>Energy Consumption Due to Heating (New GSHP):</t>
  </si>
  <si>
    <t>Energy Consumption Due to Cooling (Existing AC Units):</t>
  </si>
  <si>
    <t>Energy Consumption Due to Cooling (New GSHP):</t>
  </si>
  <si>
    <t>Estimated NG Cost (2022 - 2023):</t>
  </si>
  <si>
    <t>New Heating Cost (GSHP):</t>
  </si>
  <si>
    <t>Heating Cost Increase:</t>
  </si>
  <si>
    <r>
      <t>2022 - 2023 NG Usage</t>
    </r>
    <r>
      <rPr>
        <i/>
        <vertAlign val="superscript"/>
        <sz val="11"/>
        <color theme="1"/>
        <rFont val="Franklin Gothic Book"/>
        <family val="2"/>
      </rPr>
      <t>5</t>
    </r>
    <r>
      <rPr>
        <i/>
        <sz val="11"/>
        <color theme="1"/>
        <rFont val="Franklin Gothic Book"/>
        <family val="2"/>
      </rPr>
      <t>:</t>
    </r>
  </si>
  <si>
    <r>
      <t>2022 - 2023 Electric Usage</t>
    </r>
    <r>
      <rPr>
        <i/>
        <vertAlign val="superscript"/>
        <sz val="11"/>
        <color theme="1"/>
        <rFont val="Franklin Gothic Book"/>
        <family val="2"/>
      </rPr>
      <t>6</t>
    </r>
    <r>
      <rPr>
        <i/>
        <sz val="11"/>
        <color theme="1"/>
        <rFont val="Franklin Gothic Book"/>
        <family val="2"/>
      </rPr>
      <t>:</t>
    </r>
  </si>
  <si>
    <r>
      <t>Building Cooling Load</t>
    </r>
    <r>
      <rPr>
        <i/>
        <vertAlign val="superscript"/>
        <sz val="11"/>
        <color theme="1"/>
        <rFont val="Franklin Gothic Book"/>
        <family val="2"/>
      </rPr>
      <t>7</t>
    </r>
  </si>
  <si>
    <r>
      <t>Coefficient of Performance, Heating (New GSHP)</t>
    </r>
    <r>
      <rPr>
        <i/>
        <vertAlign val="superscript"/>
        <sz val="11"/>
        <color theme="1"/>
        <rFont val="Franklin Gothic Book"/>
        <family val="2"/>
      </rPr>
      <t>8</t>
    </r>
    <r>
      <rPr>
        <i/>
        <sz val="11"/>
        <color theme="1"/>
        <rFont val="Franklin Gothic Book"/>
        <family val="2"/>
      </rPr>
      <t>:</t>
    </r>
  </si>
  <si>
    <r>
      <t>Coeffieicent of Performance, Cooling (New GSHP)</t>
    </r>
    <r>
      <rPr>
        <i/>
        <vertAlign val="superscript"/>
        <sz val="11"/>
        <color theme="1"/>
        <rFont val="Franklin Gothic Book"/>
        <family val="2"/>
      </rPr>
      <t>9</t>
    </r>
    <r>
      <rPr>
        <i/>
        <sz val="11"/>
        <color theme="1"/>
        <rFont val="Franklin Gothic Book"/>
        <family val="2"/>
      </rPr>
      <t>:</t>
    </r>
  </si>
  <si>
    <t>Zone 5A, post-1980; office low-rise</t>
  </si>
  <si>
    <t>Existing CO2e Footprint (Cooling):</t>
  </si>
  <si>
    <r>
      <t>Existing CO</t>
    </r>
    <r>
      <rPr>
        <i/>
        <vertAlign val="subscript"/>
        <sz val="11"/>
        <color theme="1"/>
        <rFont val="Franklin Gothic Book"/>
        <family val="2"/>
      </rPr>
      <t>2</t>
    </r>
    <r>
      <rPr>
        <i/>
        <sz val="11"/>
        <color theme="1"/>
        <rFont val="Franklin Gothic Book"/>
        <family val="2"/>
      </rPr>
      <t>e Footprint (Heat):</t>
    </r>
  </si>
  <si>
    <r>
      <t>Existing AC Unit COP</t>
    </r>
    <r>
      <rPr>
        <i/>
        <vertAlign val="superscript"/>
        <sz val="11"/>
        <color theme="1"/>
        <rFont val="Franklin Gothic Book"/>
        <family val="2"/>
      </rPr>
      <t>10</t>
    </r>
    <r>
      <rPr>
        <i/>
        <sz val="11"/>
        <color theme="1"/>
        <rFont val="Franklin Gothic Book"/>
        <family val="2"/>
      </rPr>
      <t>:</t>
    </r>
  </si>
  <si>
    <t>Existing COP</t>
  </si>
  <si>
    <r>
      <t>Cooling Equivalent Full-Load Hours</t>
    </r>
    <r>
      <rPr>
        <i/>
        <vertAlign val="superscript"/>
        <sz val="11"/>
        <color theme="1"/>
        <rFont val="Franklin Gothic Book"/>
        <family val="2"/>
      </rPr>
      <t>11</t>
    </r>
    <r>
      <rPr>
        <i/>
        <sz val="11"/>
        <color theme="1"/>
        <rFont val="Franklin Gothic Book"/>
        <family val="2"/>
      </rPr>
      <t>:</t>
    </r>
  </si>
  <si>
    <r>
      <t>Office Space Footprint</t>
    </r>
    <r>
      <rPr>
        <i/>
        <vertAlign val="superscript"/>
        <sz val="11"/>
        <color theme="1"/>
        <rFont val="Franklin Gothic Book"/>
        <family val="2"/>
      </rPr>
      <t>12</t>
    </r>
    <r>
      <rPr>
        <i/>
        <sz val="11"/>
        <color theme="1"/>
        <rFont val="Franklin Gothic Book"/>
        <family val="2"/>
      </rPr>
      <t>:</t>
    </r>
  </si>
  <si>
    <r>
      <t>Rooftop Area</t>
    </r>
    <r>
      <rPr>
        <i/>
        <vertAlign val="superscript"/>
        <sz val="11"/>
        <color theme="1"/>
        <rFont val="Franklin Gothic Book"/>
        <family val="2"/>
      </rPr>
      <t>1,13</t>
    </r>
    <r>
      <rPr>
        <i/>
        <sz val="11"/>
        <color theme="1"/>
        <rFont val="Franklin Gothic Book"/>
        <family val="2"/>
      </rPr>
      <t>:</t>
    </r>
  </si>
  <si>
    <t>LED Equiv. Wattage</t>
  </si>
  <si>
    <t>Rooftop solar installed</t>
  </si>
  <si>
    <t>Remainder of measures installed</t>
  </si>
  <si>
    <t>Annual Reduction (at end of program):</t>
  </si>
  <si>
    <t>400W HID Floodlights</t>
  </si>
  <si>
    <t>100W HID Low Bay Industrial Weathertight</t>
  </si>
  <si>
    <t>250W HID Wall Pack</t>
  </si>
  <si>
    <t>32W T-8 Fluorescent Bulbs</t>
  </si>
  <si>
    <t>Residential</t>
  </si>
  <si>
    <t>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</si>
</sst>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#,##0.0"/>
    <numFmt numFmtId="167" formatCode="0.000"/>
    <numFmt numFmtId="168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Franklin Gothic Book"/>
      <family val="2"/>
    </font>
    <font>
      <i/>
      <sz val="11"/>
      <color theme="1"/>
      <name val="Franklin Gothic Book"/>
      <family val="2"/>
    </font>
    <font>
      <sz val="11"/>
      <color theme="1"/>
      <name val="Calibri"/>
      <family val="2"/>
      <scheme val="minor"/>
    </font>
    <font>
      <i/>
      <u/>
      <sz val="11"/>
      <color theme="1"/>
      <name val="Franklin Gothic Book"/>
      <family val="2"/>
    </font>
    <font>
      <i/>
      <u/>
      <vertAlign val="subscript"/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b/>
      <i/>
      <sz val="11"/>
      <color theme="1"/>
      <name val="Franklin Gothic Book"/>
      <family val="2"/>
    </font>
    <font>
      <u/>
      <sz val="11"/>
      <color theme="10"/>
      <name val="Calibri"/>
      <family val="2"/>
      <scheme val="minor"/>
    </font>
    <font>
      <vertAlign val="superscript"/>
      <sz val="11"/>
      <color theme="1"/>
      <name val="Franklin Gothic Book"/>
      <family val="2"/>
    </font>
    <font>
      <i/>
      <vertAlign val="superscript"/>
      <sz val="11"/>
      <color theme="1"/>
      <name val="Franklin Gothic Book"/>
      <family val="2"/>
    </font>
    <font>
      <vertAlign val="subscript"/>
      <sz val="11"/>
      <color theme="1"/>
      <name val="Franklin Gothic Book"/>
      <family val="2"/>
    </font>
    <font>
      <sz val="11"/>
      <color theme="1"/>
      <name val="Calibri"/>
      <family val="2"/>
    </font>
    <font>
      <b/>
      <vertAlign val="subscript"/>
      <sz val="11"/>
      <color theme="1"/>
      <name val="Franklin Gothic Book"/>
      <family val="2"/>
    </font>
    <font>
      <i/>
      <vertAlign val="subscript"/>
      <sz val="11"/>
      <color theme="1"/>
      <name val="Franklin Gothic Book"/>
      <family val="2"/>
    </font>
    <font>
      <i/>
      <sz val="11"/>
      <color theme="1"/>
      <name val="Calibri"/>
      <family val="2"/>
    </font>
    <font>
      <b/>
      <i/>
      <vertAlign val="subscript"/>
      <sz val="11"/>
      <color theme="1"/>
      <name val="Franklin Gothic Book"/>
      <family val="2"/>
    </font>
    <font>
      <b/>
      <u/>
      <sz val="11"/>
      <color theme="1"/>
      <name val="Franklin Gothic Book"/>
      <family val="2"/>
    </font>
    <font>
      <i/>
      <u/>
      <vertAlign val="superscript"/>
      <sz val="11"/>
      <color theme="1"/>
      <name val="Franklin Gothic Book"/>
      <family val="2"/>
    </font>
    <font>
      <u/>
      <sz val="11"/>
      <color theme="1"/>
      <name val="Franklin Gothic Book"/>
      <family val="2"/>
    </font>
  </fonts>
  <fills count="1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5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/>
    <xf numFmtId="0" fontId="7" fillId="0" borderId="0" xfId="0" applyFont="1" applyAlignment="1">
      <alignment horizontal="right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8" fillId="0" borderId="0" xfId="4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2" fontId="1" fillId="0" borderId="0" xfId="0" applyNumberFormat="1" applyFont="1"/>
    <xf numFmtId="43" fontId="1" fillId="0" borderId="0" xfId="0" applyNumberFormat="1" applyFont="1"/>
    <xf numFmtId="0" fontId="1" fillId="0" borderId="4" xfId="0" applyFont="1" applyBorder="1"/>
    <xf numFmtId="0" fontId="1" fillId="0" borderId="5" xfId="0" applyFont="1" applyBorder="1"/>
    <xf numFmtId="0" fontId="1" fillId="3" borderId="0" xfId="0" applyFont="1" applyFill="1"/>
    <xf numFmtId="0" fontId="1" fillId="0" borderId="10" xfId="0" applyFont="1" applyBorder="1"/>
    <xf numFmtId="0" fontId="1" fillId="0" borderId="12" xfId="0" applyFont="1" applyBorder="1"/>
    <xf numFmtId="43" fontId="1" fillId="0" borderId="0" xfId="1" applyFont="1" applyFill="1" applyBorder="1"/>
    <xf numFmtId="0" fontId="2" fillId="0" borderId="0" xfId="0" applyFont="1" applyAlignment="1">
      <alignment horizontal="right" vertical="center"/>
    </xf>
    <xf numFmtId="43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right" wrapText="1"/>
    </xf>
    <xf numFmtId="3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3" fontId="1" fillId="0" borderId="0" xfId="1" applyFont="1" applyFill="1" applyBorder="1" applyAlignment="1"/>
    <xf numFmtId="43" fontId="1" fillId="0" borderId="1" xfId="1" applyFont="1" applyBorder="1" applyAlignment="1">
      <alignment horizontal="center"/>
    </xf>
    <xf numFmtId="43" fontId="1" fillId="0" borderId="1" xfId="0" applyNumberFormat="1" applyFont="1" applyBorder="1" applyAlignment="1">
      <alignment horizontal="center"/>
    </xf>
    <xf numFmtId="44" fontId="1" fillId="0" borderId="0" xfId="2" applyFont="1"/>
    <xf numFmtId="44" fontId="2" fillId="0" borderId="0" xfId="2" applyFont="1" applyAlignment="1">
      <alignment horizontal="right"/>
    </xf>
    <xf numFmtId="44" fontId="1" fillId="0" borderId="1" xfId="2" applyFont="1" applyBorder="1" applyAlignment="1">
      <alignment horizontal="center"/>
    </xf>
    <xf numFmtId="0" fontId="7" fillId="5" borderId="2" xfId="0" applyFont="1" applyFill="1" applyBorder="1" applyAlignment="1">
      <alignment horizontal="right" wrapText="1"/>
    </xf>
    <xf numFmtId="43" fontId="6" fillId="5" borderId="3" xfId="0" applyNumberFormat="1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vertical="center"/>
    </xf>
    <xf numFmtId="166" fontId="1" fillId="0" borderId="1" xfId="0" applyNumberFormat="1" applyFont="1" applyBorder="1"/>
    <xf numFmtId="43" fontId="1" fillId="0" borderId="1" xfId="1" applyFont="1" applyBorder="1"/>
    <xf numFmtId="0" fontId="1" fillId="0" borderId="0" xfId="0" quotePrefix="1" applyFont="1"/>
    <xf numFmtId="43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3" fontId="1" fillId="0" borderId="19" xfId="1" applyFont="1" applyBorder="1"/>
    <xf numFmtId="0" fontId="1" fillId="0" borderId="20" xfId="0" applyFont="1" applyBorder="1"/>
    <xf numFmtId="0" fontId="1" fillId="0" borderId="22" xfId="0" applyFont="1" applyBorder="1"/>
    <xf numFmtId="0" fontId="1" fillId="0" borderId="25" xfId="0" applyFont="1" applyBorder="1"/>
    <xf numFmtId="43" fontId="1" fillId="0" borderId="19" xfId="0" applyNumberFormat="1" applyFont="1" applyBorder="1"/>
    <xf numFmtId="43" fontId="1" fillId="0" borderId="16" xfId="0" applyNumberFormat="1" applyFont="1" applyBorder="1"/>
    <xf numFmtId="1" fontId="1" fillId="0" borderId="1" xfId="0" applyNumberFormat="1" applyFont="1" applyBorder="1"/>
    <xf numFmtId="4" fontId="1" fillId="0" borderId="1" xfId="0" applyNumberFormat="1" applyFont="1" applyBorder="1"/>
    <xf numFmtId="0" fontId="1" fillId="0" borderId="25" xfId="0" applyFont="1" applyBorder="1" applyAlignment="1">
      <alignment horizontal="center"/>
    </xf>
    <xf numFmtId="166" fontId="1" fillId="0" borderId="19" xfId="0" applyNumberFormat="1" applyFont="1" applyBorder="1"/>
    <xf numFmtId="166" fontId="1" fillId="0" borderId="0" xfId="0" applyNumberFormat="1" applyFont="1"/>
    <xf numFmtId="0" fontId="1" fillId="0" borderId="9" xfId="0" applyFont="1" applyBorder="1" applyAlignment="1">
      <alignment vertical="center" wrapText="1"/>
    </xf>
    <xf numFmtId="0" fontId="1" fillId="0" borderId="9" xfId="0" quotePrefix="1" applyFont="1" applyBorder="1" applyAlignment="1">
      <alignment vertic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3" fontId="1" fillId="0" borderId="24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43" fontId="6" fillId="0" borderId="3" xfId="0" applyNumberFormat="1" applyFont="1" applyBorder="1"/>
    <xf numFmtId="44" fontId="6" fillId="0" borderId="13" xfId="2" applyFont="1" applyBorder="1"/>
    <xf numFmtId="44" fontId="6" fillId="0" borderId="0" xfId="2" applyFont="1" applyFill="1" applyBorder="1"/>
    <xf numFmtId="0" fontId="4" fillId="0" borderId="0" xfId="0" applyFont="1" applyAlignment="1">
      <alignment horizontal="center" vertical="center" wrapText="1"/>
    </xf>
    <xf numFmtId="167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Font="1"/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4" fontId="1" fillId="0" borderId="16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6" xfId="0" applyFont="1" applyBorder="1"/>
    <xf numFmtId="0" fontId="1" fillId="2" borderId="0" xfId="0" applyFont="1" applyFill="1"/>
    <xf numFmtId="3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44" fontId="1" fillId="2" borderId="22" xfId="2" applyFont="1" applyFill="1" applyBorder="1" applyAlignment="1">
      <alignment horizontal="center"/>
    </xf>
    <xf numFmtId="44" fontId="1" fillId="2" borderId="25" xfId="2" applyFont="1" applyFill="1" applyBorder="1" applyAlignment="1">
      <alignment horizontal="center"/>
    </xf>
    <xf numFmtId="44" fontId="6" fillId="6" borderId="13" xfId="2" applyFont="1" applyFill="1" applyBorder="1" applyAlignment="1">
      <alignment horizontal="center"/>
    </xf>
    <xf numFmtId="0" fontId="2" fillId="0" borderId="21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2" fillId="0" borderId="21" xfId="0" applyFont="1" applyBorder="1" applyAlignment="1">
      <alignment horizontal="right" vertical="center"/>
    </xf>
    <xf numFmtId="0" fontId="2" fillId="2" borderId="21" xfId="0" applyFont="1" applyFill="1" applyBorder="1" applyAlignment="1">
      <alignment horizontal="right"/>
    </xf>
    <xf numFmtId="0" fontId="2" fillId="0" borderId="42" xfId="0" applyFont="1" applyBorder="1" applyAlignment="1">
      <alignment horizontal="right"/>
    </xf>
    <xf numFmtId="4" fontId="1" fillId="0" borderId="0" xfId="0" applyNumberFormat="1" applyFont="1" applyAlignment="1">
      <alignment horizontal="center"/>
    </xf>
    <xf numFmtId="4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0" fontId="17" fillId="0" borderId="0" xfId="0" applyFont="1"/>
    <xf numFmtId="43" fontId="1" fillId="0" borderId="17" xfId="0" applyNumberFormat="1" applyFont="1" applyBorder="1"/>
    <xf numFmtId="0" fontId="1" fillId="0" borderId="46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2" fillId="0" borderId="1" xfId="0" applyFont="1" applyBorder="1"/>
    <xf numFmtId="0" fontId="4" fillId="0" borderId="21" xfId="0" applyFont="1" applyBorder="1" applyAlignment="1">
      <alignment horizontal="left"/>
    </xf>
    <xf numFmtId="0" fontId="1" fillId="0" borderId="24" xfId="0" applyFont="1" applyBorder="1"/>
    <xf numFmtId="0" fontId="2" fillId="0" borderId="4" xfId="0" applyFont="1" applyBorder="1"/>
    <xf numFmtId="0" fontId="1" fillId="0" borderId="4" xfId="0" applyFont="1" applyBorder="1" applyAlignment="1">
      <alignment wrapText="1"/>
    </xf>
    <xf numFmtId="0" fontId="1" fillId="0" borderId="35" xfId="0" applyFont="1" applyBorder="1"/>
    <xf numFmtId="0" fontId="1" fillId="2" borderId="1" xfId="0" applyFont="1" applyFill="1" applyBorder="1"/>
    <xf numFmtId="168" fontId="1" fillId="0" borderId="1" xfId="0" applyNumberFormat="1" applyFont="1" applyBorder="1"/>
    <xf numFmtId="44" fontId="1" fillId="0" borderId="1" xfId="2" applyFont="1" applyBorder="1"/>
    <xf numFmtId="0" fontId="7" fillId="2" borderId="18" xfId="0" applyFont="1" applyFill="1" applyBorder="1" applyAlignment="1">
      <alignment horizontal="right" wrapText="1"/>
    </xf>
    <xf numFmtId="43" fontId="6" fillId="2" borderId="19" xfId="0" applyNumberFormat="1" applyFont="1" applyFill="1" applyBorder="1" applyAlignment="1">
      <alignment horizontal="right" vertical="center"/>
    </xf>
    <xf numFmtId="0" fontId="6" fillId="2" borderId="20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wrapText="1"/>
    </xf>
    <xf numFmtId="43" fontId="6" fillId="2" borderId="24" xfId="0" applyNumberFormat="1" applyFont="1" applyFill="1" applyBorder="1" applyAlignment="1">
      <alignment horizontal="right" vertical="center"/>
    </xf>
    <xf numFmtId="0" fontId="6" fillId="2" borderId="25" xfId="0" applyFont="1" applyFill="1" applyBorder="1" applyAlignment="1">
      <alignment vertical="center"/>
    </xf>
    <xf numFmtId="0" fontId="7" fillId="6" borderId="2" xfId="0" applyFont="1" applyFill="1" applyBorder="1" applyAlignment="1">
      <alignment horizontal="right" vertical="center" wrapText="1"/>
    </xf>
    <xf numFmtId="44" fontId="6" fillId="6" borderId="3" xfId="2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right" wrapText="1"/>
    </xf>
    <xf numFmtId="43" fontId="6" fillId="5" borderId="0" xfId="0" applyNumberFormat="1" applyFont="1" applyFill="1" applyAlignment="1">
      <alignment horizontal="center" vertical="center"/>
    </xf>
    <xf numFmtId="0" fontId="6" fillId="5" borderId="10" xfId="0" applyFont="1" applyFill="1" applyBorder="1" applyAlignment="1">
      <alignment vertical="center"/>
    </xf>
    <xf numFmtId="0" fontId="7" fillId="6" borderId="39" xfId="0" applyFont="1" applyFill="1" applyBorder="1" applyAlignment="1">
      <alignment horizontal="right" vertical="center"/>
    </xf>
    <xf numFmtId="44" fontId="6" fillId="6" borderId="7" xfId="2" applyFont="1" applyFill="1" applyBorder="1" applyAlignment="1">
      <alignment horizontal="center" vertical="center"/>
    </xf>
    <xf numFmtId="44" fontId="6" fillId="6" borderId="8" xfId="2" applyFont="1" applyFill="1" applyBorder="1" applyAlignment="1">
      <alignment horizontal="center" vertical="center"/>
    </xf>
    <xf numFmtId="44" fontId="6" fillId="6" borderId="11" xfId="2" applyFont="1" applyFill="1" applyBorder="1" applyAlignment="1">
      <alignment horizontal="center" vertical="center"/>
    </xf>
    <xf numFmtId="44" fontId="6" fillId="6" borderId="12" xfId="2" applyFont="1" applyFill="1" applyBorder="1" applyAlignment="1">
      <alignment horizontal="center" vertical="center"/>
    </xf>
    <xf numFmtId="44" fontId="1" fillId="0" borderId="20" xfId="0" applyNumberFormat="1" applyFont="1" applyBorder="1"/>
    <xf numFmtId="44" fontId="1" fillId="0" borderId="25" xfId="0" applyNumberFormat="1" applyFont="1" applyBorder="1"/>
    <xf numFmtId="44" fontId="1" fillId="0" borderId="16" xfId="2" applyFont="1" applyBorder="1"/>
    <xf numFmtId="44" fontId="1" fillId="0" borderId="20" xfId="2" applyFont="1" applyBorder="1"/>
    <xf numFmtId="44" fontId="1" fillId="0" borderId="25" xfId="2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4" fontId="1" fillId="0" borderId="16" xfId="0" applyNumberFormat="1" applyFont="1" applyBorder="1" applyAlignment="1">
      <alignment horizontal="center" vertical="center" wrapText="1"/>
    </xf>
    <xf numFmtId="0" fontId="1" fillId="10" borderId="1" xfId="0" applyFont="1" applyFill="1" applyBorder="1"/>
    <xf numFmtId="0" fontId="1" fillId="6" borderId="16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4" fontId="6" fillId="6" borderId="49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9" borderId="2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horizontal="center"/>
    </xf>
    <xf numFmtId="4" fontId="2" fillId="10" borderId="44" xfId="0" applyNumberFormat="1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4" fontId="1" fillId="0" borderId="58" xfId="0" applyNumberFormat="1" applyFont="1" applyBorder="1" applyAlignment="1">
      <alignment horizontal="center"/>
    </xf>
    <xf numFmtId="43" fontId="1" fillId="0" borderId="15" xfId="1" applyFont="1" applyBorder="1"/>
    <xf numFmtId="43" fontId="1" fillId="0" borderId="15" xfId="0" applyNumberFormat="1" applyFont="1" applyBorder="1"/>
    <xf numFmtId="0" fontId="1" fillId="0" borderId="52" xfId="0" applyFont="1" applyBorder="1"/>
    <xf numFmtId="0" fontId="2" fillId="0" borderId="21" xfId="0" applyFont="1" applyBorder="1" applyAlignment="1">
      <alignment horizontal="right" wrapText="1"/>
    </xf>
    <xf numFmtId="0" fontId="1" fillId="0" borderId="36" xfId="0" applyFont="1" applyBorder="1"/>
    <xf numFmtId="43" fontId="1" fillId="0" borderId="14" xfId="1" applyFont="1" applyFill="1" applyBorder="1"/>
    <xf numFmtId="0" fontId="1" fillId="0" borderId="38" xfId="0" applyFont="1" applyBorder="1"/>
    <xf numFmtId="165" fontId="6" fillId="2" borderId="4" xfId="1" applyNumberFormat="1" applyFont="1" applyFill="1" applyBorder="1" applyAlignment="1">
      <alignment vertical="center"/>
    </xf>
    <xf numFmtId="4" fontId="6" fillId="2" borderId="61" xfId="1" applyNumberFormat="1" applyFont="1" applyFill="1" applyBorder="1" applyAlignment="1">
      <alignment vertical="center"/>
    </xf>
    <xf numFmtId="0" fontId="6" fillId="2" borderId="60" xfId="0" applyFont="1" applyFill="1" applyBorder="1" applyAlignment="1">
      <alignment vertical="center"/>
    </xf>
    <xf numFmtId="0" fontId="7" fillId="2" borderId="21" xfId="0" applyFont="1" applyFill="1" applyBorder="1" applyAlignment="1">
      <alignment horizontal="right" wrapText="1"/>
    </xf>
    <xf numFmtId="0" fontId="6" fillId="2" borderId="52" xfId="0" applyFont="1" applyFill="1" applyBorder="1" applyAlignment="1">
      <alignment vertical="center"/>
    </xf>
    <xf numFmtId="165" fontId="6" fillId="2" borderId="35" xfId="1" applyNumberFormat="1" applyFont="1" applyFill="1" applyBorder="1" applyAlignment="1">
      <alignment vertical="center"/>
    </xf>
    <xf numFmtId="0" fontId="6" fillId="2" borderId="36" xfId="0" applyFont="1" applyFill="1" applyBorder="1" applyAlignment="1">
      <alignment vertical="center"/>
    </xf>
    <xf numFmtId="0" fontId="1" fillId="0" borderId="62" xfId="0" applyFont="1" applyBorder="1"/>
    <xf numFmtId="0" fontId="2" fillId="0" borderId="47" xfId="0" applyFont="1" applyBorder="1" applyAlignment="1">
      <alignment horizontal="right" vertical="center"/>
    </xf>
    <xf numFmtId="0" fontId="7" fillId="5" borderId="18" xfId="0" applyFont="1" applyFill="1" applyBorder="1" applyAlignment="1">
      <alignment horizontal="right" wrapText="1"/>
    </xf>
    <xf numFmtId="43" fontId="6" fillId="5" borderId="61" xfId="0" applyNumberFormat="1" applyFont="1" applyFill="1" applyBorder="1" applyAlignment="1">
      <alignment horizontal="center" vertical="center"/>
    </xf>
    <xf numFmtId="0" fontId="6" fillId="5" borderId="60" xfId="0" applyFont="1" applyFill="1" applyBorder="1" applyAlignment="1">
      <alignment vertical="center"/>
    </xf>
    <xf numFmtId="0" fontId="7" fillId="4" borderId="18" xfId="0" applyFont="1" applyFill="1" applyBorder="1" applyAlignment="1">
      <alignment horizontal="right" wrapText="1"/>
    </xf>
    <xf numFmtId="0" fontId="7" fillId="4" borderId="23" xfId="0" applyFont="1" applyFill="1" applyBorder="1" applyAlignment="1">
      <alignment horizontal="right" wrapText="1"/>
    </xf>
    <xf numFmtId="0" fontId="1" fillId="2" borderId="60" xfId="0" applyFont="1" applyFill="1" applyBorder="1"/>
    <xf numFmtId="0" fontId="1" fillId="2" borderId="36" xfId="0" applyFont="1" applyFill="1" applyBorder="1"/>
    <xf numFmtId="164" fontId="1" fillId="7" borderId="13" xfId="3" applyNumberFormat="1" applyFont="1" applyFill="1" applyBorder="1" applyAlignment="1">
      <alignment horizontal="left"/>
    </xf>
    <xf numFmtId="3" fontId="1" fillId="2" borderId="4" xfId="0" applyNumberFormat="1" applyFont="1" applyFill="1" applyBorder="1" applyAlignment="1">
      <alignment horizontal="center"/>
    </xf>
    <xf numFmtId="3" fontId="1" fillId="0" borderId="51" xfId="0" applyNumberFormat="1" applyFont="1" applyBorder="1" applyAlignment="1">
      <alignment horizontal="center"/>
    </xf>
    <xf numFmtId="0" fontId="1" fillId="2" borderId="37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left"/>
    </xf>
    <xf numFmtId="0" fontId="4" fillId="7" borderId="1" xfId="0" applyFont="1" applyFill="1" applyBorder="1" applyAlignment="1">
      <alignment horizontal="left"/>
    </xf>
    <xf numFmtId="0" fontId="4" fillId="7" borderId="1" xfId="0" applyFont="1" applyFill="1" applyBorder="1"/>
    <xf numFmtId="0" fontId="4" fillId="7" borderId="4" xfId="0" applyFont="1" applyFill="1" applyBorder="1"/>
    <xf numFmtId="4" fontId="1" fillId="2" borderId="58" xfId="0" applyNumberFormat="1" applyFont="1" applyFill="1" applyBorder="1" applyAlignment="1">
      <alignment horizontal="center"/>
    </xf>
    <xf numFmtId="4" fontId="1" fillId="2" borderId="58" xfId="0" applyNumberFormat="1" applyFont="1" applyFill="1" applyBorder="1" applyAlignment="1">
      <alignment horizontal="center" vertical="center"/>
    </xf>
    <xf numFmtId="3" fontId="1" fillId="12" borderId="58" xfId="0" applyNumberFormat="1" applyFont="1" applyFill="1" applyBorder="1" applyAlignment="1">
      <alignment horizontal="center"/>
    </xf>
    <xf numFmtId="0" fontId="1" fillId="12" borderId="37" xfId="0" applyFont="1" applyFill="1" applyBorder="1" applyAlignment="1">
      <alignment horizontal="center"/>
    </xf>
    <xf numFmtId="3" fontId="1" fillId="12" borderId="35" xfId="0" applyNumberFormat="1" applyFont="1" applyFill="1" applyBorder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9" xfId="0" applyFont="1" applyBorder="1"/>
    <xf numFmtId="0" fontId="1" fillId="0" borderId="0" xfId="0" applyFont="1" applyAlignment="1">
      <alignment vertical="center" wrapText="1"/>
    </xf>
    <xf numFmtId="0" fontId="7" fillId="11" borderId="0" xfId="0" applyFont="1" applyFill="1"/>
    <xf numFmtId="0" fontId="6" fillId="13" borderId="60" xfId="0" applyFont="1" applyFill="1" applyBorder="1"/>
    <xf numFmtId="4" fontId="1" fillId="2" borderId="50" xfId="0" applyNumberFormat="1" applyFont="1" applyFill="1" applyBorder="1" applyAlignment="1">
      <alignment horizontal="center"/>
    </xf>
    <xf numFmtId="4" fontId="1" fillId="0" borderId="50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43" fontId="1" fillId="3" borderId="33" xfId="1" applyFont="1" applyFill="1" applyBorder="1"/>
    <xf numFmtId="165" fontId="1" fillId="3" borderId="4" xfId="1" applyNumberFormat="1" applyFont="1" applyFill="1" applyBorder="1"/>
    <xf numFmtId="0" fontId="1" fillId="4" borderId="0" xfId="0" applyFont="1" applyFill="1"/>
    <xf numFmtId="0" fontId="1" fillId="0" borderId="0" xfId="0" applyFont="1" applyAlignment="1">
      <alignment wrapText="1"/>
    </xf>
    <xf numFmtId="43" fontId="1" fillId="4" borderId="15" xfId="0" applyNumberFormat="1" applyFont="1" applyFill="1" applyBorder="1"/>
    <xf numFmtId="9" fontId="1" fillId="2" borderId="15" xfId="3" applyFont="1" applyFill="1" applyBorder="1"/>
    <xf numFmtId="0" fontId="2" fillId="0" borderId="18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43" fontId="1" fillId="3" borderId="1" xfId="1" applyFont="1" applyFill="1" applyBorder="1"/>
    <xf numFmtId="9" fontId="1" fillId="2" borderId="1" xfId="3" applyFont="1" applyFill="1" applyBorder="1" applyAlignment="1">
      <alignment vertical="center"/>
    </xf>
    <xf numFmtId="43" fontId="1" fillId="2" borderId="1" xfId="0" applyNumberFormat="1" applyFont="1" applyFill="1" applyBorder="1"/>
    <xf numFmtId="43" fontId="1" fillId="3" borderId="1" xfId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3" fontId="1" fillId="3" borderId="1" xfId="1" applyFont="1" applyFill="1" applyBorder="1" applyAlignment="1"/>
    <xf numFmtId="44" fontId="1" fillId="0" borderId="1" xfId="0" applyNumberFormat="1" applyFont="1" applyBorder="1"/>
    <xf numFmtId="44" fontId="1" fillId="3" borderId="1" xfId="2" applyFont="1" applyFill="1" applyBorder="1"/>
    <xf numFmtId="44" fontId="7" fillId="0" borderId="0" xfId="0" applyNumberFormat="1" applyFont="1"/>
    <xf numFmtId="0" fontId="1" fillId="0" borderId="1" xfId="0" applyFont="1" applyBorder="1" applyAlignment="1">
      <alignment horizontal="center" vertical="center"/>
    </xf>
    <xf numFmtId="44" fontId="1" fillId="2" borderId="0" xfId="0" applyNumberFormat="1" applyFont="1" applyFill="1"/>
    <xf numFmtId="4" fontId="1" fillId="0" borderId="19" xfId="0" applyNumberFormat="1" applyFont="1" applyBorder="1"/>
    <xf numFmtId="4" fontId="1" fillId="0" borderId="24" xfId="0" applyNumberFormat="1" applyFont="1" applyBorder="1"/>
    <xf numFmtId="44" fontId="6" fillId="0" borderId="0" xfId="2" applyFont="1" applyAlignment="1">
      <alignment horizontal="center"/>
    </xf>
    <xf numFmtId="44" fontId="6" fillId="0" borderId="0" xfId="0" applyNumberFormat="1" applyFont="1"/>
    <xf numFmtId="164" fontId="1" fillId="0" borderId="0" xfId="3" applyNumberFormat="1" applyFont="1" applyAlignment="1">
      <alignment horizontal="center"/>
    </xf>
    <xf numFmtId="44" fontId="1" fillId="6" borderId="1" xfId="0" applyNumberFormat="1" applyFont="1" applyFill="1" applyBorder="1"/>
    <xf numFmtId="0" fontId="1" fillId="6" borderId="1" xfId="0" applyFont="1" applyFill="1" applyBorder="1"/>
    <xf numFmtId="44" fontId="1" fillId="3" borderId="1" xfId="2" applyFont="1" applyFill="1" applyBorder="1" applyAlignment="1"/>
    <xf numFmtId="4" fontId="1" fillId="0" borderId="65" xfId="0" applyNumberFormat="1" applyFont="1" applyBorder="1" applyAlignment="1">
      <alignment horizontal="left" wrapText="1"/>
    </xf>
    <xf numFmtId="4" fontId="1" fillId="0" borderId="0" xfId="0" applyNumberFormat="1" applyFont="1"/>
    <xf numFmtId="4" fontId="1" fillId="0" borderId="1" xfId="0" applyNumberFormat="1" applyFont="1" applyBorder="1" applyAlignment="1">
      <alignment vertical="center"/>
    </xf>
    <xf numFmtId="0" fontId="7" fillId="0" borderId="23" xfId="0" applyFont="1" applyBorder="1" applyAlignment="1">
      <alignment horizontal="right" vertical="center"/>
    </xf>
    <xf numFmtId="4" fontId="6" fillId="0" borderId="24" xfId="0" applyNumberFormat="1" applyFont="1" applyBorder="1" applyAlignment="1">
      <alignment vertical="center"/>
    </xf>
    <xf numFmtId="0" fontId="6" fillId="0" borderId="25" xfId="0" applyFont="1" applyBorder="1"/>
    <xf numFmtId="0" fontId="7" fillId="0" borderId="39" xfId="0" applyFont="1" applyBorder="1" applyAlignment="1">
      <alignment horizontal="right" vertical="center"/>
    </xf>
    <xf numFmtId="4" fontId="6" fillId="0" borderId="41" xfId="0" applyNumberFormat="1" applyFont="1" applyBorder="1" applyAlignment="1">
      <alignment vertical="center"/>
    </xf>
    <xf numFmtId="0" fontId="17" fillId="0" borderId="0" xfId="0" applyFont="1" applyAlignment="1">
      <alignment horizontal="center"/>
    </xf>
    <xf numFmtId="44" fontId="1" fillId="0" borderId="66" xfId="2" applyFont="1" applyBorder="1"/>
    <xf numFmtId="44" fontId="1" fillId="0" borderId="45" xfId="2" applyFont="1" applyBorder="1"/>
    <xf numFmtId="0" fontId="7" fillId="6" borderId="6" xfId="0" applyFont="1" applyFill="1" applyBorder="1" applyAlignment="1">
      <alignment horizontal="right" vertical="center" wrapText="1"/>
    </xf>
    <xf numFmtId="0" fontId="7" fillId="6" borderId="2" xfId="0" applyFont="1" applyFill="1" applyBorder="1" applyAlignment="1">
      <alignment horizontal="right" vertical="center"/>
    </xf>
    <xf numFmtId="44" fontId="6" fillId="6" borderId="13" xfId="2" applyFont="1" applyFill="1" applyBorder="1" applyAlignment="1">
      <alignment horizontal="center" vertical="center"/>
    </xf>
    <xf numFmtId="44" fontId="1" fillId="3" borderId="0" xfId="2" applyFont="1" applyFill="1"/>
    <xf numFmtId="44" fontId="1" fillId="0" borderId="1" xfId="2" applyFont="1" applyFill="1" applyBorder="1"/>
    <xf numFmtId="0" fontId="19" fillId="0" borderId="0" xfId="0" applyFont="1"/>
    <xf numFmtId="4" fontId="1" fillId="0" borderId="5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4" fontId="7" fillId="0" borderId="0" xfId="2" applyFont="1" applyFill="1" applyAlignment="1"/>
    <xf numFmtId="44" fontId="1" fillId="3" borderId="1" xfId="0" applyNumberFormat="1" applyFont="1" applyFill="1" applyBorder="1"/>
    <xf numFmtId="0" fontId="6" fillId="0" borderId="0" xfId="0" applyFont="1"/>
    <xf numFmtId="44" fontId="2" fillId="0" borderId="0" xfId="2" applyFont="1" applyFill="1" applyBorder="1" applyAlignment="1">
      <alignment horizontal="center"/>
    </xf>
    <xf numFmtId="44" fontId="2" fillId="0" borderId="0" xfId="2" applyFont="1" applyFill="1" applyBorder="1" applyAlignment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right" wrapText="1"/>
    </xf>
    <xf numFmtId="43" fontId="6" fillId="5" borderId="37" xfId="0" applyNumberFormat="1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vertical="center"/>
    </xf>
    <xf numFmtId="44" fontId="1" fillId="0" borderId="0" xfId="2" applyFont="1" applyFill="1" applyBorder="1"/>
    <xf numFmtId="44" fontId="1" fillId="0" borderId="0" xfId="0" applyNumberFormat="1" applyFont="1"/>
    <xf numFmtId="164" fontId="1" fillId="0" borderId="0" xfId="3" applyNumberFormat="1" applyFont="1"/>
    <xf numFmtId="3" fontId="1" fillId="2" borderId="15" xfId="0" applyNumberFormat="1" applyFont="1" applyFill="1" applyBorder="1"/>
    <xf numFmtId="3" fontId="1" fillId="3" borderId="15" xfId="0" applyNumberFormat="1" applyFont="1" applyFill="1" applyBorder="1"/>
    <xf numFmtId="4" fontId="1" fillId="0" borderId="4" xfId="0" applyNumberFormat="1" applyFont="1" applyBorder="1"/>
    <xf numFmtId="0" fontId="1" fillId="0" borderId="61" xfId="0" applyFont="1" applyBorder="1"/>
    <xf numFmtId="4" fontId="1" fillId="0" borderId="37" xfId="0" applyNumberFormat="1" applyFont="1" applyBorder="1"/>
    <xf numFmtId="0" fontId="1" fillId="0" borderId="31" xfId="0" applyFont="1" applyBorder="1"/>
    <xf numFmtId="4" fontId="1" fillId="0" borderId="61" xfId="0" applyNumberFormat="1" applyFont="1" applyBorder="1"/>
    <xf numFmtId="0" fontId="1" fillId="0" borderId="60" xfId="0" applyFont="1" applyBorder="1"/>
    <xf numFmtId="10" fontId="1" fillId="0" borderId="35" xfId="3" applyNumberFormat="1" applyFont="1" applyBorder="1"/>
    <xf numFmtId="4" fontId="1" fillId="2" borderId="4" xfId="0" applyNumberFormat="1" applyFont="1" applyFill="1" applyBorder="1"/>
    <xf numFmtId="4" fontId="6" fillId="0" borderId="35" xfId="0" applyNumberFormat="1" applyFont="1" applyBorder="1"/>
    <xf numFmtId="0" fontId="6" fillId="0" borderId="36" xfId="0" applyFont="1" applyBorder="1"/>
    <xf numFmtId="4" fontId="1" fillId="2" borderId="61" xfId="0" applyNumberFormat="1" applyFont="1" applyFill="1" applyBorder="1"/>
    <xf numFmtId="4" fontId="1" fillId="0" borderId="35" xfId="0" applyNumberFormat="1" applyFont="1" applyBorder="1"/>
    <xf numFmtId="44" fontId="1" fillId="0" borderId="1" xfId="2" applyFont="1" applyFill="1" applyBorder="1" applyAlignment="1">
      <alignment horizontal="center"/>
    </xf>
    <xf numFmtId="4" fontId="1" fillId="2" borderId="15" xfId="0" applyNumberFormat="1" applyFont="1" applyFill="1" applyBorder="1"/>
    <xf numFmtId="0" fontId="6" fillId="7" borderId="13" xfId="0" applyFont="1" applyFill="1" applyBorder="1"/>
    <xf numFmtId="4" fontId="6" fillId="0" borderId="0" xfId="0" applyNumberFormat="1" applyFont="1"/>
    <xf numFmtId="44" fontId="1" fillId="0" borderId="0" xfId="2" applyNumberFormat="1" applyFont="1" applyFill="1"/>
    <xf numFmtId="44" fontId="1" fillId="3" borderId="1" xfId="2" applyFont="1" applyFill="1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right" wrapText="1"/>
    </xf>
    <xf numFmtId="4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43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44" fontId="6" fillId="0" borderId="0" xfId="2" applyFont="1" applyFill="1" applyBorder="1" applyAlignment="1">
      <alignment horizontal="center" vertical="center"/>
    </xf>
    <xf numFmtId="44" fontId="6" fillId="0" borderId="0" xfId="2" applyFont="1" applyFill="1" applyBorder="1" applyAlignment="1">
      <alignment horizontal="center"/>
    </xf>
    <xf numFmtId="0" fontId="7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43" fontId="1" fillId="0" borderId="0" xfId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9" fontId="1" fillId="0" borderId="0" xfId="3" applyFont="1" applyFill="1" applyBorder="1" applyAlignment="1">
      <alignment vertical="center"/>
    </xf>
    <xf numFmtId="43" fontId="1" fillId="0" borderId="0" xfId="0" applyNumberFormat="1" applyFont="1" applyFill="1" applyBorder="1"/>
    <xf numFmtId="0" fontId="7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43" fontId="2" fillId="0" borderId="0" xfId="0" applyNumberFormat="1" applyFont="1" applyAlignment="1">
      <alignment horizontal="right" wrapText="1"/>
    </xf>
    <xf numFmtId="166" fontId="2" fillId="2" borderId="44" xfId="0" applyNumberFormat="1" applyFont="1" applyFill="1" applyBorder="1" applyAlignment="1">
      <alignment horizontal="center"/>
    </xf>
    <xf numFmtId="4" fontId="2" fillId="9" borderId="44" xfId="0" applyNumberFormat="1" applyFont="1" applyFill="1" applyBorder="1" applyAlignment="1">
      <alignment horizontal="center"/>
    </xf>
    <xf numFmtId="4" fontId="2" fillId="6" borderId="44" xfId="0" applyNumberFormat="1" applyFont="1" applyFill="1" applyBorder="1" applyAlignment="1">
      <alignment horizontal="center"/>
    </xf>
    <xf numFmtId="4" fontId="1" fillId="0" borderId="16" xfId="0" applyNumberFormat="1" applyFont="1" applyFill="1" applyBorder="1"/>
    <xf numFmtId="44" fontId="1" fillId="0" borderId="16" xfId="2" applyFont="1" applyFill="1" applyBorder="1" applyAlignment="1">
      <alignment horizontal="center"/>
    </xf>
    <xf numFmtId="43" fontId="7" fillId="0" borderId="3" xfId="0" applyNumberFormat="1" applyFont="1" applyBorder="1"/>
    <xf numFmtId="44" fontId="7" fillId="0" borderId="13" xfId="0" applyNumberFormat="1" applyFont="1" applyBorder="1"/>
    <xf numFmtId="0" fontId="1" fillId="3" borderId="1" xfId="0" applyFont="1" applyFill="1" applyBorder="1"/>
    <xf numFmtId="0" fontId="7" fillId="6" borderId="1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2" fillId="10" borderId="44" xfId="0" applyNumberFormat="1" applyFont="1" applyFill="1" applyBorder="1" applyAlignment="1">
      <alignment horizontal="center"/>
    </xf>
    <xf numFmtId="4" fontId="2" fillId="10" borderId="45" xfId="0" applyNumberFormat="1" applyFont="1" applyFill="1" applyBorder="1" applyAlignment="1">
      <alignment horizontal="center"/>
    </xf>
    <xf numFmtId="0" fontId="6" fillId="6" borderId="43" xfId="0" applyFont="1" applyFill="1" applyBorder="1" applyAlignment="1">
      <alignment horizontal="right"/>
    </xf>
    <xf numFmtId="0" fontId="6" fillId="6" borderId="44" xfId="0" applyFont="1" applyFill="1" applyBorder="1" applyAlignment="1">
      <alignment horizontal="right"/>
    </xf>
    <xf numFmtId="4" fontId="6" fillId="6" borderId="50" xfId="0" applyNumberFormat="1" applyFont="1" applyFill="1" applyBorder="1" applyAlignment="1">
      <alignment horizontal="center"/>
    </xf>
    <xf numFmtId="4" fontId="6" fillId="6" borderId="57" xfId="0" applyNumberFormat="1" applyFont="1" applyFill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6" fillId="0" borderId="7" xfId="0" applyFont="1" applyBorder="1" applyAlignment="1">
      <alignment horizontal="right"/>
    </xf>
    <xf numFmtId="44" fontId="6" fillId="15" borderId="7" xfId="0" applyNumberFormat="1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" fontId="1" fillId="10" borderId="4" xfId="0" applyNumberFormat="1" applyFont="1" applyFill="1" applyBorder="1" applyAlignment="1">
      <alignment horizontal="center"/>
    </xf>
    <xf numFmtId="4" fontId="1" fillId="10" borderId="5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14" borderId="0" xfId="0" applyFont="1" applyFill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56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6" fillId="10" borderId="43" xfId="0" applyFont="1" applyFill="1" applyBorder="1" applyAlignment="1">
      <alignment horizontal="right"/>
    </xf>
    <xf numFmtId="0" fontId="6" fillId="10" borderId="44" xfId="0" applyFont="1" applyFill="1" applyBorder="1" applyAlignment="1">
      <alignment horizontal="right"/>
    </xf>
    <xf numFmtId="44" fontId="6" fillId="15" borderId="7" xfId="2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4" fontId="6" fillId="6" borderId="54" xfId="0" applyNumberFormat="1" applyFont="1" applyFill="1" applyBorder="1" applyAlignment="1">
      <alignment horizontal="center"/>
    </xf>
    <xf numFmtId="4" fontId="6" fillId="6" borderId="55" xfId="0" applyNumberFormat="1" applyFont="1" applyFill="1" applyBorder="1" applyAlignment="1">
      <alignment horizontal="center"/>
    </xf>
    <xf numFmtId="4" fontId="1" fillId="0" borderId="16" xfId="0" applyNumberFormat="1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7" fillId="2" borderId="22" xfId="0" applyFont="1" applyFill="1" applyBorder="1" applyAlignment="1">
      <alignment horizontal="center" wrapText="1"/>
    </xf>
    <xf numFmtId="4" fontId="1" fillId="0" borderId="1" xfId="2" applyNumberFormat="1" applyFont="1" applyFill="1" applyBorder="1" applyAlignment="1">
      <alignment horizontal="center"/>
    </xf>
    <xf numFmtId="4" fontId="1" fillId="0" borderId="22" xfId="2" applyNumberFormat="1" applyFont="1" applyFill="1" applyBorder="1" applyAlignment="1">
      <alignment horizontal="center"/>
    </xf>
    <xf numFmtId="4" fontId="1" fillId="0" borderId="52" xfId="0" applyNumberFormat="1" applyFont="1" applyBorder="1" applyAlignment="1">
      <alignment horizontal="center"/>
    </xf>
    <xf numFmtId="4" fontId="1" fillId="0" borderId="16" xfId="2" applyNumberFormat="1" applyFont="1" applyFill="1" applyBorder="1" applyAlignment="1">
      <alignment horizontal="center"/>
    </xf>
    <xf numFmtId="4" fontId="1" fillId="0" borderId="53" xfId="2" applyNumberFormat="1" applyFont="1" applyFill="1" applyBorder="1" applyAlignment="1">
      <alignment horizontal="center"/>
    </xf>
    <xf numFmtId="0" fontId="6" fillId="2" borderId="43" xfId="0" applyFont="1" applyFill="1" applyBorder="1" applyAlignment="1">
      <alignment horizontal="right"/>
    </xf>
    <xf numFmtId="0" fontId="6" fillId="2" borderId="44" xfId="0" applyFont="1" applyFill="1" applyBorder="1" applyAlignment="1">
      <alignment horizontal="right"/>
    </xf>
    <xf numFmtId="166" fontId="6" fillId="2" borderId="54" xfId="0" applyNumberFormat="1" applyFont="1" applyFill="1" applyBorder="1" applyAlignment="1">
      <alignment horizontal="center"/>
    </xf>
    <xf numFmtId="166" fontId="6" fillId="2" borderId="13" xfId="0" applyNumberFormat="1" applyFont="1" applyFill="1" applyBorder="1" applyAlignment="1">
      <alignment horizontal="center"/>
    </xf>
    <xf numFmtId="0" fontId="7" fillId="6" borderId="18" xfId="0" applyFont="1" applyFill="1" applyBorder="1" applyAlignment="1">
      <alignment horizontal="center"/>
    </xf>
    <xf numFmtId="0" fontId="7" fillId="6" borderId="19" xfId="0" applyFont="1" applyFill="1" applyBorder="1" applyAlignment="1">
      <alignment horizontal="center"/>
    </xf>
    <xf numFmtId="0" fontId="7" fillId="6" borderId="20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/>
    </xf>
    <xf numFmtId="0" fontId="7" fillId="9" borderId="19" xfId="0" applyFont="1" applyFill="1" applyBorder="1" applyAlignment="1">
      <alignment horizontal="center"/>
    </xf>
    <xf numFmtId="0" fontId="7" fillId="9" borderId="20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 wrapText="1"/>
    </xf>
    <xf numFmtId="0" fontId="7" fillId="9" borderId="22" xfId="0" applyFont="1" applyFill="1" applyBorder="1" applyAlignment="1">
      <alignment horizontal="center" wrapText="1"/>
    </xf>
    <xf numFmtId="0" fontId="6" fillId="9" borderId="43" xfId="0" applyFont="1" applyFill="1" applyBorder="1" applyAlignment="1">
      <alignment horizontal="right"/>
    </xf>
    <xf numFmtId="0" fontId="6" fillId="9" borderId="44" xfId="0" applyFont="1" applyFill="1" applyBorder="1" applyAlignment="1">
      <alignment horizontal="right"/>
    </xf>
    <xf numFmtId="4" fontId="6" fillId="9" borderId="54" xfId="0" applyNumberFormat="1" applyFont="1" applyFill="1" applyBorder="1" applyAlignment="1">
      <alignment horizontal="center"/>
    </xf>
    <xf numFmtId="4" fontId="6" fillId="9" borderId="5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4" fontId="6" fillId="4" borderId="19" xfId="2" applyFont="1" applyFill="1" applyBorder="1" applyAlignment="1">
      <alignment horizontal="center" vertical="center"/>
    </xf>
    <xf numFmtId="44" fontId="6" fillId="4" borderId="20" xfId="2" applyFont="1" applyFill="1" applyBorder="1" applyAlignment="1">
      <alignment horizontal="center" vertical="center"/>
    </xf>
    <xf numFmtId="44" fontId="6" fillId="4" borderId="24" xfId="2" applyFont="1" applyFill="1" applyBorder="1" applyAlignment="1">
      <alignment horizontal="center" vertical="center"/>
    </xf>
    <xf numFmtId="44" fontId="6" fillId="4" borderId="25" xfId="2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2" fillId="0" borderId="37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0" borderId="58" xfId="0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67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64" xfId="0" applyFont="1" applyBorder="1" applyAlignment="1">
      <alignment horizontal="right" vertical="center"/>
    </xf>
    <xf numFmtId="0" fontId="2" fillId="0" borderId="68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57" xfId="0" applyFont="1" applyBorder="1" applyAlignment="1">
      <alignment horizontal="right" vertical="center"/>
    </xf>
    <xf numFmtId="0" fontId="17" fillId="0" borderId="0" xfId="0" applyFont="1" applyAlignment="1">
      <alignment horizontal="center"/>
    </xf>
    <xf numFmtId="0" fontId="2" fillId="0" borderId="21" xfId="0" applyFont="1" applyBorder="1" applyAlignment="1">
      <alignment horizontal="right"/>
    </xf>
    <xf numFmtId="0" fontId="6" fillId="12" borderId="18" xfId="0" applyFont="1" applyFill="1" applyBorder="1" applyAlignment="1">
      <alignment horizontal="center"/>
    </xf>
    <xf numFmtId="0" fontId="6" fillId="12" borderId="19" xfId="0" applyFont="1" applyFill="1" applyBorder="1" applyAlignment="1">
      <alignment horizontal="center"/>
    </xf>
    <xf numFmtId="0" fontId="6" fillId="12" borderId="20" xfId="0" applyFont="1" applyFill="1" applyBorder="1" applyAlignment="1">
      <alignment horizontal="center"/>
    </xf>
    <xf numFmtId="0" fontId="2" fillId="12" borderId="2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12" borderId="22" xfId="0" applyFont="1" applyFill="1" applyBorder="1" applyAlignment="1">
      <alignment horizontal="center"/>
    </xf>
    <xf numFmtId="0" fontId="2" fillId="0" borderId="23" xfId="0" applyFont="1" applyBorder="1" applyAlignment="1">
      <alignment horizontal="right"/>
    </xf>
    <xf numFmtId="0" fontId="2" fillId="0" borderId="24" xfId="0" applyFont="1" applyBorder="1" applyAlignment="1">
      <alignment horizontal="right"/>
    </xf>
    <xf numFmtId="0" fontId="2" fillId="0" borderId="3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43" fontId="1" fillId="2" borderId="61" xfId="0" applyNumberFormat="1" applyFont="1" applyFill="1" applyBorder="1" applyAlignment="1">
      <alignment horizontal="center"/>
    </xf>
    <xf numFmtId="43" fontId="1" fillId="2" borderId="59" xfId="0" applyNumberFormat="1" applyFont="1" applyFill="1" applyBorder="1" applyAlignment="1">
      <alignment horizontal="center"/>
    </xf>
    <xf numFmtId="0" fontId="2" fillId="2" borderId="18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61" xfId="0" applyFont="1" applyFill="1" applyBorder="1" applyAlignment="1">
      <alignment horizontal="right"/>
    </xf>
    <xf numFmtId="164" fontId="6" fillId="13" borderId="50" xfId="3" applyNumberFormat="1" applyFont="1" applyFill="1" applyBorder="1" applyAlignment="1">
      <alignment horizontal="center"/>
    </xf>
    <xf numFmtId="164" fontId="6" fillId="13" borderId="11" xfId="3" applyNumberFormat="1" applyFont="1" applyFill="1" applyBorder="1" applyAlignment="1">
      <alignment horizontal="center"/>
    </xf>
    <xf numFmtId="164" fontId="6" fillId="13" borderId="12" xfId="3" applyNumberFormat="1" applyFont="1" applyFill="1" applyBorder="1" applyAlignment="1">
      <alignment horizontal="center"/>
    </xf>
    <xf numFmtId="0" fontId="2" fillId="7" borderId="2" xfId="0" applyFont="1" applyFill="1" applyBorder="1" applyAlignment="1">
      <alignment horizontal="right" vertical="center"/>
    </xf>
    <xf numFmtId="0" fontId="2" fillId="7" borderId="3" xfId="0" applyFont="1" applyFill="1" applyBorder="1" applyAlignment="1">
      <alignment horizontal="right" vertical="center"/>
    </xf>
    <xf numFmtId="0" fontId="2" fillId="7" borderId="55" xfId="0" applyFont="1" applyFill="1" applyBorder="1" applyAlignment="1">
      <alignment horizontal="right" vertical="center"/>
    </xf>
    <xf numFmtId="0" fontId="1" fillId="7" borderId="54" xfId="3" applyNumberFormat="1" applyFont="1" applyFill="1" applyBorder="1" applyAlignment="1">
      <alignment horizontal="right"/>
    </xf>
    <xf numFmtId="0" fontId="1" fillId="7" borderId="3" xfId="3" applyNumberFormat="1" applyFont="1" applyFill="1" applyBorder="1" applyAlignment="1">
      <alignment horizontal="right"/>
    </xf>
    <xf numFmtId="0" fontId="2" fillId="0" borderId="2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0" borderId="30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2" fillId="0" borderId="3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30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31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64" xfId="0" applyFont="1" applyBorder="1" applyAlignment="1">
      <alignment horizontal="right" vertical="center" wrapText="1"/>
    </xf>
    <xf numFmtId="0" fontId="2" fillId="0" borderId="32" xfId="0" applyFont="1" applyBorder="1" applyAlignment="1">
      <alignment horizontal="right" vertical="center" wrapText="1"/>
    </xf>
    <xf numFmtId="0" fontId="2" fillId="0" borderId="33" xfId="0" applyFont="1" applyBorder="1" applyAlignment="1">
      <alignment horizontal="right" vertical="center" wrapText="1"/>
    </xf>
    <xf numFmtId="0" fontId="2" fillId="0" borderId="34" xfId="0" applyFont="1" applyBorder="1" applyAlignment="1">
      <alignment horizontal="right" vertical="center" wrapText="1"/>
    </xf>
    <xf numFmtId="0" fontId="2" fillId="0" borderId="48" xfId="0" applyFont="1" applyBorder="1" applyAlignment="1">
      <alignment horizontal="right"/>
    </xf>
    <xf numFmtId="0" fontId="2" fillId="0" borderId="59" xfId="0" applyFont="1" applyBorder="1" applyAlignment="1">
      <alignment horizontal="right"/>
    </xf>
    <xf numFmtId="0" fontId="2" fillId="0" borderId="63" xfId="0" applyFont="1" applyBorder="1" applyAlignment="1">
      <alignment horizontal="right"/>
    </xf>
    <xf numFmtId="0" fontId="6" fillId="7" borderId="18" xfId="0" applyFont="1" applyFill="1" applyBorder="1" applyAlignment="1">
      <alignment horizontal="center"/>
    </xf>
    <xf numFmtId="0" fontId="6" fillId="7" borderId="19" xfId="0" applyFont="1" applyFill="1" applyBorder="1" applyAlignment="1">
      <alignment horizontal="center"/>
    </xf>
    <xf numFmtId="0" fontId="6" fillId="7" borderId="27" xfId="0" applyFont="1" applyFill="1" applyBorder="1" applyAlignment="1">
      <alignment horizontal="center"/>
    </xf>
    <xf numFmtId="0" fontId="6" fillId="7" borderId="28" xfId="0" applyFont="1" applyFill="1" applyBorder="1" applyAlignment="1">
      <alignment horizontal="center"/>
    </xf>
    <xf numFmtId="0" fontId="6" fillId="4" borderId="47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6" fillId="13" borderId="18" xfId="0" applyFont="1" applyFill="1" applyBorder="1" applyAlignment="1">
      <alignment horizontal="center"/>
    </xf>
    <xf numFmtId="0" fontId="6" fillId="13" borderId="19" xfId="0" applyFont="1" applyFill="1" applyBorder="1" applyAlignment="1">
      <alignment horizontal="center"/>
    </xf>
    <xf numFmtId="0" fontId="6" fillId="13" borderId="20" xfId="0" applyFont="1" applyFill="1" applyBorder="1" applyAlignment="1">
      <alignment horizontal="center"/>
    </xf>
    <xf numFmtId="0" fontId="6" fillId="2" borderId="47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56" xfId="0" applyFont="1" applyFill="1" applyBorder="1" applyAlignment="1">
      <alignment horizontal="center"/>
    </xf>
    <xf numFmtId="0" fontId="6" fillId="2" borderId="66" xfId="0" applyFont="1" applyFill="1" applyBorder="1" applyAlignment="1">
      <alignment horizontal="center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44" fontId="1" fillId="0" borderId="35" xfId="0" applyNumberFormat="1" applyFont="1" applyBorder="1" applyAlignment="1">
      <alignment horizontal="center"/>
    </xf>
    <xf numFmtId="44" fontId="1" fillId="0" borderId="36" xfId="0" applyNumberFormat="1" applyFont="1" applyBorder="1" applyAlignment="1">
      <alignment horizontal="center"/>
    </xf>
    <xf numFmtId="0" fontId="2" fillId="0" borderId="1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29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44" fontId="1" fillId="0" borderId="37" xfId="2" applyFont="1" applyBorder="1" applyAlignment="1">
      <alignment horizontal="center"/>
    </xf>
    <xf numFmtId="44" fontId="1" fillId="0" borderId="38" xfId="2" applyFont="1" applyBorder="1" applyAlignment="1">
      <alignment horizontal="center"/>
    </xf>
    <xf numFmtId="0" fontId="2" fillId="5" borderId="26" xfId="0" applyFont="1" applyFill="1" applyBorder="1" applyAlignment="1">
      <alignment horizontal="left"/>
    </xf>
    <xf numFmtId="0" fontId="2" fillId="5" borderId="27" xfId="0" applyFont="1" applyFill="1" applyBorder="1" applyAlignment="1">
      <alignment horizontal="left"/>
    </xf>
    <xf numFmtId="0" fontId="2" fillId="5" borderId="28" xfId="0" applyFont="1" applyFill="1" applyBorder="1" applyAlignment="1">
      <alignment horizontal="left"/>
    </xf>
    <xf numFmtId="0" fontId="2" fillId="0" borderId="29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44" fontId="1" fillId="0" borderId="35" xfId="2" applyFont="1" applyBorder="1" applyAlignment="1">
      <alignment horizontal="center"/>
    </xf>
    <xf numFmtId="44" fontId="1" fillId="0" borderId="36" xfId="2" applyFont="1" applyBorder="1" applyAlignment="1">
      <alignment horizontal="center"/>
    </xf>
    <xf numFmtId="43" fontId="1" fillId="2" borderId="35" xfId="0" applyNumberFormat="1" applyFont="1" applyFill="1" applyBorder="1" applyAlignment="1">
      <alignment horizontal="center"/>
    </xf>
    <xf numFmtId="43" fontId="1" fillId="2" borderId="40" xfId="0" applyNumberFormat="1" applyFont="1" applyFill="1" applyBorder="1" applyAlignment="1">
      <alignment horizontal="center"/>
    </xf>
    <xf numFmtId="43" fontId="6" fillId="13" borderId="61" xfId="0" applyNumberFormat="1" applyFont="1" applyFill="1" applyBorder="1" applyAlignment="1">
      <alignment horizontal="center"/>
    </xf>
    <xf numFmtId="43" fontId="6" fillId="13" borderId="59" xfId="0" applyNumberFormat="1" applyFont="1" applyFill="1" applyBorder="1" applyAlignment="1">
      <alignment horizontal="center"/>
    </xf>
    <xf numFmtId="0" fontId="7" fillId="13" borderId="18" xfId="0" applyFont="1" applyFill="1" applyBorder="1" applyAlignment="1">
      <alignment horizontal="right" vertical="center"/>
    </xf>
    <xf numFmtId="0" fontId="7" fillId="13" borderId="19" xfId="0" applyFont="1" applyFill="1" applyBorder="1" applyAlignment="1">
      <alignment horizontal="right" vertical="center"/>
    </xf>
    <xf numFmtId="0" fontId="7" fillId="13" borderId="61" xfId="0" applyFont="1" applyFill="1" applyBorder="1" applyAlignment="1">
      <alignment horizontal="right" vertical="center"/>
    </xf>
    <xf numFmtId="0" fontId="7" fillId="13" borderId="23" xfId="0" applyFont="1" applyFill="1" applyBorder="1" applyAlignment="1">
      <alignment horizontal="right" vertical="center"/>
    </xf>
    <xf numFmtId="0" fontId="7" fillId="13" borderId="24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right"/>
    </xf>
    <xf numFmtId="0" fontId="2" fillId="2" borderId="24" xfId="0" applyFont="1" applyFill="1" applyBorder="1" applyAlignment="1">
      <alignment horizontal="right"/>
    </xf>
    <xf numFmtId="0" fontId="2" fillId="2" borderId="35" xfId="0" applyFont="1" applyFill="1" applyBorder="1" applyAlignment="1">
      <alignment horizontal="right"/>
    </xf>
    <xf numFmtId="0" fontId="2" fillId="9" borderId="18" xfId="0" applyFont="1" applyFill="1" applyBorder="1" applyAlignment="1">
      <alignment horizontal="left"/>
    </xf>
    <xf numFmtId="0" fontId="2" fillId="9" borderId="19" xfId="0" applyFont="1" applyFill="1" applyBorder="1" applyAlignment="1">
      <alignment horizontal="left"/>
    </xf>
    <xf numFmtId="0" fontId="2" fillId="9" borderId="20" xfId="0" applyFont="1" applyFill="1" applyBorder="1" applyAlignment="1">
      <alignment horizontal="left"/>
    </xf>
    <xf numFmtId="43" fontId="6" fillId="7" borderId="3" xfId="3" applyNumberFormat="1" applyFont="1" applyFill="1" applyBorder="1" applyAlignment="1">
      <alignment horizontal="center"/>
    </xf>
    <xf numFmtId="0" fontId="6" fillId="7" borderId="3" xfId="3" applyNumberFormat="1" applyFont="1" applyFill="1" applyBorder="1" applyAlignment="1">
      <alignment horizontal="center"/>
    </xf>
    <xf numFmtId="0" fontId="6" fillId="6" borderId="0" xfId="0" applyFont="1" applyFill="1" applyAlignment="1">
      <alignment horizontal="left"/>
    </xf>
    <xf numFmtId="0" fontId="7" fillId="10" borderId="0" xfId="0" applyFont="1" applyFill="1" applyAlignment="1">
      <alignment horizontal="center"/>
    </xf>
    <xf numFmtId="0" fontId="2" fillId="0" borderId="42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7" borderId="18" xfId="0" applyFont="1" applyFill="1" applyBorder="1" applyAlignment="1">
      <alignment horizontal="left"/>
    </xf>
    <xf numFmtId="0" fontId="2" fillId="7" borderId="19" xfId="0" applyFont="1" applyFill="1" applyBorder="1" applyAlignment="1">
      <alignment horizontal="left"/>
    </xf>
    <xf numFmtId="0" fontId="2" fillId="7" borderId="20" xfId="0" applyFont="1" applyFill="1" applyBorder="1" applyAlignment="1">
      <alignment horizontal="left"/>
    </xf>
    <xf numFmtId="0" fontId="2" fillId="8" borderId="26" xfId="0" applyFont="1" applyFill="1" applyBorder="1" applyAlignment="1">
      <alignment horizontal="left"/>
    </xf>
    <xf numFmtId="0" fontId="2" fillId="8" borderId="27" xfId="0" applyFont="1" applyFill="1" applyBorder="1" applyAlignment="1">
      <alignment horizontal="left"/>
    </xf>
    <xf numFmtId="0" fontId="2" fillId="8" borderId="28" xfId="0" applyFont="1" applyFill="1" applyBorder="1" applyAlignment="1">
      <alignment horizontal="left"/>
    </xf>
    <xf numFmtId="0" fontId="2" fillId="0" borderId="39" xfId="0" applyFont="1" applyBorder="1" applyAlignment="1">
      <alignment horizontal="right"/>
    </xf>
    <xf numFmtId="0" fontId="2" fillId="0" borderId="40" xfId="0" applyFont="1" applyBorder="1" applyAlignment="1">
      <alignment horizontal="right"/>
    </xf>
    <xf numFmtId="0" fontId="2" fillId="0" borderId="41" xfId="0" applyFont="1" applyBorder="1" applyAlignment="1">
      <alignment horizontal="right"/>
    </xf>
    <xf numFmtId="0" fontId="2" fillId="0" borderId="5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43" fontId="6" fillId="0" borderId="3" xfId="1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 wrapText="1"/>
    </xf>
    <xf numFmtId="43" fontId="1" fillId="0" borderId="1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6" fillId="0" borderId="14" xfId="0" applyFont="1" applyBorder="1" applyAlignment="1">
      <alignment horizontal="right"/>
    </xf>
    <xf numFmtId="0" fontId="6" fillId="16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9" xfId="0" applyFont="1" applyBorder="1" applyAlignment="1">
      <alignment horizontal="right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6" fillId="9" borderId="0" xfId="0" applyFont="1" applyFill="1" applyAlignment="1">
      <alignment horizontal="center"/>
    </xf>
    <xf numFmtId="0" fontId="7" fillId="0" borderId="23" xfId="0" applyFont="1" applyBorder="1" applyAlignment="1">
      <alignment horizontal="right" vertical="center"/>
    </xf>
    <xf numFmtId="0" fontId="7" fillId="0" borderId="24" xfId="0" applyFont="1" applyBorder="1" applyAlignment="1">
      <alignment horizontal="right" vertical="center"/>
    </xf>
    <xf numFmtId="0" fontId="7" fillId="9" borderId="0" xfId="0" applyFont="1" applyFill="1" applyAlignment="1">
      <alignment horizontal="center"/>
    </xf>
    <xf numFmtId="43" fontId="2" fillId="2" borderId="4" xfId="1" applyFont="1" applyFill="1" applyBorder="1" applyAlignment="1">
      <alignment horizontal="center" wrapText="1"/>
    </xf>
    <xf numFmtId="43" fontId="2" fillId="2" borderId="5" xfId="1" applyFont="1" applyFill="1" applyBorder="1" applyAlignment="1">
      <alignment horizontal="center" wrapText="1"/>
    </xf>
    <xf numFmtId="43" fontId="1" fillId="0" borderId="16" xfId="1" applyFont="1" applyFill="1" applyBorder="1" applyAlignment="1">
      <alignment horizontal="center"/>
    </xf>
    <xf numFmtId="43" fontId="7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6" xfId="0" applyFont="1" applyFill="1" applyBorder="1" applyAlignment="1">
      <alignment horizontal="right"/>
    </xf>
    <xf numFmtId="0" fontId="1" fillId="0" borderId="0" xfId="0" applyFont="1" applyAlignment="1">
      <alignment horizontal="left"/>
    </xf>
    <xf numFmtId="44" fontId="1" fillId="0" borderId="0" xfId="2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2" fillId="4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0" fontId="17" fillId="0" borderId="11" xfId="0" applyFont="1" applyBorder="1" applyAlignment="1">
      <alignment horizontal="center"/>
    </xf>
    <xf numFmtId="0" fontId="2" fillId="13" borderId="18" xfId="0" applyFont="1" applyFill="1" applyBorder="1" applyAlignment="1">
      <alignment horizontal="left"/>
    </xf>
    <xf numFmtId="0" fontId="2" fillId="13" borderId="19" xfId="0" applyFont="1" applyFill="1" applyBorder="1" applyAlignment="1">
      <alignment horizontal="left"/>
    </xf>
    <xf numFmtId="0" fontId="2" fillId="13" borderId="20" xfId="0" applyFont="1" applyFill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dps.ny.gov/system/files/documents/2023/12/nys-trm-v11_filing.pdf" TargetMode="External"/><Relationship Id="rId3" Type="http://schemas.openxmlformats.org/officeDocument/2006/relationships/hyperlink" Target="https://pvwatts.nrel.gov/pvwatts.php" TargetMode="External"/><Relationship Id="rId7" Type="http://schemas.openxmlformats.org/officeDocument/2006/relationships/hyperlink" Target="https://www.energystar.gov/productfinder/product/certified-water-heaters/results" TargetMode="External"/><Relationship Id="rId12" Type="http://schemas.openxmlformats.org/officeDocument/2006/relationships/vmlDrawing" Target="../drawings/vmlDrawing7.vml"/><Relationship Id="rId2" Type="http://schemas.openxmlformats.org/officeDocument/2006/relationships/hyperlink" Target="https://www.timeanddate.com/sun/usa/rochester" TargetMode="External"/><Relationship Id="rId1" Type="http://schemas.openxmlformats.org/officeDocument/2006/relationships/hyperlink" Target="https://www.solarenergylocal.com/states/new-york/rochester/" TargetMode="External"/><Relationship Id="rId6" Type="http://schemas.openxmlformats.org/officeDocument/2006/relationships/hyperlink" Target="https://www.rge.com/documents/40137/2123683/2024-01-15+RGE+12-Month+Ave+Supply+Rates_01.15.24.pdf/803dead4-e831-7eae-3cad-db517fe152d9?t=1705324214041" TargetMode="External"/><Relationship Id="rId11" Type="http://schemas.openxmlformats.org/officeDocument/2006/relationships/printerSettings" Target="../printerSettings/printerSettings7.bin"/><Relationship Id="rId5" Type="http://schemas.openxmlformats.org/officeDocument/2006/relationships/hyperlink" Target="https://www.energystar.gov/productfinder/product/certified-central-heat-pumps/results" TargetMode="External"/><Relationship Id="rId10" Type="http://schemas.openxmlformats.org/officeDocument/2006/relationships/hyperlink" Target="https://iwae.com/media/manuals/geocool/gcshp-brochure.pdf" TargetMode="External"/><Relationship Id="rId4" Type="http://schemas.openxmlformats.org/officeDocument/2006/relationships/hyperlink" Target="https://modernize.com/hvac/heating-repair-installation/furnace/furnace-size-calculator" TargetMode="External"/><Relationship Id="rId9" Type="http://schemas.openxmlformats.org/officeDocument/2006/relationships/hyperlink" Target="https://www.ipcc.ch/site/assets/uploads/2018/05/SYR_AR5_FINAL_full_wcover.pd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nordicghp.com/wp-content/uploads/2023/11/002097MAN-04-ISSUE-03-Commercial-W-WH-Series-150-1000.pdf" TargetMode="External"/><Relationship Id="rId1" Type="http://schemas.openxmlformats.org/officeDocument/2006/relationships/hyperlink" Target="https://www.nordicghp.com/wp-content/uploads/2023/11/002097MAN-04-ISSUE-03-Commercial-W-WH-Series-150-1000.pdf" TargetMode="External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8"/>
  <sheetViews>
    <sheetView tabSelected="1" view="pageLayout" zoomScale="90" zoomScaleNormal="100" zoomScalePageLayoutView="90" workbookViewId="0">
      <selection activeCell="H17" sqref="H17"/>
    </sheetView>
  </sheetViews>
  <sheetFormatPr defaultColWidth="8.81640625" defaultRowHeight="14.5" x14ac:dyDescent="0.35"/>
  <cols>
    <col min="1" max="1" width="5.26953125" bestFit="1" customWidth="1"/>
    <col min="2" max="2" width="33.26953125" customWidth="1"/>
    <col min="3" max="3" width="40" customWidth="1"/>
    <col min="4" max="4" width="17.7265625" customWidth="1"/>
    <col min="5" max="5" width="21.26953125" bestFit="1" customWidth="1"/>
  </cols>
  <sheetData>
    <row r="1" spans="1:7" s="1" customFormat="1" ht="52.9" customHeight="1" x14ac:dyDescent="0.4">
      <c r="A1" s="138" t="s">
        <v>134</v>
      </c>
      <c r="B1" s="81" t="s">
        <v>64</v>
      </c>
      <c r="C1" s="82" t="s">
        <v>286</v>
      </c>
      <c r="D1" s="82" t="s">
        <v>287</v>
      </c>
      <c r="E1" s="82" t="s">
        <v>293</v>
      </c>
    </row>
    <row r="2" spans="1:7" s="1" customFormat="1" ht="15" x14ac:dyDescent="0.4">
      <c r="A2" s="61">
        <f>'Program Summary'!A3</f>
        <v>1</v>
      </c>
      <c r="B2" s="4" t="str">
        <f>'Program Summary'!B3</f>
        <v>Residential Rooftop Solar</v>
      </c>
      <c r="C2" s="249">
        <v>10503499</v>
      </c>
      <c r="D2" s="227">
        <v>3998699</v>
      </c>
      <c r="E2" s="115">
        <f>D2/'Program Summary'!D12</f>
        <v>5565.2403736173537</v>
      </c>
    </row>
    <row r="3" spans="1:7" s="1" customFormat="1" ht="15.75" customHeight="1" x14ac:dyDescent="0.4">
      <c r="A3" s="61">
        <f>'Program Summary'!A4</f>
        <v>2</v>
      </c>
      <c r="B3" s="4" t="str">
        <f>'Program Summary'!B4</f>
        <v>Clean Heating and Cooling</v>
      </c>
      <c r="C3" s="249">
        <v>7796579</v>
      </c>
      <c r="D3" s="227">
        <v>4796579</v>
      </c>
      <c r="E3" s="115">
        <f>D3/'Program Summary'!D13</f>
        <v>438.53774846235126</v>
      </c>
    </row>
    <row r="4" spans="1:7" s="1" customFormat="1" ht="15" x14ac:dyDescent="0.4">
      <c r="A4" s="61">
        <f>'Program Summary'!A5</f>
        <v>3</v>
      </c>
      <c r="B4" s="4" t="str">
        <f>'Program Summary'!B5</f>
        <v>Municipal Rooftop Solar</v>
      </c>
      <c r="C4" s="242">
        <v>9516473</v>
      </c>
      <c r="D4" s="280">
        <v>6355095</v>
      </c>
      <c r="E4" s="115">
        <f>D4/'Program Summary'!D14</f>
        <v>3063.535487516418</v>
      </c>
      <c r="F4" s="204"/>
      <c r="G4" s="204"/>
    </row>
    <row r="5" spans="1:7" s="1" customFormat="1" ht="15.75" customHeight="1" x14ac:dyDescent="0.4">
      <c r="A5" s="61">
        <f>'Program Summary'!A6</f>
        <v>4</v>
      </c>
      <c r="B5" s="4" t="str">
        <f>'Program Summary'!B6</f>
        <v>Sustainable Municipal Upgrades</v>
      </c>
      <c r="C5" s="249">
        <v>6079204</v>
      </c>
      <c r="D5" s="227">
        <v>4849604</v>
      </c>
      <c r="E5" s="115">
        <f>D5/'Program Summary'!D15</f>
        <v>1250.2905012191256</v>
      </c>
      <c r="F5" s="204"/>
      <c r="G5" s="204"/>
    </row>
    <row r="6" spans="1:7" s="1" customFormat="1" ht="15" x14ac:dyDescent="0.4">
      <c r="A6" s="309" t="s">
        <v>0</v>
      </c>
      <c r="B6" s="309"/>
      <c r="C6" s="225">
        <f>SUM(C2:C5)</f>
        <v>33895755</v>
      </c>
      <c r="D6" s="225">
        <f>SUM(D2:D5)</f>
        <v>19999977</v>
      </c>
      <c r="E6" s="226"/>
    </row>
    <row r="7" spans="1:7" s="1" customFormat="1" ht="15" x14ac:dyDescent="0.4"/>
    <row r="8" spans="1:7" s="1" customFormat="1" ht="15" x14ac:dyDescent="0.4">
      <c r="D8" s="21"/>
      <c r="E8" s="1" t="s">
        <v>380</v>
      </c>
    </row>
    <row r="9" spans="1:7" s="1" customFormat="1" ht="15" x14ac:dyDescent="0.4"/>
    <row r="10" spans="1:7" s="1" customFormat="1" ht="15" x14ac:dyDescent="0.4">
      <c r="A10" s="310" t="s">
        <v>294</v>
      </c>
      <c r="B10" s="311"/>
      <c r="C10" s="312"/>
    </row>
    <row r="11" spans="1:7" s="1" customFormat="1" ht="30" x14ac:dyDescent="0.4">
      <c r="A11" s="81" t="s">
        <v>134</v>
      </c>
      <c r="B11" s="81" t="s">
        <v>64</v>
      </c>
      <c r="C11" s="82" t="s">
        <v>295</v>
      </c>
    </row>
    <row r="12" spans="1:7" s="1" customFormat="1" ht="15" x14ac:dyDescent="0.4">
      <c r="A12" s="7">
        <f t="shared" ref="A12:B15" si="0">A2</f>
        <v>1</v>
      </c>
      <c r="B12" s="4" t="str">
        <f t="shared" si="0"/>
        <v>Residential Rooftop Solar</v>
      </c>
      <c r="C12" s="215">
        <f>E2</f>
        <v>5565.2403736173537</v>
      </c>
    </row>
    <row r="13" spans="1:7" s="1" customFormat="1" ht="15" x14ac:dyDescent="0.4">
      <c r="A13" s="7">
        <f t="shared" si="0"/>
        <v>2</v>
      </c>
      <c r="B13" s="4" t="str">
        <f t="shared" si="0"/>
        <v>Clean Heating and Cooling</v>
      </c>
      <c r="C13" s="215">
        <f>E3</f>
        <v>438.53774846235126</v>
      </c>
    </row>
    <row r="14" spans="1:7" s="1" customFormat="1" ht="15" x14ac:dyDescent="0.4">
      <c r="A14" s="7">
        <f t="shared" si="0"/>
        <v>3</v>
      </c>
      <c r="B14" s="4" t="str">
        <f t="shared" si="0"/>
        <v>Municipal Rooftop Solar</v>
      </c>
      <c r="C14" s="215">
        <f>E4</f>
        <v>3063.535487516418</v>
      </c>
    </row>
    <row r="15" spans="1:7" s="1" customFormat="1" ht="15" x14ac:dyDescent="0.4">
      <c r="A15" s="7">
        <f t="shared" si="0"/>
        <v>4</v>
      </c>
      <c r="B15" s="4" t="str">
        <f t="shared" si="0"/>
        <v>Sustainable Municipal Upgrades</v>
      </c>
      <c r="C15" s="215">
        <f>E5</f>
        <v>1250.2905012191256</v>
      </c>
    </row>
    <row r="16" spans="1:7" s="1" customFormat="1" ht="15" x14ac:dyDescent="0.4"/>
    <row r="17" s="1" customFormat="1" ht="15" x14ac:dyDescent="0.4"/>
    <row r="18" s="1" customFormat="1" ht="15" x14ac:dyDescent="0.4"/>
    <row r="19" s="1" customFormat="1" ht="15" x14ac:dyDescent="0.4"/>
    <row r="20" s="1" customFormat="1" ht="15" x14ac:dyDescent="0.4"/>
    <row r="21" s="1" customFormat="1" ht="15" x14ac:dyDescent="0.4"/>
    <row r="22" s="1" customFormat="1" ht="15" x14ac:dyDescent="0.4"/>
    <row r="23" s="1" customFormat="1" ht="15" x14ac:dyDescent="0.4"/>
    <row r="24" s="1" customFormat="1" ht="15" x14ac:dyDescent="0.4"/>
    <row r="25" s="1" customFormat="1" ht="15" x14ac:dyDescent="0.4"/>
    <row r="26" s="1" customFormat="1" ht="15" x14ac:dyDescent="0.4"/>
    <row r="27" s="1" customFormat="1" ht="15" x14ac:dyDescent="0.4"/>
    <row r="28" s="1" customFormat="1" ht="15" x14ac:dyDescent="0.4"/>
    <row r="29" s="1" customFormat="1" ht="15" x14ac:dyDescent="0.4"/>
    <row r="30" s="1" customFormat="1" ht="15" x14ac:dyDescent="0.4"/>
    <row r="31" s="1" customFormat="1" ht="15" x14ac:dyDescent="0.4"/>
    <row r="32" s="1" customFormat="1" ht="15" x14ac:dyDescent="0.4"/>
    <row r="33" s="1" customFormat="1" ht="15" x14ac:dyDescent="0.4"/>
    <row r="34" s="1" customFormat="1" ht="15" x14ac:dyDescent="0.4"/>
    <row r="35" s="1" customFormat="1" ht="15" x14ac:dyDescent="0.4"/>
    <row r="36" s="1" customFormat="1" ht="15" x14ac:dyDescent="0.4"/>
    <row r="37" s="1" customFormat="1" ht="15" x14ac:dyDescent="0.4"/>
    <row r="38" s="1" customFormat="1" ht="15" x14ac:dyDescent="0.4"/>
    <row r="39" s="1" customFormat="1" ht="15" x14ac:dyDescent="0.4"/>
    <row r="40" s="1" customFormat="1" ht="15" x14ac:dyDescent="0.4"/>
    <row r="41" s="1" customFormat="1" ht="15" x14ac:dyDescent="0.4"/>
    <row r="42" s="1" customFormat="1" ht="15" x14ac:dyDescent="0.4"/>
    <row r="43" s="1" customFormat="1" ht="15" x14ac:dyDescent="0.4"/>
    <row r="44" s="1" customFormat="1" ht="15" x14ac:dyDescent="0.4"/>
    <row r="45" s="1" customFormat="1" ht="15" x14ac:dyDescent="0.4"/>
    <row r="46" s="1" customFormat="1" ht="15" x14ac:dyDescent="0.4"/>
    <row r="47" s="1" customFormat="1" ht="15" x14ac:dyDescent="0.4"/>
    <row r="48" s="1" customFormat="1" ht="15" x14ac:dyDescent="0.4"/>
    <row r="49" s="1" customFormat="1" ht="15" x14ac:dyDescent="0.4"/>
    <row r="50" s="1" customFormat="1" ht="15" x14ac:dyDescent="0.4"/>
    <row r="51" s="1" customFormat="1" ht="15" x14ac:dyDescent="0.4"/>
    <row r="52" s="1" customFormat="1" ht="15" x14ac:dyDescent="0.4"/>
    <row r="53" s="1" customFormat="1" ht="15" x14ac:dyDescent="0.4"/>
    <row r="54" s="1" customFormat="1" ht="15" x14ac:dyDescent="0.4"/>
    <row r="55" s="1" customFormat="1" ht="15" x14ac:dyDescent="0.4"/>
    <row r="56" s="1" customFormat="1" ht="15" x14ac:dyDescent="0.4"/>
    <row r="57" s="1" customFormat="1" ht="15" x14ac:dyDescent="0.4"/>
    <row r="58" s="1" customFormat="1" ht="15" x14ac:dyDescent="0.4"/>
    <row r="59" s="1" customFormat="1" ht="15" x14ac:dyDescent="0.4"/>
    <row r="60" s="1" customFormat="1" ht="15" x14ac:dyDescent="0.4"/>
    <row r="61" s="1" customFormat="1" ht="15" x14ac:dyDescent="0.4"/>
    <row r="62" s="1" customFormat="1" ht="15" x14ac:dyDescent="0.4"/>
    <row r="63" s="1" customFormat="1" ht="15" x14ac:dyDescent="0.4"/>
    <row r="64" s="1" customFormat="1" ht="15" x14ac:dyDescent="0.4"/>
    <row r="65" s="1" customFormat="1" ht="15" x14ac:dyDescent="0.4"/>
    <row r="66" s="1" customFormat="1" ht="15" x14ac:dyDescent="0.4"/>
    <row r="67" s="1" customFormat="1" ht="15" x14ac:dyDescent="0.4"/>
    <row r="68" s="1" customFormat="1" ht="15" x14ac:dyDescent="0.4"/>
    <row r="69" s="1" customFormat="1" ht="15" x14ac:dyDescent="0.4"/>
    <row r="70" s="1" customFormat="1" ht="15" x14ac:dyDescent="0.4"/>
    <row r="71" s="1" customFormat="1" ht="15" x14ac:dyDescent="0.4"/>
    <row r="72" s="1" customFormat="1" ht="15" x14ac:dyDescent="0.4"/>
    <row r="73" s="1" customFormat="1" ht="15" x14ac:dyDescent="0.4"/>
    <row r="74" s="1" customFormat="1" ht="15" x14ac:dyDescent="0.4"/>
    <row r="75" s="1" customFormat="1" ht="15" x14ac:dyDescent="0.4"/>
    <row r="76" s="1" customFormat="1" ht="15" x14ac:dyDescent="0.4"/>
    <row r="77" s="1" customFormat="1" ht="15" x14ac:dyDescent="0.4"/>
    <row r="78" s="1" customFormat="1" ht="15" x14ac:dyDescent="0.4"/>
    <row r="79" s="1" customFormat="1" ht="15" x14ac:dyDescent="0.4"/>
    <row r="80" s="1" customFormat="1" ht="15" x14ac:dyDescent="0.4"/>
    <row r="81" s="1" customFormat="1" ht="15" x14ac:dyDescent="0.4"/>
    <row r="82" s="1" customFormat="1" ht="15" x14ac:dyDescent="0.4"/>
    <row r="83" s="1" customFormat="1" ht="15" x14ac:dyDescent="0.4"/>
    <row r="84" s="1" customFormat="1" ht="15" x14ac:dyDescent="0.4"/>
    <row r="85" s="1" customFormat="1" ht="15" x14ac:dyDescent="0.4"/>
    <row r="86" s="1" customFormat="1" ht="15" x14ac:dyDescent="0.4"/>
    <row r="87" s="1" customFormat="1" ht="15" x14ac:dyDescent="0.4"/>
    <row r="88" s="1" customFormat="1" ht="15" x14ac:dyDescent="0.4"/>
    <row r="89" s="1" customFormat="1" ht="15" x14ac:dyDescent="0.4"/>
    <row r="90" s="1" customFormat="1" ht="15" x14ac:dyDescent="0.4"/>
    <row r="91" s="1" customFormat="1" ht="15" x14ac:dyDescent="0.4"/>
    <row r="92" s="1" customFormat="1" ht="15" x14ac:dyDescent="0.4"/>
    <row r="93" s="1" customFormat="1" ht="15" x14ac:dyDescent="0.4"/>
    <row r="94" s="1" customFormat="1" ht="15" x14ac:dyDescent="0.4"/>
    <row r="95" s="1" customFormat="1" ht="15" x14ac:dyDescent="0.4"/>
    <row r="96" s="1" customFormat="1" ht="15" x14ac:dyDescent="0.4"/>
    <row r="97" s="1" customFormat="1" ht="15" x14ac:dyDescent="0.4"/>
    <row r="98" s="1" customFormat="1" ht="15" x14ac:dyDescent="0.4"/>
    <row r="99" s="1" customFormat="1" ht="15" x14ac:dyDescent="0.4"/>
    <row r="100" s="1" customFormat="1" ht="15" x14ac:dyDescent="0.4"/>
    <row r="101" s="1" customFormat="1" ht="15" x14ac:dyDescent="0.4"/>
    <row r="102" s="1" customFormat="1" ht="15" x14ac:dyDescent="0.4"/>
    <row r="103" s="1" customFormat="1" ht="15" x14ac:dyDescent="0.4"/>
    <row r="104" s="1" customFormat="1" ht="15" x14ac:dyDescent="0.4"/>
    <row r="105" s="1" customFormat="1" ht="15" x14ac:dyDescent="0.4"/>
    <row r="106" s="1" customFormat="1" ht="15" x14ac:dyDescent="0.4"/>
    <row r="107" s="1" customFormat="1" ht="15" x14ac:dyDescent="0.4"/>
    <row r="108" s="1" customFormat="1" ht="15" x14ac:dyDescent="0.4"/>
    <row r="109" s="1" customFormat="1" ht="15" x14ac:dyDescent="0.4"/>
    <row r="110" s="1" customFormat="1" ht="15" x14ac:dyDescent="0.4"/>
    <row r="111" s="1" customFormat="1" ht="15" x14ac:dyDescent="0.4"/>
    <row r="112" s="1" customFormat="1" ht="15" x14ac:dyDescent="0.4"/>
    <row r="113" s="1" customFormat="1" ht="15" x14ac:dyDescent="0.4"/>
    <row r="114" s="1" customFormat="1" ht="15" x14ac:dyDescent="0.4"/>
    <row r="115" s="1" customFormat="1" ht="15" x14ac:dyDescent="0.4"/>
    <row r="116" s="1" customFormat="1" ht="15" x14ac:dyDescent="0.4"/>
    <row r="117" s="1" customFormat="1" ht="15" x14ac:dyDescent="0.4"/>
    <row r="118" s="1" customFormat="1" ht="15" x14ac:dyDescent="0.4"/>
    <row r="119" s="1" customFormat="1" ht="15" x14ac:dyDescent="0.4"/>
    <row r="120" s="1" customFormat="1" ht="15" x14ac:dyDescent="0.4"/>
    <row r="121" s="1" customFormat="1" ht="15" x14ac:dyDescent="0.4"/>
    <row r="122" s="1" customFormat="1" ht="15" x14ac:dyDescent="0.4"/>
    <row r="123" s="1" customFormat="1" ht="15" x14ac:dyDescent="0.4"/>
    <row r="124" s="1" customFormat="1" ht="15" x14ac:dyDescent="0.4"/>
    <row r="125" s="1" customFormat="1" ht="15" x14ac:dyDescent="0.4"/>
    <row r="126" s="1" customFormat="1" ht="15" x14ac:dyDescent="0.4"/>
    <row r="127" s="1" customFormat="1" ht="15" x14ac:dyDescent="0.4"/>
    <row r="128" s="1" customFormat="1" ht="15" x14ac:dyDescent="0.4"/>
    <row r="129" s="1" customFormat="1" ht="15" x14ac:dyDescent="0.4"/>
    <row r="130" s="1" customFormat="1" ht="15" x14ac:dyDescent="0.4"/>
    <row r="131" s="1" customFormat="1" ht="15" x14ac:dyDescent="0.4"/>
    <row r="132" s="1" customFormat="1" ht="15" x14ac:dyDescent="0.4"/>
    <row r="133" s="1" customFormat="1" ht="15" x14ac:dyDescent="0.4"/>
    <row r="134" s="1" customFormat="1" ht="15" x14ac:dyDescent="0.4"/>
    <row r="135" s="1" customFormat="1" ht="15" x14ac:dyDescent="0.4"/>
    <row r="136" s="1" customFormat="1" ht="15" x14ac:dyDescent="0.4"/>
    <row r="137" s="1" customFormat="1" ht="15" x14ac:dyDescent="0.4"/>
    <row r="138" s="1" customFormat="1" ht="15" x14ac:dyDescent="0.4"/>
    <row r="139" s="1" customFormat="1" ht="15" x14ac:dyDescent="0.4"/>
    <row r="140" s="1" customFormat="1" ht="15" x14ac:dyDescent="0.4"/>
    <row r="141" s="1" customFormat="1" ht="15" x14ac:dyDescent="0.4"/>
    <row r="142" s="1" customFormat="1" ht="15" x14ac:dyDescent="0.4"/>
    <row r="143" s="1" customFormat="1" ht="15" x14ac:dyDescent="0.4"/>
    <row r="144" s="1" customFormat="1" ht="15" x14ac:dyDescent="0.4"/>
    <row r="145" s="1" customFormat="1" ht="15" x14ac:dyDescent="0.4"/>
    <row r="146" s="1" customFormat="1" ht="15" x14ac:dyDescent="0.4"/>
    <row r="147" s="1" customFormat="1" ht="15" x14ac:dyDescent="0.4"/>
    <row r="148" s="1" customFormat="1" ht="15" x14ac:dyDescent="0.4"/>
    <row r="149" s="1" customFormat="1" ht="15" x14ac:dyDescent="0.4"/>
    <row r="150" s="1" customFormat="1" ht="15" x14ac:dyDescent="0.4"/>
    <row r="151" s="1" customFormat="1" ht="15" x14ac:dyDescent="0.4"/>
    <row r="152" s="1" customFormat="1" ht="15" x14ac:dyDescent="0.4"/>
    <row r="153" s="1" customFormat="1" ht="15" x14ac:dyDescent="0.4"/>
    <row r="154" s="1" customFormat="1" ht="15" x14ac:dyDescent="0.4"/>
    <row r="155" s="1" customFormat="1" ht="15" x14ac:dyDescent="0.4"/>
    <row r="156" s="1" customFormat="1" ht="15" x14ac:dyDescent="0.4"/>
    <row r="157" s="1" customFormat="1" ht="15" x14ac:dyDescent="0.4"/>
    <row r="158" s="1" customFormat="1" ht="15" x14ac:dyDescent="0.4"/>
    <row r="159" s="1" customFormat="1" ht="15" x14ac:dyDescent="0.4"/>
    <row r="160" s="1" customFormat="1" ht="15" x14ac:dyDescent="0.4"/>
    <row r="161" s="1" customFormat="1" ht="15" x14ac:dyDescent="0.4"/>
    <row r="162" s="1" customFormat="1" ht="15" x14ac:dyDescent="0.4"/>
    <row r="163" s="1" customFormat="1" ht="15" x14ac:dyDescent="0.4"/>
    <row r="164" s="1" customFormat="1" ht="15" x14ac:dyDescent="0.4"/>
    <row r="165" s="1" customFormat="1" ht="15" x14ac:dyDescent="0.4"/>
    <row r="166" s="1" customFormat="1" ht="15" x14ac:dyDescent="0.4"/>
    <row r="167" s="1" customFormat="1" ht="15" x14ac:dyDescent="0.4"/>
    <row r="168" s="1" customFormat="1" ht="15" x14ac:dyDescent="0.4"/>
    <row r="169" s="1" customFormat="1" ht="15" x14ac:dyDescent="0.4"/>
    <row r="170" s="1" customFormat="1" ht="15" x14ac:dyDescent="0.4"/>
    <row r="171" s="1" customFormat="1" ht="15" x14ac:dyDescent="0.4"/>
    <row r="172" s="1" customFormat="1" ht="15" x14ac:dyDescent="0.4"/>
    <row r="173" s="1" customFormat="1" ht="15" x14ac:dyDescent="0.4"/>
    <row r="174" s="1" customFormat="1" ht="15" x14ac:dyDescent="0.4"/>
    <row r="175" s="1" customFormat="1" ht="15" x14ac:dyDescent="0.4"/>
    <row r="176" s="1" customFormat="1" ht="15" x14ac:dyDescent="0.4"/>
    <row r="177" s="1" customFormat="1" ht="15" x14ac:dyDescent="0.4"/>
    <row r="178" s="1" customFormat="1" ht="15" x14ac:dyDescent="0.4"/>
    <row r="179" s="1" customFormat="1" ht="15" x14ac:dyDescent="0.4"/>
    <row r="180" s="1" customFormat="1" ht="15" x14ac:dyDescent="0.4"/>
    <row r="181" s="1" customFormat="1" ht="15" x14ac:dyDescent="0.4"/>
    <row r="182" s="1" customFormat="1" ht="15" x14ac:dyDescent="0.4"/>
    <row r="183" s="1" customFormat="1" ht="15" x14ac:dyDescent="0.4"/>
    <row r="184" s="1" customFormat="1" ht="15" x14ac:dyDescent="0.4"/>
    <row r="185" s="1" customFormat="1" ht="15" x14ac:dyDescent="0.4"/>
    <row r="186" s="1" customFormat="1" ht="15" x14ac:dyDescent="0.4"/>
    <row r="187" s="1" customFormat="1" ht="15" x14ac:dyDescent="0.4"/>
    <row r="188" s="1" customFormat="1" ht="15" x14ac:dyDescent="0.4"/>
    <row r="189" s="1" customFormat="1" ht="15" x14ac:dyDescent="0.4"/>
    <row r="190" s="1" customFormat="1" ht="15" x14ac:dyDescent="0.4"/>
    <row r="191" s="1" customFormat="1" ht="15" x14ac:dyDescent="0.4"/>
    <row r="192" s="1" customFormat="1" ht="15" x14ac:dyDescent="0.4"/>
    <row r="193" s="1" customFormat="1" ht="15" x14ac:dyDescent="0.4"/>
    <row r="194" s="1" customFormat="1" ht="15" x14ac:dyDescent="0.4"/>
    <row r="195" s="1" customFormat="1" ht="15" x14ac:dyDescent="0.4"/>
    <row r="196" s="1" customFormat="1" ht="15" x14ac:dyDescent="0.4"/>
    <row r="197" s="1" customFormat="1" ht="15" x14ac:dyDescent="0.4"/>
    <row r="198" s="1" customFormat="1" ht="15" x14ac:dyDescent="0.4"/>
    <row r="199" s="1" customFormat="1" ht="15" x14ac:dyDescent="0.4"/>
    <row r="200" s="1" customFormat="1" ht="15" x14ac:dyDescent="0.4"/>
    <row r="201" s="1" customFormat="1" ht="15" x14ac:dyDescent="0.4"/>
    <row r="202" s="1" customFormat="1" ht="15" x14ac:dyDescent="0.4"/>
    <row r="203" s="1" customFormat="1" ht="15" x14ac:dyDescent="0.4"/>
    <row r="204" s="1" customFormat="1" ht="15" x14ac:dyDescent="0.4"/>
    <row r="205" s="1" customFormat="1" ht="15" x14ac:dyDescent="0.4"/>
    <row r="206" s="1" customFormat="1" ht="15" x14ac:dyDescent="0.4"/>
    <row r="207" s="1" customFormat="1" ht="15" x14ac:dyDescent="0.4"/>
    <row r="208" s="1" customFormat="1" ht="15" x14ac:dyDescent="0.4"/>
    <row r="209" s="1" customFormat="1" ht="15" x14ac:dyDescent="0.4"/>
    <row r="210" s="1" customFormat="1" ht="15" x14ac:dyDescent="0.4"/>
    <row r="211" s="1" customFormat="1" ht="15" x14ac:dyDescent="0.4"/>
    <row r="212" s="1" customFormat="1" ht="15" x14ac:dyDescent="0.4"/>
    <row r="213" s="1" customFormat="1" ht="15" x14ac:dyDescent="0.4"/>
    <row r="214" s="1" customFormat="1" ht="15" x14ac:dyDescent="0.4"/>
    <row r="215" s="1" customFormat="1" ht="15" x14ac:dyDescent="0.4"/>
    <row r="216" s="1" customFormat="1" ht="15" x14ac:dyDescent="0.4"/>
    <row r="217" s="1" customFormat="1" ht="15" x14ac:dyDescent="0.4"/>
    <row r="218" s="1" customFormat="1" ht="15" x14ac:dyDescent="0.4"/>
    <row r="219" s="1" customFormat="1" ht="15" x14ac:dyDescent="0.4"/>
    <row r="220" s="1" customFormat="1" ht="15" x14ac:dyDescent="0.4"/>
    <row r="221" s="1" customFormat="1" ht="15" x14ac:dyDescent="0.4"/>
    <row r="222" s="1" customFormat="1" ht="15" x14ac:dyDescent="0.4"/>
    <row r="223" s="1" customFormat="1" ht="15" x14ac:dyDescent="0.4"/>
    <row r="224" s="1" customFormat="1" ht="15" x14ac:dyDescent="0.4"/>
    <row r="225" s="1" customFormat="1" ht="15" x14ac:dyDescent="0.4"/>
    <row r="226" s="1" customFormat="1" ht="15" x14ac:dyDescent="0.4"/>
    <row r="227" s="1" customFormat="1" ht="15" x14ac:dyDescent="0.4"/>
    <row r="228" s="1" customFormat="1" ht="15" x14ac:dyDescent="0.4"/>
    <row r="229" s="1" customFormat="1" ht="15" x14ac:dyDescent="0.4"/>
    <row r="230" s="1" customFormat="1" ht="15" x14ac:dyDescent="0.4"/>
    <row r="231" s="1" customFormat="1" ht="15" x14ac:dyDescent="0.4"/>
    <row r="232" s="1" customFormat="1" ht="15" x14ac:dyDescent="0.4"/>
    <row r="233" s="1" customFormat="1" ht="15" x14ac:dyDescent="0.4"/>
    <row r="234" s="1" customFormat="1" ht="15" x14ac:dyDescent="0.4"/>
    <row r="235" s="1" customFormat="1" ht="15" x14ac:dyDescent="0.4"/>
    <row r="236" s="1" customFormat="1" ht="15" x14ac:dyDescent="0.4"/>
    <row r="237" s="1" customFormat="1" ht="15" x14ac:dyDescent="0.4"/>
    <row r="238" s="1" customFormat="1" ht="15" x14ac:dyDescent="0.4"/>
    <row r="239" s="1" customFormat="1" ht="15" x14ac:dyDescent="0.4"/>
    <row r="240" s="1" customFormat="1" ht="15" x14ac:dyDescent="0.4"/>
    <row r="241" s="1" customFormat="1" ht="15" x14ac:dyDescent="0.4"/>
    <row r="242" s="1" customFormat="1" ht="15" x14ac:dyDescent="0.4"/>
    <row r="243" s="1" customFormat="1" ht="15" x14ac:dyDescent="0.4"/>
    <row r="244" s="1" customFormat="1" ht="15" x14ac:dyDescent="0.4"/>
    <row r="245" s="1" customFormat="1" ht="15" x14ac:dyDescent="0.4"/>
    <row r="246" s="1" customFormat="1" ht="15" x14ac:dyDescent="0.4"/>
    <row r="247" s="1" customFormat="1" ht="15" x14ac:dyDescent="0.4"/>
    <row r="248" s="1" customFormat="1" ht="15" x14ac:dyDescent="0.4"/>
    <row r="249" s="1" customFormat="1" ht="15" x14ac:dyDescent="0.4"/>
    <row r="250" s="1" customFormat="1" ht="15" x14ac:dyDescent="0.4"/>
    <row r="251" s="1" customFormat="1" ht="15" x14ac:dyDescent="0.4"/>
    <row r="252" s="1" customFormat="1" ht="15" x14ac:dyDescent="0.4"/>
    <row r="253" s="1" customFormat="1" ht="15" x14ac:dyDescent="0.4"/>
    <row r="254" s="1" customFormat="1" ht="15" x14ac:dyDescent="0.4"/>
    <row r="255" s="1" customFormat="1" ht="15" x14ac:dyDescent="0.4"/>
    <row r="256" s="1" customFormat="1" ht="15" x14ac:dyDescent="0.4"/>
    <row r="257" s="1" customFormat="1" ht="15" x14ac:dyDescent="0.4"/>
    <row r="258" s="1" customFormat="1" ht="15" x14ac:dyDescent="0.4"/>
    <row r="259" s="1" customFormat="1" ht="15" x14ac:dyDescent="0.4"/>
    <row r="260" s="1" customFormat="1" ht="15" x14ac:dyDescent="0.4"/>
    <row r="261" s="1" customFormat="1" ht="15" x14ac:dyDescent="0.4"/>
    <row r="262" s="1" customFormat="1" ht="15" x14ac:dyDescent="0.4"/>
    <row r="263" s="1" customFormat="1" ht="15" x14ac:dyDescent="0.4"/>
    <row r="264" s="1" customFormat="1" ht="15" x14ac:dyDescent="0.4"/>
    <row r="265" s="1" customFormat="1" ht="15" x14ac:dyDescent="0.4"/>
    <row r="266" s="1" customFormat="1" ht="15" x14ac:dyDescent="0.4"/>
    <row r="267" s="1" customFormat="1" ht="15" x14ac:dyDescent="0.4"/>
    <row r="268" s="1" customFormat="1" ht="15" x14ac:dyDescent="0.4"/>
    <row r="269" s="1" customFormat="1" ht="15" x14ac:dyDescent="0.4"/>
    <row r="270" s="1" customFormat="1" ht="15" x14ac:dyDescent="0.4"/>
    <row r="271" s="1" customFormat="1" ht="15" x14ac:dyDescent="0.4"/>
    <row r="272" s="1" customFormat="1" ht="15" x14ac:dyDescent="0.4"/>
    <row r="273" s="1" customFormat="1" ht="15" x14ac:dyDescent="0.4"/>
    <row r="274" s="1" customFormat="1" ht="15" x14ac:dyDescent="0.4"/>
    <row r="275" s="1" customFormat="1" ht="15" x14ac:dyDescent="0.4"/>
    <row r="276" s="1" customFormat="1" ht="15" x14ac:dyDescent="0.4"/>
    <row r="277" s="1" customFormat="1" ht="15" x14ac:dyDescent="0.4"/>
    <row r="278" s="1" customFormat="1" ht="15" x14ac:dyDescent="0.4"/>
    <row r="279" s="1" customFormat="1" ht="15" x14ac:dyDescent="0.4"/>
    <row r="280" s="1" customFormat="1" ht="15" x14ac:dyDescent="0.4"/>
    <row r="281" s="1" customFormat="1" ht="15" x14ac:dyDescent="0.4"/>
    <row r="282" s="1" customFormat="1" ht="15" x14ac:dyDescent="0.4"/>
    <row r="283" s="1" customFormat="1" ht="15" x14ac:dyDescent="0.4"/>
    <row r="284" s="1" customFormat="1" ht="15" x14ac:dyDescent="0.4"/>
    <row r="285" s="1" customFormat="1" ht="15" x14ac:dyDescent="0.4"/>
    <row r="286" s="1" customFormat="1" ht="15" x14ac:dyDescent="0.4"/>
    <row r="287" s="1" customFormat="1" ht="15" x14ac:dyDescent="0.4"/>
    <row r="288" s="1" customFormat="1" ht="15" x14ac:dyDescent="0.4"/>
    <row r="289" s="1" customFormat="1" ht="15" x14ac:dyDescent="0.4"/>
    <row r="290" s="1" customFormat="1" ht="15" x14ac:dyDescent="0.4"/>
    <row r="291" s="1" customFormat="1" ht="15" x14ac:dyDescent="0.4"/>
    <row r="292" s="1" customFormat="1" ht="15" x14ac:dyDescent="0.4"/>
    <row r="293" s="1" customFormat="1" ht="15" x14ac:dyDescent="0.4"/>
    <row r="294" s="1" customFormat="1" ht="15" x14ac:dyDescent="0.4"/>
    <row r="295" s="1" customFormat="1" ht="15" x14ac:dyDescent="0.4"/>
    <row r="296" s="1" customFormat="1" ht="15" x14ac:dyDescent="0.4"/>
    <row r="297" s="1" customFormat="1" ht="15" x14ac:dyDescent="0.4"/>
    <row r="298" s="1" customFormat="1" ht="15" x14ac:dyDescent="0.4"/>
    <row r="299" s="1" customFormat="1" ht="15" x14ac:dyDescent="0.4"/>
    <row r="300" s="1" customFormat="1" ht="15" x14ac:dyDescent="0.4"/>
    <row r="301" s="1" customFormat="1" ht="15" x14ac:dyDescent="0.4"/>
    <row r="302" s="1" customFormat="1" ht="15" x14ac:dyDescent="0.4"/>
    <row r="303" s="1" customFormat="1" ht="15" x14ac:dyDescent="0.4"/>
    <row r="304" s="1" customFormat="1" ht="15" x14ac:dyDescent="0.4"/>
    <row r="305" s="1" customFormat="1" ht="15" x14ac:dyDescent="0.4"/>
    <row r="306" s="1" customFormat="1" ht="15" x14ac:dyDescent="0.4"/>
    <row r="307" s="1" customFormat="1" ht="15" x14ac:dyDescent="0.4"/>
    <row r="308" s="1" customFormat="1" ht="15" x14ac:dyDescent="0.4"/>
    <row r="309" s="1" customFormat="1" ht="15" x14ac:dyDescent="0.4"/>
    <row r="310" s="1" customFormat="1" ht="15" x14ac:dyDescent="0.4"/>
    <row r="311" s="1" customFormat="1" ht="15" x14ac:dyDescent="0.4"/>
    <row r="312" s="1" customFormat="1" ht="15" x14ac:dyDescent="0.4"/>
    <row r="313" s="1" customFormat="1" ht="15" x14ac:dyDescent="0.4"/>
    <row r="314" s="1" customFormat="1" ht="15" x14ac:dyDescent="0.4"/>
    <row r="315" s="1" customFormat="1" ht="15" x14ac:dyDescent="0.4"/>
    <row r="316" s="1" customFormat="1" ht="15" x14ac:dyDescent="0.4"/>
    <row r="317" s="1" customFormat="1" ht="15" x14ac:dyDescent="0.4"/>
    <row r="318" s="1" customFormat="1" ht="15" x14ac:dyDescent="0.4"/>
    <row r="319" s="1" customFormat="1" ht="15" x14ac:dyDescent="0.4"/>
    <row r="320" s="1" customFormat="1" ht="15" x14ac:dyDescent="0.4"/>
    <row r="321" s="1" customFormat="1" ht="15" x14ac:dyDescent="0.4"/>
    <row r="322" s="1" customFormat="1" ht="15" x14ac:dyDescent="0.4"/>
    <row r="323" s="1" customFormat="1" ht="15" x14ac:dyDescent="0.4"/>
    <row r="324" s="1" customFormat="1" ht="15" x14ac:dyDescent="0.4"/>
    <row r="325" s="1" customFormat="1" ht="15" x14ac:dyDescent="0.4"/>
    <row r="326" s="1" customFormat="1" ht="15" x14ac:dyDescent="0.4"/>
    <row r="327" s="1" customFormat="1" ht="15" x14ac:dyDescent="0.4"/>
    <row r="328" s="1" customFormat="1" ht="15" x14ac:dyDescent="0.4"/>
    <row r="329" s="1" customFormat="1" ht="15" x14ac:dyDescent="0.4"/>
    <row r="330" s="1" customFormat="1" ht="15" x14ac:dyDescent="0.4"/>
    <row r="331" s="1" customFormat="1" ht="15" x14ac:dyDescent="0.4"/>
    <row r="332" s="1" customFormat="1" ht="15" x14ac:dyDescent="0.4"/>
    <row r="333" s="1" customFormat="1" ht="15" x14ac:dyDescent="0.4"/>
    <row r="334" s="1" customFormat="1" ht="15" x14ac:dyDescent="0.4"/>
    <row r="335" s="1" customFormat="1" ht="15" x14ac:dyDescent="0.4"/>
    <row r="336" s="1" customFormat="1" ht="15" x14ac:dyDescent="0.4"/>
    <row r="337" s="1" customFormat="1" ht="15" x14ac:dyDescent="0.4"/>
    <row r="338" s="1" customFormat="1" ht="15" x14ac:dyDescent="0.4"/>
  </sheetData>
  <mergeCells count="2">
    <mergeCell ref="A6:B6"/>
    <mergeCell ref="A10:C10"/>
  </mergeCells>
  <pageMargins left="0.7" right="0.7" top="0.75" bottom="0.75" header="0.3" footer="0.3"/>
  <pageSetup orientation="landscape" r:id="rId1"/>
  <headerFooter>
    <oddHeader xml:space="preserve">&amp;L&amp;"Franklin Gothic Book,Regular"City of Rochester
Climate Pollution Reduction Act Grant
&amp;R&amp;"Franklin Gothic Book,Italic"Total Grant Budget Sheet
</oddHead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8"/>
  <sheetViews>
    <sheetView view="pageLayout" topLeftCell="A12" zoomScaleNormal="100" workbookViewId="0">
      <selection activeCell="B12" sqref="B12"/>
    </sheetView>
  </sheetViews>
  <sheetFormatPr defaultRowHeight="14.5" x14ac:dyDescent="0.35"/>
  <cols>
    <col min="1" max="1" width="6.453125" bestFit="1" customWidth="1"/>
    <col min="2" max="2" width="51.54296875" customWidth="1"/>
    <col min="3" max="3" width="23.26953125" customWidth="1"/>
    <col min="4" max="4" width="14.81640625" customWidth="1"/>
    <col min="5" max="5" width="14.26953125" customWidth="1"/>
    <col min="6" max="6" width="16.26953125" bestFit="1" customWidth="1"/>
    <col min="7" max="7" width="20.1796875" customWidth="1"/>
  </cols>
  <sheetData>
    <row r="1" spans="1:7" ht="15" x14ac:dyDescent="0.4">
      <c r="A1" s="337" t="s">
        <v>284</v>
      </c>
      <c r="B1" s="338"/>
      <c r="C1" s="338"/>
      <c r="D1" s="338"/>
      <c r="E1" s="339"/>
    </row>
    <row r="2" spans="1:7" s="1" customFormat="1" ht="32" x14ac:dyDescent="0.5">
      <c r="A2" s="138" t="s">
        <v>134</v>
      </c>
      <c r="B2" s="81" t="s">
        <v>64</v>
      </c>
      <c r="C2" s="82" t="s">
        <v>169</v>
      </c>
      <c r="D2" s="344" t="s">
        <v>186</v>
      </c>
      <c r="E2" s="345"/>
      <c r="F2" s="76"/>
      <c r="G2" s="70"/>
    </row>
    <row r="3" spans="1:7" s="1" customFormat="1" ht="15" x14ac:dyDescent="0.4">
      <c r="A3" s="61">
        <v>1</v>
      </c>
      <c r="B3" s="4" t="s">
        <v>136</v>
      </c>
      <c r="C3" s="78">
        <f>'1-Res. Roof Solar'!B6</f>
        <v>471.83492063492059</v>
      </c>
      <c r="D3" s="319">
        <f>('Budget Summary'!D2/'Budget Summary'!C2)*'1-Res. Roof Solar'!B6</f>
        <v>179.62831484136251</v>
      </c>
      <c r="E3" s="348"/>
      <c r="F3" s="30"/>
      <c r="G3" s="73"/>
    </row>
    <row r="4" spans="1:7" s="1" customFormat="1" ht="15" x14ac:dyDescent="0.4">
      <c r="A4" s="139">
        <v>2</v>
      </c>
      <c r="B4" s="79" t="s">
        <v>379</v>
      </c>
      <c r="C4" s="140">
        <f>'2-Res_Heating_Cooling'!G4</f>
        <v>1111.1613292323771</v>
      </c>
      <c r="D4" s="349">
        <f>('Budget Summary'!D3/'Budget Summary'!C3)*'2-Res_Heating_Cooling'!G4</f>
        <v>683.60406498902989</v>
      </c>
      <c r="E4" s="350"/>
      <c r="F4" s="30"/>
      <c r="G4" s="73"/>
    </row>
    <row r="5" spans="1:7" s="1" customFormat="1" ht="15" x14ac:dyDescent="0.4">
      <c r="A5" s="61">
        <v>3</v>
      </c>
      <c r="B5" s="77" t="s">
        <v>381</v>
      </c>
      <c r="C5" s="137">
        <f>'3-Muni. Fac. Solar'!E7</f>
        <v>560.37769246031758</v>
      </c>
      <c r="D5" s="346">
        <f>('Budget Summary'!D4/'Budget Summary'!C4)*'3-Muni. Fac. Solar'!E7</f>
        <v>374.2198891822739</v>
      </c>
      <c r="E5" s="347"/>
      <c r="F5" s="71"/>
      <c r="G5" s="71"/>
    </row>
    <row r="6" spans="1:7" s="1" customFormat="1" ht="15.5" thickBot="1" x14ac:dyDescent="0.45">
      <c r="A6" s="61">
        <v>4</v>
      </c>
      <c r="B6" s="77" t="s">
        <v>135</v>
      </c>
      <c r="C6" s="137">
        <f>'4-Muni Upgrades'!E5</f>
        <v>949.03272745186644</v>
      </c>
      <c r="D6" s="346">
        <f>'4-Muni Upgrades'!E5*('Budget Summary'!D5/'Budget Summary'!C5)</f>
        <v>757.0782147105906</v>
      </c>
      <c r="E6" s="347"/>
      <c r="F6" s="30"/>
      <c r="G6" s="72"/>
    </row>
    <row r="7" spans="1:7" s="1" customFormat="1" ht="15.5" thickBot="1" x14ac:dyDescent="0.45">
      <c r="A7" s="351" t="s">
        <v>0</v>
      </c>
      <c r="B7" s="352"/>
      <c r="C7" s="301">
        <f>SUM(C3:C6)</f>
        <v>3092.4066697794815</v>
      </c>
      <c r="D7" s="353">
        <f>SUM(D3:E6)</f>
        <v>1994.5304837232568</v>
      </c>
      <c r="E7" s="354"/>
      <c r="F7" s="30"/>
      <c r="G7" s="73"/>
    </row>
    <row r="8" spans="1:7" s="1" customFormat="1" ht="15" hidden="1" x14ac:dyDescent="0.4">
      <c r="C8" s="11"/>
      <c r="D8" s="11"/>
      <c r="E8" s="11"/>
      <c r="F8" s="30"/>
    </row>
    <row r="9" spans="1:7" s="1" customFormat="1" ht="15.5" thickBot="1" x14ac:dyDescent="0.45">
      <c r="B9" s="76"/>
      <c r="C9" s="76"/>
      <c r="D9" s="76"/>
      <c r="E9" s="76"/>
      <c r="F9" s="74"/>
      <c r="G9" s="75"/>
    </row>
    <row r="10" spans="1:7" s="1" customFormat="1" ht="15" x14ac:dyDescent="0.4">
      <c r="A10" s="360" t="s">
        <v>282</v>
      </c>
      <c r="B10" s="361"/>
      <c r="C10" s="361"/>
      <c r="D10" s="361"/>
      <c r="E10" s="362"/>
    </row>
    <row r="11" spans="1:7" s="1" customFormat="1" ht="47" x14ac:dyDescent="0.5">
      <c r="A11" s="146" t="s">
        <v>134</v>
      </c>
      <c r="B11" s="147" t="s">
        <v>64</v>
      </c>
      <c r="C11" s="148" t="s">
        <v>279</v>
      </c>
      <c r="D11" s="363" t="s">
        <v>280</v>
      </c>
      <c r="E11" s="364"/>
    </row>
    <row r="12" spans="1:7" s="1" customFormat="1" ht="15" x14ac:dyDescent="0.4">
      <c r="A12" s="61">
        <f t="shared" ref="A12:B15" si="0">A3</f>
        <v>1</v>
      </c>
      <c r="B12" s="4" t="str">
        <f t="shared" si="0"/>
        <v>Residential Rooftop Solar</v>
      </c>
      <c r="C12" s="78">
        <f>C117</f>
        <v>1887.3396825396821</v>
      </c>
      <c r="D12" s="346">
        <f>D117</f>
        <v>718.51325936545004</v>
      </c>
      <c r="E12" s="347"/>
    </row>
    <row r="13" spans="1:7" s="1" customFormat="1" ht="15" x14ac:dyDescent="0.4">
      <c r="A13" s="139">
        <f t="shared" si="0"/>
        <v>2</v>
      </c>
      <c r="B13" s="85" t="str">
        <f t="shared" si="0"/>
        <v>Clean Heating and Cooling</v>
      </c>
      <c r="C13" s="78">
        <f>C148</f>
        <v>17778.581267718033</v>
      </c>
      <c r="D13" s="346">
        <f>D148</f>
        <v>10937.665039824478</v>
      </c>
      <c r="E13" s="347"/>
    </row>
    <row r="14" spans="1:7" s="1" customFormat="1" ht="15" x14ac:dyDescent="0.4">
      <c r="A14" s="61">
        <f t="shared" si="0"/>
        <v>3</v>
      </c>
      <c r="B14" s="4" t="str">
        <f t="shared" si="0"/>
        <v>Municipal Rooftop Solar</v>
      </c>
      <c r="C14" s="78">
        <f>C55</f>
        <v>3106.36943452381</v>
      </c>
      <c r="D14" s="346">
        <f>D55</f>
        <v>2074.4316577680715</v>
      </c>
      <c r="E14" s="347"/>
    </row>
    <row r="15" spans="1:7" s="1" customFormat="1" ht="15.5" thickBot="1" x14ac:dyDescent="0.45">
      <c r="A15" s="61">
        <f t="shared" si="0"/>
        <v>4</v>
      </c>
      <c r="B15" s="4" t="str">
        <f t="shared" si="0"/>
        <v>Sustainable Municipal Upgrades</v>
      </c>
      <c r="C15" s="78">
        <f>C86</f>
        <v>4862.2332122593325</v>
      </c>
      <c r="D15" s="346">
        <f>D86</f>
        <v>3878.7817673342938</v>
      </c>
      <c r="E15" s="347"/>
    </row>
    <row r="16" spans="1:7" s="1" customFormat="1" ht="15.5" thickBot="1" x14ac:dyDescent="0.45">
      <c r="A16" s="365" t="s">
        <v>0</v>
      </c>
      <c r="B16" s="366"/>
      <c r="C16" s="302">
        <f>SUM(C12:C15)</f>
        <v>27634.523597040858</v>
      </c>
      <c r="D16" s="367">
        <f>SUM(D12:E15)</f>
        <v>17609.391724292294</v>
      </c>
      <c r="E16" s="368"/>
    </row>
    <row r="17" spans="1:5" s="1" customFormat="1" ht="15.5" thickBot="1" x14ac:dyDescent="0.45"/>
    <row r="18" spans="1:5" s="1" customFormat="1" ht="15" x14ac:dyDescent="0.4">
      <c r="A18" s="355" t="s">
        <v>283</v>
      </c>
      <c r="B18" s="356"/>
      <c r="C18" s="356"/>
      <c r="D18" s="356"/>
      <c r="E18" s="357"/>
    </row>
    <row r="19" spans="1:5" s="1" customFormat="1" ht="47" x14ac:dyDescent="0.4">
      <c r="A19" s="149" t="s">
        <v>134</v>
      </c>
      <c r="B19" s="150" t="s">
        <v>64</v>
      </c>
      <c r="C19" s="151" t="s">
        <v>281</v>
      </c>
      <c r="D19" s="358" t="s">
        <v>297</v>
      </c>
      <c r="E19" s="359"/>
    </row>
    <row r="20" spans="1:5" s="1" customFormat="1" ht="15" x14ac:dyDescent="0.4">
      <c r="A20" s="61">
        <f t="shared" ref="A20:B23" si="1">A3</f>
        <v>1</v>
      </c>
      <c r="B20" s="4" t="str">
        <f t="shared" si="1"/>
        <v>Residential Rooftop Solar</v>
      </c>
      <c r="C20" s="78">
        <f>C118</f>
        <v>11324.038095238097</v>
      </c>
      <c r="D20" s="335">
        <f>D118</f>
        <v>4311.0795561927016</v>
      </c>
      <c r="E20" s="336"/>
    </row>
    <row r="21" spans="1:5" s="1" customFormat="1" ht="15" x14ac:dyDescent="0.4">
      <c r="A21" s="139">
        <f t="shared" si="1"/>
        <v>2</v>
      </c>
      <c r="B21" s="85" t="str">
        <f t="shared" si="1"/>
        <v>Clean Heating and Cooling</v>
      </c>
      <c r="C21" s="80">
        <f>C149</f>
        <v>40001.807852365571</v>
      </c>
      <c r="D21" s="342">
        <f>D149</f>
        <v>24609.746339605073</v>
      </c>
      <c r="E21" s="343"/>
    </row>
    <row r="22" spans="1:5" s="1" customFormat="1" ht="15" x14ac:dyDescent="0.4">
      <c r="A22" s="61">
        <f t="shared" si="1"/>
        <v>3</v>
      </c>
      <c r="B22" s="4" t="str">
        <f t="shared" si="1"/>
        <v>Municipal Rooftop Solar</v>
      </c>
      <c r="C22" s="78">
        <f>C56</f>
        <v>14313.923283730153</v>
      </c>
      <c r="D22" s="335">
        <f>D56</f>
        <v>9558.8294414135435</v>
      </c>
      <c r="E22" s="336"/>
    </row>
    <row r="23" spans="1:5" s="1" customFormat="1" ht="15.5" thickBot="1" x14ac:dyDescent="0.45">
      <c r="A23" s="61">
        <f t="shared" si="1"/>
        <v>4</v>
      </c>
      <c r="B23" s="4" t="str">
        <f t="shared" si="1"/>
        <v>Sustainable Municipal Upgrades</v>
      </c>
      <c r="C23" s="78">
        <f>C87</f>
        <v>23842.887761296668</v>
      </c>
      <c r="D23" s="335">
        <f>D87</f>
        <v>19020.346061546112</v>
      </c>
      <c r="E23" s="336"/>
    </row>
    <row r="24" spans="1:5" s="1" customFormat="1" ht="15.5" thickBot="1" x14ac:dyDescent="0.45">
      <c r="A24" s="315" t="s">
        <v>0</v>
      </c>
      <c r="B24" s="316"/>
      <c r="C24" s="303">
        <f>SUM(C20:C23)</f>
        <v>89482.65699263048</v>
      </c>
      <c r="D24" s="340">
        <f>SUM(D20:E23)</f>
        <v>57500.001398757435</v>
      </c>
      <c r="E24" s="341"/>
    </row>
    <row r="25" spans="1:5" s="1" customFormat="1" ht="15" x14ac:dyDescent="0.4">
      <c r="A25" s="101"/>
      <c r="B25" s="101"/>
      <c r="C25" s="75"/>
      <c r="D25" s="75"/>
      <c r="E25" s="75"/>
    </row>
    <row r="26" spans="1:5" s="1" customFormat="1" ht="15" x14ac:dyDescent="0.4">
      <c r="A26" s="101"/>
      <c r="B26" s="101"/>
      <c r="C26" s="75"/>
      <c r="D26" s="145"/>
      <c r="E26" s="145"/>
    </row>
    <row r="27" spans="1:5" s="1" customFormat="1" ht="15" x14ac:dyDescent="0.4">
      <c r="A27" s="328" t="str">
        <f>B5</f>
        <v>Municipal Rooftop Solar</v>
      </c>
      <c r="B27" s="328"/>
      <c r="C27" s="328"/>
      <c r="D27" s="328"/>
      <c r="E27" s="328"/>
    </row>
    <row r="28" spans="1:5" s="1" customFormat="1" ht="47" x14ac:dyDescent="0.4">
      <c r="A28" s="83" t="s">
        <v>138</v>
      </c>
      <c r="B28" s="84" t="s">
        <v>140</v>
      </c>
      <c r="C28" s="84" t="s">
        <v>139</v>
      </c>
      <c r="D28" s="327" t="s">
        <v>190</v>
      </c>
      <c r="E28" s="327"/>
    </row>
    <row r="29" spans="1:5" s="1" customFormat="1" ht="15" x14ac:dyDescent="0.4">
      <c r="A29" s="7">
        <v>2025</v>
      </c>
      <c r="B29" s="7" t="s">
        <v>303</v>
      </c>
      <c r="C29" s="78">
        <f>'3-Muni. Fac. Solar'!B37</f>
        <v>368.6210317460318</v>
      </c>
      <c r="D29" s="319">
        <f>('Budget Summary'!$D$4/'Budget Summary'!$C$4)*'Program Summary'!C29</f>
        <v>246.16490539552288</v>
      </c>
      <c r="E29" s="320"/>
    </row>
    <row r="30" spans="1:5" s="1" customFormat="1" ht="15" x14ac:dyDescent="0.4">
      <c r="A30" s="7">
        <v>2026</v>
      </c>
      <c r="B30" s="7" t="s">
        <v>304</v>
      </c>
      <c r="C30" s="78">
        <f>C29+('3-Muni. Fac. Solar'!B37+'3-Muni. Fac. Solar'!B66)</f>
        <v>864.85866468253982</v>
      </c>
      <c r="D30" s="319">
        <f>('Budget Summary'!$D$4/'Budget Summary'!$C$4)*'Program Summary'!C30</f>
        <v>577.55210103897582</v>
      </c>
      <c r="E30" s="320"/>
    </row>
    <row r="31" spans="1:5" s="1" customFormat="1" ht="15" x14ac:dyDescent="0.4">
      <c r="A31" s="7">
        <v>2027</v>
      </c>
      <c r="B31" s="7" t="s">
        <v>305</v>
      </c>
      <c r="C31" s="78">
        <f>C30+('3-Muni. Fac. Solar'!B37+'3-Muni. Fac. Solar'!B66+'3-Muni. Fac. Solar'!B95)</f>
        <v>1425.2363571428573</v>
      </c>
      <c r="D31" s="319">
        <f>('Budget Summary'!$D$4/'Budget Summary'!$C$4)*'Program Summary'!C31</f>
        <v>951.77199022124967</v>
      </c>
      <c r="E31" s="320"/>
    </row>
    <row r="32" spans="1:5" s="1" customFormat="1" ht="15" x14ac:dyDescent="0.4">
      <c r="A32" s="7">
        <v>2028</v>
      </c>
      <c r="B32" s="218" t="s">
        <v>306</v>
      </c>
      <c r="C32" s="78">
        <f>C31+('3-Muni. Fac. Solar'!B37+'3-Muni. Fac. Solar'!B66+'3-Muni. Fac. Solar'!B95+'3-Muni. Fac. Solar'!B124)</f>
        <v>1985.6140496031749</v>
      </c>
      <c r="D32" s="319">
        <f>('Budget Summary'!$D$4/'Budget Summary'!$C$4)*'Program Summary'!C32</f>
        <v>1325.9918794035236</v>
      </c>
      <c r="E32" s="320"/>
    </row>
    <row r="33" spans="1:5" s="1" customFormat="1" ht="15" x14ac:dyDescent="0.4">
      <c r="A33" s="7">
        <v>2029</v>
      </c>
      <c r="B33" s="218" t="s">
        <v>307</v>
      </c>
      <c r="C33" s="78">
        <f>C32+C5</f>
        <v>2545.9917420634924</v>
      </c>
      <c r="D33" s="319">
        <f>('Budget Summary'!$D$4/'Budget Summary'!$C$4)*'Program Summary'!C33</f>
        <v>1700.2117685857975</v>
      </c>
      <c r="E33" s="320"/>
    </row>
    <row r="34" spans="1:5" s="1" customFormat="1" ht="15" x14ac:dyDescent="0.4">
      <c r="A34" s="141">
        <v>2030</v>
      </c>
      <c r="B34" s="329" t="s">
        <v>310</v>
      </c>
      <c r="C34" s="152">
        <f>C33+'3-Muni. Fac. Solar'!$E$7</f>
        <v>3106.36943452381</v>
      </c>
      <c r="D34" s="325">
        <f>('Budget Summary'!$D$4/'Budget Summary'!$C$4)*'Program Summary'!C34</f>
        <v>2074.4316577680715</v>
      </c>
      <c r="E34" s="326"/>
    </row>
    <row r="35" spans="1:5" s="1" customFormat="1" ht="15" x14ac:dyDescent="0.4">
      <c r="A35" s="7">
        <v>2031</v>
      </c>
      <c r="B35" s="330"/>
      <c r="C35" s="78">
        <f>C34+'3-Muni. Fac. Solar'!$E$7</f>
        <v>3666.7471269841276</v>
      </c>
      <c r="D35" s="319">
        <f>('Budget Summary'!$D$4/'Budget Summary'!$C$4)*'Program Summary'!C35</f>
        <v>2448.6515469503452</v>
      </c>
      <c r="E35" s="320"/>
    </row>
    <row r="36" spans="1:5" s="1" customFormat="1" ht="15" x14ac:dyDescent="0.4">
      <c r="A36" s="7">
        <v>2032</v>
      </c>
      <c r="B36" s="330"/>
      <c r="C36" s="78">
        <f>C35+'3-Muni. Fac. Solar'!$E$7</f>
        <v>4227.1248194444452</v>
      </c>
      <c r="D36" s="319">
        <f>('Budget Summary'!$D$4/'Budget Summary'!$C$4)*'Program Summary'!C36</f>
        <v>2822.8714361326192</v>
      </c>
      <c r="E36" s="320"/>
    </row>
    <row r="37" spans="1:5" s="1" customFormat="1" ht="15" x14ac:dyDescent="0.4">
      <c r="A37" s="7">
        <v>2033</v>
      </c>
      <c r="B37" s="330"/>
      <c r="C37" s="78">
        <f>C36+'3-Muni. Fac. Solar'!$E$7</f>
        <v>4787.5025119047623</v>
      </c>
      <c r="D37" s="319">
        <f>('Budget Summary'!$D$4/'Budget Summary'!$C$4)*'Program Summary'!C37</f>
        <v>3197.0913253148929</v>
      </c>
      <c r="E37" s="320"/>
    </row>
    <row r="38" spans="1:5" s="1" customFormat="1" ht="15" x14ac:dyDescent="0.4">
      <c r="A38" s="7">
        <v>2034</v>
      </c>
      <c r="B38" s="330"/>
      <c r="C38" s="78">
        <f>C37+'3-Muni. Fac. Solar'!$E$7</f>
        <v>5347.8802043650794</v>
      </c>
      <c r="D38" s="319">
        <f>('Budget Summary'!$D$4/'Budget Summary'!$C$4)*'Program Summary'!C38</f>
        <v>3571.3112144971665</v>
      </c>
      <c r="E38" s="320"/>
    </row>
    <row r="39" spans="1:5" s="1" customFormat="1" ht="15" x14ac:dyDescent="0.4">
      <c r="A39" s="7">
        <v>2035</v>
      </c>
      <c r="B39" s="330"/>
      <c r="C39" s="78">
        <f>C38+'3-Muni. Fac. Solar'!$E$7</f>
        <v>5908.2578968253965</v>
      </c>
      <c r="D39" s="319">
        <f>('Budget Summary'!$D$4/'Budget Summary'!$C$4)*'Program Summary'!C39</f>
        <v>3945.5311036794401</v>
      </c>
      <c r="E39" s="320"/>
    </row>
    <row r="40" spans="1:5" s="1" customFormat="1" ht="15" x14ac:dyDescent="0.4">
      <c r="A40" s="7">
        <v>2036</v>
      </c>
      <c r="B40" s="330"/>
      <c r="C40" s="78">
        <f>C39+'3-Muni. Fac. Solar'!$E$7</f>
        <v>6468.6355892857136</v>
      </c>
      <c r="D40" s="319">
        <f>('Budget Summary'!$D$4/'Budget Summary'!$C$4)*'Program Summary'!C40</f>
        <v>4319.7509928617137</v>
      </c>
      <c r="E40" s="320"/>
    </row>
    <row r="41" spans="1:5" s="1" customFormat="1" ht="15" x14ac:dyDescent="0.4">
      <c r="A41" s="7">
        <v>2037</v>
      </c>
      <c r="B41" s="330"/>
      <c r="C41" s="78">
        <f>C40+'3-Muni. Fac. Solar'!$E$7</f>
        <v>7029.0132817460308</v>
      </c>
      <c r="D41" s="319">
        <f>('Budget Summary'!$D$4/'Budget Summary'!$C$4)*'Program Summary'!C41</f>
        <v>4693.9708820439873</v>
      </c>
      <c r="E41" s="320"/>
    </row>
    <row r="42" spans="1:5" s="1" customFormat="1" ht="15" x14ac:dyDescent="0.4">
      <c r="A42" s="7">
        <v>2038</v>
      </c>
      <c r="B42" s="330"/>
      <c r="C42" s="78">
        <f>C41+'3-Muni. Fac. Solar'!$E$7</f>
        <v>7589.3909742063479</v>
      </c>
      <c r="D42" s="319">
        <f>('Budget Summary'!$D$4/'Budget Summary'!$C$4)*'Program Summary'!C42</f>
        <v>5068.1907712262609</v>
      </c>
      <c r="E42" s="320"/>
    </row>
    <row r="43" spans="1:5" s="1" customFormat="1" ht="15" x14ac:dyDescent="0.4">
      <c r="A43" s="7">
        <v>2039</v>
      </c>
      <c r="B43" s="330"/>
      <c r="C43" s="78">
        <f>C42+'3-Muni. Fac. Solar'!$E$7</f>
        <v>8149.768666666665</v>
      </c>
      <c r="D43" s="319">
        <f>('Budget Summary'!$D$4/'Budget Summary'!$C$4)*'Program Summary'!C43</f>
        <v>5442.4106604085346</v>
      </c>
      <c r="E43" s="320"/>
    </row>
    <row r="44" spans="1:5" s="1" customFormat="1" ht="15" x14ac:dyDescent="0.4">
      <c r="A44" s="7">
        <v>2040</v>
      </c>
      <c r="B44" s="330"/>
      <c r="C44" s="78">
        <f>C43+'3-Muni. Fac. Solar'!$E$7</f>
        <v>8710.1463591269821</v>
      </c>
      <c r="D44" s="319">
        <f>('Budget Summary'!$D$4/'Budget Summary'!$C$4)*'Program Summary'!C44</f>
        <v>5816.6305495908082</v>
      </c>
      <c r="E44" s="320"/>
    </row>
    <row r="45" spans="1:5" s="1" customFormat="1" ht="15" x14ac:dyDescent="0.4">
      <c r="A45" s="7">
        <v>2041</v>
      </c>
      <c r="B45" s="330"/>
      <c r="C45" s="78">
        <f>C44+'3-Muni. Fac. Solar'!$E$7</f>
        <v>9270.5240515872993</v>
      </c>
      <c r="D45" s="319">
        <f>('Budget Summary'!$D$4/'Budget Summary'!$C$4)*'Program Summary'!C45</f>
        <v>6190.8504387730818</v>
      </c>
      <c r="E45" s="320"/>
    </row>
    <row r="46" spans="1:5" s="1" customFormat="1" ht="15" x14ac:dyDescent="0.4">
      <c r="A46" s="7">
        <v>2042</v>
      </c>
      <c r="B46" s="330"/>
      <c r="C46" s="78">
        <f>C45+'3-Muni. Fac. Solar'!$E$7</f>
        <v>9830.9017440476164</v>
      </c>
      <c r="D46" s="319">
        <f>('Budget Summary'!$D$4/'Budget Summary'!$C$4)*'Program Summary'!C46</f>
        <v>6565.0703279553554</v>
      </c>
      <c r="E46" s="320"/>
    </row>
    <row r="47" spans="1:5" s="1" customFormat="1" ht="15" x14ac:dyDescent="0.4">
      <c r="A47" s="7">
        <v>2043</v>
      </c>
      <c r="B47" s="330"/>
      <c r="C47" s="78">
        <f>C46+'3-Muni. Fac. Solar'!$E$7</f>
        <v>10391.279436507933</v>
      </c>
      <c r="D47" s="319">
        <f>('Budget Summary'!$D$4/'Budget Summary'!$C$4)*'Program Summary'!C47</f>
        <v>6939.290217137629</v>
      </c>
      <c r="E47" s="320"/>
    </row>
    <row r="48" spans="1:5" s="1" customFormat="1" ht="15" x14ac:dyDescent="0.4">
      <c r="A48" s="7">
        <v>2044</v>
      </c>
      <c r="B48" s="330"/>
      <c r="C48" s="78">
        <f>C47+'3-Muni. Fac. Solar'!$E$7</f>
        <v>10951.657128968251</v>
      </c>
      <c r="D48" s="319">
        <f>('Budget Summary'!$D$4/'Budget Summary'!$C$4)*'Program Summary'!C48</f>
        <v>7313.5101063199027</v>
      </c>
      <c r="E48" s="320"/>
    </row>
    <row r="49" spans="1:5" s="1" customFormat="1" ht="15" x14ac:dyDescent="0.4">
      <c r="A49" s="7">
        <v>2045</v>
      </c>
      <c r="B49" s="330"/>
      <c r="C49" s="78">
        <f>C48+'3-Muni. Fac. Solar'!$E$7</f>
        <v>11512.034821428568</v>
      </c>
      <c r="D49" s="319">
        <f>('Budget Summary'!$D$4/'Budget Summary'!$C$4)*'Program Summary'!C49</f>
        <v>7687.7299955021763</v>
      </c>
      <c r="E49" s="320"/>
    </row>
    <row r="50" spans="1:5" s="1" customFormat="1" ht="15" x14ac:dyDescent="0.4">
      <c r="A50" s="7">
        <v>2046</v>
      </c>
      <c r="B50" s="330"/>
      <c r="C50" s="78">
        <f>C49+'3-Muni. Fac. Solar'!$E$7</f>
        <v>12072.412513888885</v>
      </c>
      <c r="D50" s="319">
        <f>('Budget Summary'!$D$4/'Budget Summary'!$C$4)*'Program Summary'!C50</f>
        <v>8061.9498846844499</v>
      </c>
      <c r="E50" s="320"/>
    </row>
    <row r="51" spans="1:5" s="1" customFormat="1" ht="15" x14ac:dyDescent="0.4">
      <c r="A51" s="7">
        <v>2047</v>
      </c>
      <c r="B51" s="330"/>
      <c r="C51" s="78">
        <f>C50+'3-Muni. Fac. Solar'!$E$7</f>
        <v>12632.790206349202</v>
      </c>
      <c r="D51" s="319">
        <f>('Budget Summary'!$D$4/'Budget Summary'!$C$4)*'Program Summary'!C51</f>
        <v>8436.1697738667226</v>
      </c>
      <c r="E51" s="320"/>
    </row>
    <row r="52" spans="1:5" s="1" customFormat="1" ht="15" x14ac:dyDescent="0.4">
      <c r="A52" s="7">
        <v>2048</v>
      </c>
      <c r="B52" s="330"/>
      <c r="C52" s="78">
        <f>C51+'3-Muni. Fac. Solar'!$E$7</f>
        <v>13193.167898809519</v>
      </c>
      <c r="D52" s="319">
        <f>('Budget Summary'!$D$4/'Budget Summary'!$C$4)*'Program Summary'!C52</f>
        <v>8810.3896630489962</v>
      </c>
      <c r="E52" s="320"/>
    </row>
    <row r="53" spans="1:5" s="1" customFormat="1" ht="15" x14ac:dyDescent="0.4">
      <c r="A53" s="7">
        <v>2049</v>
      </c>
      <c r="B53" s="330"/>
      <c r="C53" s="78">
        <f>C52+'3-Muni. Fac. Solar'!$E$7</f>
        <v>13753.545591269836</v>
      </c>
      <c r="D53" s="319">
        <f>('Budget Summary'!$D$4/'Budget Summary'!$C$4)*'Program Summary'!C53</f>
        <v>9184.6095522312698</v>
      </c>
      <c r="E53" s="320"/>
    </row>
    <row r="54" spans="1:5" s="1" customFormat="1" ht="15.5" thickBot="1" x14ac:dyDescent="0.45">
      <c r="A54" s="142">
        <v>2050</v>
      </c>
      <c r="B54" s="331"/>
      <c r="C54" s="80">
        <f>C53+'3-Muni. Fac. Solar'!$E$7</f>
        <v>14313.923283730153</v>
      </c>
      <c r="D54" s="319">
        <f>('Budget Summary'!$D$4/'Budget Summary'!$C$4)*'Program Summary'!C54</f>
        <v>9558.8294414135435</v>
      </c>
      <c r="E54" s="320"/>
    </row>
    <row r="55" spans="1:5" s="1" customFormat="1" ht="15.5" thickBot="1" x14ac:dyDescent="0.45">
      <c r="A55" s="332" t="s">
        <v>191</v>
      </c>
      <c r="B55" s="333"/>
      <c r="C55" s="153">
        <f>C34</f>
        <v>3106.36943452381</v>
      </c>
      <c r="D55" s="313">
        <f>D34</f>
        <v>2074.4316577680715</v>
      </c>
      <c r="E55" s="314"/>
    </row>
    <row r="56" spans="1:5" s="1" customFormat="1" ht="15.5" thickBot="1" x14ac:dyDescent="0.45">
      <c r="A56" s="315" t="s">
        <v>141</v>
      </c>
      <c r="B56" s="316"/>
      <c r="C56" s="144">
        <f>C54</f>
        <v>14313.923283730153</v>
      </c>
      <c r="D56" s="317">
        <f>D54</f>
        <v>9558.8294414135435</v>
      </c>
      <c r="E56" s="318"/>
    </row>
    <row r="57" spans="1:5" s="1" customFormat="1" ht="15" x14ac:dyDescent="0.4">
      <c r="A57" s="321"/>
      <c r="B57" s="321"/>
      <c r="C57" s="222"/>
      <c r="D57" s="334"/>
      <c r="E57" s="334"/>
    </row>
    <row r="58" spans="1:5" s="1" customFormat="1" ht="15" x14ac:dyDescent="0.4">
      <c r="A58" s="328" t="str">
        <f>B6</f>
        <v>Sustainable Municipal Upgrades</v>
      </c>
      <c r="B58" s="328"/>
      <c r="C58" s="328"/>
      <c r="D58" s="328"/>
      <c r="E58" s="328"/>
    </row>
    <row r="59" spans="1:5" s="1" customFormat="1" ht="47" x14ac:dyDescent="0.4">
      <c r="A59" s="83" t="s">
        <v>138</v>
      </c>
      <c r="B59" s="84" t="s">
        <v>140</v>
      </c>
      <c r="C59" s="84" t="s">
        <v>139</v>
      </c>
      <c r="D59" s="327" t="s">
        <v>190</v>
      </c>
      <c r="E59" s="327"/>
    </row>
    <row r="60" spans="1:5" s="1" customFormat="1" ht="15" x14ac:dyDescent="0.4">
      <c r="A60" s="7">
        <v>2025</v>
      </c>
      <c r="B60" s="4" t="s">
        <v>424</v>
      </c>
      <c r="C60" s="78">
        <f>'4-Muni Upgrades'!E2</f>
        <v>117.069575</v>
      </c>
      <c r="D60" s="319">
        <f>C60*('Budget Summary'!$D$5/'Budget Summary'!$C$5)</f>
        <v>93.39069378134046</v>
      </c>
      <c r="E60" s="320"/>
    </row>
    <row r="61" spans="1:5" s="1" customFormat="1" ht="15" x14ac:dyDescent="0.4">
      <c r="A61" s="7">
        <v>2026</v>
      </c>
      <c r="B61" s="4" t="s">
        <v>425</v>
      </c>
      <c r="C61" s="78">
        <f>C60+'4-Muni Upgrades'!$E$5</f>
        <v>1066.1023024518665</v>
      </c>
      <c r="D61" s="319">
        <f>C61*('Budget Summary'!$D$5/'Budget Summary'!$C$5)</f>
        <v>850.46890849193119</v>
      </c>
      <c r="E61" s="320"/>
    </row>
    <row r="62" spans="1:5" s="1" customFormat="1" ht="15" x14ac:dyDescent="0.4">
      <c r="A62" s="7">
        <v>2027</v>
      </c>
      <c r="B62" s="4"/>
      <c r="C62" s="78">
        <f>C61+'4-Muni Upgrades'!$E$5</f>
        <v>2015.1350299037331</v>
      </c>
      <c r="D62" s="319">
        <f>C62*('Budget Summary'!$D$5/'Budget Summary'!$C$5)</f>
        <v>1607.547123202522</v>
      </c>
      <c r="E62" s="320"/>
    </row>
    <row r="63" spans="1:5" s="1" customFormat="1" ht="15" x14ac:dyDescent="0.4">
      <c r="A63" s="7">
        <v>2028</v>
      </c>
      <c r="B63" s="4"/>
      <c r="C63" s="78">
        <f>C62+'4-Muni Upgrades'!$E$5</f>
        <v>2964.1677573555994</v>
      </c>
      <c r="D63" s="319">
        <f>C63*('Budget Summary'!$D$5/'Budget Summary'!$C$5)</f>
        <v>2364.6253379131126</v>
      </c>
      <c r="E63" s="320"/>
    </row>
    <row r="64" spans="1:5" s="1" customFormat="1" ht="15" x14ac:dyDescent="0.4">
      <c r="A64" s="7">
        <v>2029</v>
      </c>
      <c r="B64" s="4"/>
      <c r="C64" s="78">
        <f>C63+'4-Muni Upgrades'!$E$5</f>
        <v>3913.2004848074657</v>
      </c>
      <c r="D64" s="319">
        <f>C64*('Budget Summary'!$D$5/'Budget Summary'!$C$5)</f>
        <v>3121.7035526237032</v>
      </c>
      <c r="E64" s="320"/>
    </row>
    <row r="65" spans="1:5" s="1" customFormat="1" ht="15" x14ac:dyDescent="0.4">
      <c r="A65" s="141">
        <v>2030</v>
      </c>
      <c r="B65" s="4"/>
      <c r="C65" s="152">
        <f>C64+'4-Muni Upgrades'!$E$5</f>
        <v>4862.2332122593325</v>
      </c>
      <c r="D65" s="325">
        <f>C65*('Budget Summary'!$D$5/'Budget Summary'!$C$5)</f>
        <v>3878.7817673342938</v>
      </c>
      <c r="E65" s="326"/>
    </row>
    <row r="66" spans="1:5" s="1" customFormat="1" ht="15" x14ac:dyDescent="0.4">
      <c r="A66" s="7">
        <v>2031</v>
      </c>
      <c r="B66" s="4"/>
      <c r="C66" s="78">
        <f>C65+'4-Muni Upgrades'!$E$5</f>
        <v>5811.2659397111993</v>
      </c>
      <c r="D66" s="319">
        <f>C66*('Budget Summary'!$D$5/'Budget Summary'!$C$5)</f>
        <v>4635.8599820448853</v>
      </c>
      <c r="E66" s="320"/>
    </row>
    <row r="67" spans="1:5" s="1" customFormat="1" ht="15" x14ac:dyDescent="0.4">
      <c r="A67" s="7">
        <v>2032</v>
      </c>
      <c r="B67" s="4"/>
      <c r="C67" s="78">
        <f>C66+'4-Muni Upgrades'!$E$5</f>
        <v>6760.2986671630661</v>
      </c>
      <c r="D67" s="319">
        <f>C67*('Budget Summary'!$D$5/'Budget Summary'!$C$5)</f>
        <v>5392.9381967554755</v>
      </c>
      <c r="E67" s="320"/>
    </row>
    <row r="68" spans="1:5" s="1" customFormat="1" ht="15" x14ac:dyDescent="0.4">
      <c r="A68" s="7">
        <v>2033</v>
      </c>
      <c r="B68" s="4"/>
      <c r="C68" s="78">
        <f>C67+'4-Muni Upgrades'!$E$5</f>
        <v>7709.3313946149328</v>
      </c>
      <c r="D68" s="319">
        <f>C68*('Budget Summary'!$D$5/'Budget Summary'!$C$5)</f>
        <v>6150.0164114660665</v>
      </c>
      <c r="E68" s="320"/>
    </row>
    <row r="69" spans="1:5" s="1" customFormat="1" ht="15" x14ac:dyDescent="0.4">
      <c r="A69" s="7">
        <v>2034</v>
      </c>
      <c r="B69" s="4"/>
      <c r="C69" s="78">
        <f>C68+'4-Muni Upgrades'!$E$5</f>
        <v>8658.3641220667996</v>
      </c>
      <c r="D69" s="319">
        <f>C69*('Budget Summary'!$D$5/'Budget Summary'!$C$5)</f>
        <v>6907.0946261766576</v>
      </c>
      <c r="E69" s="320"/>
    </row>
    <row r="70" spans="1:5" s="1" customFormat="1" ht="15" x14ac:dyDescent="0.4">
      <c r="A70" s="7">
        <v>2035</v>
      </c>
      <c r="B70" s="4"/>
      <c r="C70" s="78">
        <f>C69+'4-Muni Upgrades'!$E$5</f>
        <v>9607.3968495186655</v>
      </c>
      <c r="D70" s="319">
        <f>C70*('Budget Summary'!$D$5/'Budget Summary'!$C$5)</f>
        <v>7664.1728408872477</v>
      </c>
      <c r="E70" s="320"/>
    </row>
    <row r="71" spans="1:5" s="1" customFormat="1" ht="15" x14ac:dyDescent="0.4">
      <c r="A71" s="7">
        <v>2036</v>
      </c>
      <c r="B71" s="4"/>
      <c r="C71" s="78">
        <f>C70+'4-Muni Upgrades'!$E$5</f>
        <v>10556.429576970531</v>
      </c>
      <c r="D71" s="319">
        <f>C71*('Budget Summary'!$D$5/'Budget Summary'!$C$5)</f>
        <v>8421.2510555978388</v>
      </c>
      <c r="E71" s="320"/>
    </row>
    <row r="72" spans="1:5" s="1" customFormat="1" ht="15" x14ac:dyDescent="0.4">
      <c r="A72" s="7">
        <v>2037</v>
      </c>
      <c r="B72" s="4"/>
      <c r="C72" s="78">
        <f>C71+'4-Muni Upgrades'!$E$5</f>
        <v>11505.462304422397</v>
      </c>
      <c r="D72" s="319">
        <f>C72*('Budget Summary'!$D$5/'Budget Summary'!$C$5)</f>
        <v>9178.329270308428</v>
      </c>
      <c r="E72" s="320"/>
    </row>
    <row r="73" spans="1:5" s="1" customFormat="1" ht="15" x14ac:dyDescent="0.4">
      <c r="A73" s="7">
        <v>2038</v>
      </c>
      <c r="B73" s="4"/>
      <c r="C73" s="78">
        <f>C72+'4-Muni Upgrades'!$E$5</f>
        <v>12454.495031874263</v>
      </c>
      <c r="D73" s="319">
        <f>C73*('Budget Summary'!$D$5/'Budget Summary'!$C$5)</f>
        <v>9935.4074850190191</v>
      </c>
      <c r="E73" s="320"/>
    </row>
    <row r="74" spans="1:5" s="1" customFormat="1" ht="15" x14ac:dyDescent="0.4">
      <c r="A74" s="7">
        <v>2039</v>
      </c>
      <c r="B74" s="4"/>
      <c r="C74" s="78">
        <f>C73+'4-Muni Upgrades'!$E$5</f>
        <v>13403.527759326129</v>
      </c>
      <c r="D74" s="319">
        <f>C74*('Budget Summary'!$D$5/'Budget Summary'!$C$5)</f>
        <v>10692.485699729608</v>
      </c>
      <c r="E74" s="320"/>
    </row>
    <row r="75" spans="1:5" s="1" customFormat="1" ht="15" x14ac:dyDescent="0.4">
      <c r="A75" s="7">
        <v>2040</v>
      </c>
      <c r="B75" s="4"/>
      <c r="C75" s="78">
        <f>C74+'4-Muni Upgrades'!$E$5</f>
        <v>14352.560486777995</v>
      </c>
      <c r="D75" s="319">
        <f>C75*('Budget Summary'!$D$5/'Budget Summary'!$C$5)</f>
        <v>11449.563914440199</v>
      </c>
      <c r="E75" s="320"/>
    </row>
    <row r="76" spans="1:5" s="1" customFormat="1" ht="15" x14ac:dyDescent="0.4">
      <c r="A76" s="7">
        <v>2041</v>
      </c>
      <c r="B76" s="4"/>
      <c r="C76" s="78">
        <f>C75+'4-Muni Upgrades'!$E$5</f>
        <v>15301.593214229861</v>
      </c>
      <c r="D76" s="319">
        <f>C76*('Budget Summary'!$D$5/'Budget Summary'!$C$5)</f>
        <v>12206.642129150789</v>
      </c>
      <c r="E76" s="320"/>
    </row>
    <row r="77" spans="1:5" s="1" customFormat="1" ht="15" x14ac:dyDescent="0.4">
      <c r="A77" s="7">
        <v>2042</v>
      </c>
      <c r="B77" s="4"/>
      <c r="C77" s="78">
        <f>C76+'4-Muni Upgrades'!$E$5</f>
        <v>16250.625941681727</v>
      </c>
      <c r="D77" s="319">
        <f>C77*('Budget Summary'!$D$5/'Budget Summary'!$C$5)</f>
        <v>12963.72034386138</v>
      </c>
      <c r="E77" s="320"/>
    </row>
    <row r="78" spans="1:5" s="1" customFormat="1" ht="15" x14ac:dyDescent="0.4">
      <c r="A78" s="7">
        <v>2043</v>
      </c>
      <c r="B78" s="4"/>
      <c r="C78" s="78">
        <f>C77+'4-Muni Upgrades'!$E$5</f>
        <v>17199.658669133594</v>
      </c>
      <c r="D78" s="319">
        <f>C78*('Budget Summary'!$D$5/'Budget Summary'!$C$5)</f>
        <v>13720.798558571971</v>
      </c>
      <c r="E78" s="320"/>
    </row>
    <row r="79" spans="1:5" s="1" customFormat="1" ht="15" x14ac:dyDescent="0.4">
      <c r="A79" s="7">
        <v>2044</v>
      </c>
      <c r="B79" s="4"/>
      <c r="C79" s="78">
        <f>C78+'4-Muni Upgrades'!$E$5</f>
        <v>18148.691396585462</v>
      </c>
      <c r="D79" s="319">
        <f>C79*('Budget Summary'!$D$5/'Budget Summary'!$C$5)</f>
        <v>14477.876773282562</v>
      </c>
      <c r="E79" s="320"/>
    </row>
    <row r="80" spans="1:5" s="1" customFormat="1" ht="15" x14ac:dyDescent="0.4">
      <c r="A80" s="7">
        <v>2045</v>
      </c>
      <c r="B80" s="4"/>
      <c r="C80" s="78">
        <f>C79+'4-Muni Upgrades'!$E$5</f>
        <v>19097.72412403733</v>
      </c>
      <c r="D80" s="319">
        <f>C80*('Budget Summary'!$D$5/'Budget Summary'!$C$5)</f>
        <v>15234.954987993155</v>
      </c>
      <c r="E80" s="320"/>
    </row>
    <row r="81" spans="1:5" s="1" customFormat="1" ht="15" x14ac:dyDescent="0.4">
      <c r="A81" s="7">
        <v>2046</v>
      </c>
      <c r="B81" s="4"/>
      <c r="C81" s="78">
        <f>C80+'4-Muni Upgrades'!$E$5</f>
        <v>20046.756851489197</v>
      </c>
      <c r="D81" s="319">
        <f>C81*('Budget Summary'!$D$5/'Budget Summary'!$C$5)</f>
        <v>15992.033202703746</v>
      </c>
      <c r="E81" s="320"/>
    </row>
    <row r="82" spans="1:5" s="1" customFormat="1" ht="15" x14ac:dyDescent="0.4">
      <c r="A82" s="7">
        <v>2047</v>
      </c>
      <c r="B82" s="4"/>
      <c r="C82" s="78">
        <f>C81+'4-Muni Upgrades'!$E$5</f>
        <v>20995.789578941065</v>
      </c>
      <c r="D82" s="319">
        <f>C82*('Budget Summary'!$D$5/'Budget Summary'!$C$5)</f>
        <v>16749.111417414337</v>
      </c>
      <c r="E82" s="320"/>
    </row>
    <row r="83" spans="1:5" s="1" customFormat="1" ht="15" x14ac:dyDescent="0.4">
      <c r="A83" s="7">
        <v>2048</v>
      </c>
      <c r="B83" s="4"/>
      <c r="C83" s="78">
        <f>C82+'4-Muni Upgrades'!$E$5</f>
        <v>21944.822306392933</v>
      </c>
      <c r="D83" s="319">
        <f>C83*('Budget Summary'!$D$5/'Budget Summary'!$C$5)</f>
        <v>17506.18963212493</v>
      </c>
      <c r="E83" s="320"/>
    </row>
    <row r="84" spans="1:5" s="1" customFormat="1" ht="15" x14ac:dyDescent="0.4">
      <c r="A84" s="7">
        <v>2049</v>
      </c>
      <c r="B84" s="4"/>
      <c r="C84" s="78">
        <f>C83+'4-Muni Upgrades'!$E$5</f>
        <v>22893.8550338448</v>
      </c>
      <c r="D84" s="319">
        <f>C84*('Budget Summary'!$D$5/'Budget Summary'!$C$5)</f>
        <v>18263.267846835523</v>
      </c>
      <c r="E84" s="320"/>
    </row>
    <row r="85" spans="1:5" s="1" customFormat="1" ht="15.5" thickBot="1" x14ac:dyDescent="0.45">
      <c r="A85" s="142">
        <v>2050</v>
      </c>
      <c r="B85" s="85"/>
      <c r="C85" s="80">
        <f>C84+'4-Muni Upgrades'!$E$5</f>
        <v>23842.887761296668</v>
      </c>
      <c r="D85" s="319">
        <f>C85*('Budget Summary'!$D$5/'Budget Summary'!$C$5)</f>
        <v>19020.346061546112</v>
      </c>
      <c r="E85" s="320"/>
    </row>
    <row r="86" spans="1:5" s="1" customFormat="1" ht="15.5" thickBot="1" x14ac:dyDescent="0.45">
      <c r="A86" s="332" t="s">
        <v>191</v>
      </c>
      <c r="B86" s="333"/>
      <c r="C86" s="153">
        <f>C65</f>
        <v>4862.2332122593325</v>
      </c>
      <c r="D86" s="313">
        <f>D65</f>
        <v>3878.7817673342938</v>
      </c>
      <c r="E86" s="314"/>
    </row>
    <row r="87" spans="1:5" s="1" customFormat="1" ht="15.5" thickBot="1" x14ac:dyDescent="0.45">
      <c r="A87" s="315" t="s">
        <v>141</v>
      </c>
      <c r="B87" s="316"/>
      <c r="C87" s="144">
        <f>C85</f>
        <v>23842.887761296668</v>
      </c>
      <c r="D87" s="317">
        <f>D85</f>
        <v>19020.346061546112</v>
      </c>
      <c r="E87" s="318"/>
    </row>
    <row r="88" spans="1:5" s="1" customFormat="1" ht="15" x14ac:dyDescent="0.4"/>
    <row r="89" spans="1:5" s="1" customFormat="1" ht="15" x14ac:dyDescent="0.4">
      <c r="A89" s="328" t="str">
        <f>B3</f>
        <v>Residential Rooftop Solar</v>
      </c>
      <c r="B89" s="328"/>
      <c r="C89" s="328"/>
      <c r="D89" s="328"/>
      <c r="E89" s="328"/>
    </row>
    <row r="90" spans="1:5" s="1" customFormat="1" ht="47" x14ac:dyDescent="0.4">
      <c r="A90" s="83" t="s">
        <v>138</v>
      </c>
      <c r="B90" s="84" t="s">
        <v>140</v>
      </c>
      <c r="C90" s="84" t="s">
        <v>139</v>
      </c>
      <c r="D90" s="327" t="s">
        <v>190</v>
      </c>
      <c r="E90" s="327"/>
    </row>
    <row r="91" spans="1:5" s="1" customFormat="1" ht="15" x14ac:dyDescent="0.4">
      <c r="A91" s="7">
        <v>2025</v>
      </c>
      <c r="B91" s="7" t="s">
        <v>298</v>
      </c>
      <c r="C91" s="78">
        <f>C3-((0.8)*'1-Res. Roof Solar'!B6)</f>
        <v>94.366984126984107</v>
      </c>
      <c r="D91" s="319">
        <f>('Budget Summary'!$D$2/'Budget Summary'!$C$2)*'Program Summary'!C91</f>
        <v>35.925662968272498</v>
      </c>
      <c r="E91" s="320"/>
    </row>
    <row r="92" spans="1:5" s="1" customFormat="1" ht="15" x14ac:dyDescent="0.4">
      <c r="A92" s="7">
        <v>2026</v>
      </c>
      <c r="B92" s="7" t="s">
        <v>299</v>
      </c>
      <c r="C92" s="78">
        <f>C91+(C3-((0.6)*'1-Res. Roof Solar'!B6))</f>
        <v>283.10095238095238</v>
      </c>
      <c r="D92" s="319">
        <f>('Budget Summary'!$D$2/'Budget Summary'!$C$2)*'Program Summary'!C92</f>
        <v>107.77698890481751</v>
      </c>
      <c r="E92" s="320"/>
    </row>
    <row r="93" spans="1:5" s="1" customFormat="1" ht="15" x14ac:dyDescent="0.4">
      <c r="A93" s="7">
        <v>2027</v>
      </c>
      <c r="B93" s="7" t="s">
        <v>300</v>
      </c>
      <c r="C93" s="78">
        <f>C92+(C3-((0.4)*'1-Res. Roof Solar'!B6))</f>
        <v>566.20190476190464</v>
      </c>
      <c r="D93" s="319">
        <f>('Budget Summary'!$D$2/'Budget Summary'!$C$2)*'Program Summary'!C93</f>
        <v>215.553977809635</v>
      </c>
      <c r="E93" s="320"/>
    </row>
    <row r="94" spans="1:5" s="1" customFormat="1" ht="15" x14ac:dyDescent="0.4">
      <c r="A94" s="7">
        <v>2028</v>
      </c>
      <c r="B94" s="218" t="s">
        <v>301</v>
      </c>
      <c r="C94" s="78">
        <f>C93+(C3-((0.2)*'1-Res. Roof Solar'!B6))</f>
        <v>943.66984126984107</v>
      </c>
      <c r="D94" s="319">
        <f>('Budget Summary'!$D$2/'Budget Summary'!$C$2)*'Program Summary'!C94</f>
        <v>359.25662968272502</v>
      </c>
      <c r="E94" s="320"/>
    </row>
    <row r="95" spans="1:5" s="1" customFormat="1" ht="15" x14ac:dyDescent="0.4">
      <c r="A95" s="7">
        <v>2029</v>
      </c>
      <c r="B95" s="218" t="s">
        <v>302</v>
      </c>
      <c r="C95" s="78">
        <f t="shared" ref="C95:C100" si="2">C94+$C$3</f>
        <v>1415.5047619047616</v>
      </c>
      <c r="D95" s="319">
        <f>('Budget Summary'!$D$2/'Budget Summary'!$C$2)*'Program Summary'!C95</f>
        <v>538.88494452408747</v>
      </c>
      <c r="E95" s="320"/>
    </row>
    <row r="96" spans="1:5" s="1" customFormat="1" ht="15" x14ac:dyDescent="0.4">
      <c r="A96" s="141">
        <v>2030</v>
      </c>
      <c r="B96" s="329" t="s">
        <v>311</v>
      </c>
      <c r="C96" s="152">
        <f t="shared" si="2"/>
        <v>1887.3396825396821</v>
      </c>
      <c r="D96" s="325">
        <f>('Budget Summary'!$D$2/'Budget Summary'!$C$2)*'Program Summary'!C96</f>
        <v>718.51325936545004</v>
      </c>
      <c r="E96" s="326"/>
    </row>
    <row r="97" spans="1:5" s="1" customFormat="1" ht="15" x14ac:dyDescent="0.4">
      <c r="A97" s="7">
        <v>2031</v>
      </c>
      <c r="B97" s="330"/>
      <c r="C97" s="78">
        <f t="shared" si="2"/>
        <v>2359.1746031746029</v>
      </c>
      <c r="D97" s="319">
        <f>('Budget Summary'!$D$2/'Budget Summary'!$C$2)*'Program Summary'!C97</f>
        <v>898.14157420681261</v>
      </c>
      <c r="E97" s="320"/>
    </row>
    <row r="98" spans="1:5" s="1" customFormat="1" ht="15" x14ac:dyDescent="0.4">
      <c r="A98" s="7">
        <v>2032</v>
      </c>
      <c r="B98" s="330"/>
      <c r="C98" s="78">
        <f t="shared" si="2"/>
        <v>2831.0095238095237</v>
      </c>
      <c r="D98" s="319">
        <f>('Budget Summary'!$D$2/'Budget Summary'!$C$2)*'Program Summary'!C98</f>
        <v>1077.7698890481752</v>
      </c>
      <c r="E98" s="320"/>
    </row>
    <row r="99" spans="1:5" s="1" customFormat="1" ht="15" x14ac:dyDescent="0.4">
      <c r="A99" s="7">
        <v>2033</v>
      </c>
      <c r="B99" s="330"/>
      <c r="C99" s="78">
        <f t="shared" si="2"/>
        <v>3302.8444444444444</v>
      </c>
      <c r="D99" s="319">
        <f>('Budget Summary'!$D$2/'Budget Summary'!$C$2)*'Program Summary'!C99</f>
        <v>1257.3982038895379</v>
      </c>
      <c r="E99" s="320"/>
    </row>
    <row r="100" spans="1:5" s="1" customFormat="1" ht="15" x14ac:dyDescent="0.4">
      <c r="A100" s="7">
        <v>2034</v>
      </c>
      <c r="B100" s="330"/>
      <c r="C100" s="78">
        <f t="shared" si="2"/>
        <v>3774.6793650793652</v>
      </c>
      <c r="D100" s="319">
        <f>('Budget Summary'!$D$2/'Budget Summary'!$C$2)*'Program Summary'!C100</f>
        <v>1437.0265187309003</v>
      </c>
      <c r="E100" s="320"/>
    </row>
    <row r="101" spans="1:5" s="1" customFormat="1" ht="15" x14ac:dyDescent="0.4">
      <c r="A101" s="7">
        <v>2035</v>
      </c>
      <c r="B101" s="330"/>
      <c r="C101" s="78">
        <f t="shared" ref="C101:C116" si="3">C100+$C$3</f>
        <v>4246.5142857142855</v>
      </c>
      <c r="D101" s="319">
        <f>('Budget Summary'!$D$2/'Budget Summary'!$C$2)*'Program Summary'!C101</f>
        <v>1616.6548335722628</v>
      </c>
      <c r="E101" s="320"/>
    </row>
    <row r="102" spans="1:5" s="1" customFormat="1" ht="15" x14ac:dyDescent="0.4">
      <c r="A102" s="7">
        <v>2036</v>
      </c>
      <c r="B102" s="330"/>
      <c r="C102" s="78">
        <f t="shared" si="3"/>
        <v>4718.3492063492058</v>
      </c>
      <c r="D102" s="319">
        <f>('Budget Summary'!$D$2/'Budget Summary'!$C$2)*'Program Summary'!C102</f>
        <v>1796.2831484136252</v>
      </c>
      <c r="E102" s="320"/>
    </row>
    <row r="103" spans="1:5" s="1" customFormat="1" ht="15" x14ac:dyDescent="0.4">
      <c r="A103" s="7">
        <v>2037</v>
      </c>
      <c r="B103" s="330"/>
      <c r="C103" s="78">
        <f t="shared" si="3"/>
        <v>5190.1841269841261</v>
      </c>
      <c r="D103" s="319">
        <f>('Budget Summary'!$D$2/'Budget Summary'!$C$2)*'Program Summary'!C103</f>
        <v>1975.9114632549877</v>
      </c>
      <c r="E103" s="320"/>
    </row>
    <row r="104" spans="1:5" s="1" customFormat="1" ht="15" x14ac:dyDescent="0.4">
      <c r="A104" s="7">
        <v>2038</v>
      </c>
      <c r="B104" s="330"/>
      <c r="C104" s="78">
        <f t="shared" si="3"/>
        <v>5662.0190476190464</v>
      </c>
      <c r="D104" s="319">
        <f>('Budget Summary'!$D$2/'Budget Summary'!$C$2)*'Program Summary'!C104</f>
        <v>2155.5397780963499</v>
      </c>
      <c r="E104" s="320"/>
    </row>
    <row r="105" spans="1:5" s="1" customFormat="1" ht="15" x14ac:dyDescent="0.4">
      <c r="A105" s="7">
        <v>2039</v>
      </c>
      <c r="B105" s="330"/>
      <c r="C105" s="78">
        <f t="shared" si="3"/>
        <v>6133.8539682539667</v>
      </c>
      <c r="D105" s="319">
        <f>('Budget Summary'!$D$2/'Budget Summary'!$C$2)*'Program Summary'!C105</f>
        <v>2335.1680929377126</v>
      </c>
      <c r="E105" s="320"/>
    </row>
    <row r="106" spans="1:5" s="1" customFormat="1" ht="15" x14ac:dyDescent="0.4">
      <c r="A106" s="7">
        <v>2040</v>
      </c>
      <c r="B106" s="330"/>
      <c r="C106" s="78">
        <f t="shared" si="3"/>
        <v>6605.688888888887</v>
      </c>
      <c r="D106" s="319">
        <f>('Budget Summary'!$D$2/'Budget Summary'!$C$2)*'Program Summary'!C106</f>
        <v>2514.7964077790748</v>
      </c>
      <c r="E106" s="320"/>
    </row>
    <row r="107" spans="1:5" s="1" customFormat="1" ht="15" x14ac:dyDescent="0.4">
      <c r="A107" s="7">
        <v>2041</v>
      </c>
      <c r="B107" s="330"/>
      <c r="C107" s="78">
        <f t="shared" si="3"/>
        <v>7077.5238095238074</v>
      </c>
      <c r="D107" s="319">
        <f>('Budget Summary'!$D$2/'Budget Summary'!$C$2)*'Program Summary'!C107</f>
        <v>2694.424722620437</v>
      </c>
      <c r="E107" s="320"/>
    </row>
    <row r="108" spans="1:5" s="1" customFormat="1" ht="15" x14ac:dyDescent="0.4">
      <c r="A108" s="7">
        <v>2042</v>
      </c>
      <c r="B108" s="330"/>
      <c r="C108" s="78">
        <f t="shared" si="3"/>
        <v>7549.3587301587277</v>
      </c>
      <c r="D108" s="319">
        <f>('Budget Summary'!$D$2/'Budget Summary'!$C$2)*'Program Summary'!C108</f>
        <v>2874.0530374617997</v>
      </c>
      <c r="E108" s="320"/>
    </row>
    <row r="109" spans="1:5" s="1" customFormat="1" ht="15" x14ac:dyDescent="0.4">
      <c r="A109" s="7">
        <v>2043</v>
      </c>
      <c r="B109" s="330"/>
      <c r="C109" s="78">
        <f t="shared" si="3"/>
        <v>8021.193650793648</v>
      </c>
      <c r="D109" s="319">
        <f>('Budget Summary'!$D$2/'Budget Summary'!$C$2)*'Program Summary'!C109</f>
        <v>3053.6813523031619</v>
      </c>
      <c r="E109" s="320"/>
    </row>
    <row r="110" spans="1:5" s="1" customFormat="1" ht="15" x14ac:dyDescent="0.4">
      <c r="A110" s="7">
        <v>2044</v>
      </c>
      <c r="B110" s="330"/>
      <c r="C110" s="78">
        <f t="shared" si="3"/>
        <v>8493.0285714285692</v>
      </c>
      <c r="D110" s="319">
        <f>('Budget Summary'!$D$2/'Budget Summary'!$C$2)*'Program Summary'!C110</f>
        <v>3233.3096671445246</v>
      </c>
      <c r="E110" s="320"/>
    </row>
    <row r="111" spans="1:5" s="1" customFormat="1" ht="15" x14ac:dyDescent="0.4">
      <c r="A111" s="7">
        <v>2045</v>
      </c>
      <c r="B111" s="330"/>
      <c r="C111" s="78">
        <f t="shared" si="3"/>
        <v>8964.8634920634904</v>
      </c>
      <c r="D111" s="319">
        <f>('Budget Summary'!$D$2/'Budget Summary'!$C$2)*'Program Summary'!C111</f>
        <v>3412.9379819858877</v>
      </c>
      <c r="E111" s="320"/>
    </row>
    <row r="112" spans="1:5" s="1" customFormat="1" ht="15" x14ac:dyDescent="0.4">
      <c r="A112" s="7">
        <v>2046</v>
      </c>
      <c r="B112" s="330"/>
      <c r="C112" s="78">
        <f t="shared" si="3"/>
        <v>9436.6984126984116</v>
      </c>
      <c r="D112" s="319">
        <f>('Budget Summary'!$D$2/'Budget Summary'!$C$2)*'Program Summary'!C112</f>
        <v>3592.5662968272504</v>
      </c>
      <c r="E112" s="320"/>
    </row>
    <row r="113" spans="1:5" s="1" customFormat="1" ht="15" x14ac:dyDescent="0.4">
      <c r="A113" s="7">
        <v>2047</v>
      </c>
      <c r="B113" s="330"/>
      <c r="C113" s="78">
        <f t="shared" si="3"/>
        <v>9908.5333333333328</v>
      </c>
      <c r="D113" s="319">
        <f>('Budget Summary'!$D$2/'Budget Summary'!$C$2)*'Program Summary'!C113</f>
        <v>3772.1946116686131</v>
      </c>
      <c r="E113" s="320"/>
    </row>
    <row r="114" spans="1:5" s="1" customFormat="1" ht="15" x14ac:dyDescent="0.4">
      <c r="A114" s="7">
        <v>2048</v>
      </c>
      <c r="B114" s="330"/>
      <c r="C114" s="78">
        <f t="shared" si="3"/>
        <v>10380.368253968254</v>
      </c>
      <c r="D114" s="319">
        <f>('Budget Summary'!$D$2/'Budget Summary'!$C$2)*'Program Summary'!C114</f>
        <v>3951.8229265099758</v>
      </c>
      <c r="E114" s="320"/>
    </row>
    <row r="115" spans="1:5" s="1" customFormat="1" ht="15" x14ac:dyDescent="0.4">
      <c r="A115" s="7">
        <v>2049</v>
      </c>
      <c r="B115" s="330"/>
      <c r="C115" s="78">
        <f t="shared" si="3"/>
        <v>10852.203174603175</v>
      </c>
      <c r="D115" s="319">
        <f>('Budget Summary'!$D$2/'Budget Summary'!$C$2)*'Program Summary'!C115</f>
        <v>4131.4512413513385</v>
      </c>
      <c r="E115" s="320"/>
    </row>
    <row r="116" spans="1:5" s="1" customFormat="1" ht="15.5" thickBot="1" x14ac:dyDescent="0.45">
      <c r="A116" s="143">
        <v>2050</v>
      </c>
      <c r="B116" s="331"/>
      <c r="C116" s="78">
        <f t="shared" si="3"/>
        <v>11324.038095238097</v>
      </c>
      <c r="D116" s="319">
        <f>('Budget Summary'!$D$2/'Budget Summary'!$C$2)*'Program Summary'!C116</f>
        <v>4311.0795561927016</v>
      </c>
      <c r="E116" s="320"/>
    </row>
    <row r="117" spans="1:5" s="1" customFormat="1" ht="15.5" thickBot="1" x14ac:dyDescent="0.45">
      <c r="A117" s="332" t="s">
        <v>191</v>
      </c>
      <c r="B117" s="333"/>
      <c r="C117" s="153">
        <f>C96</f>
        <v>1887.3396825396821</v>
      </c>
      <c r="D117" s="313">
        <f>D96</f>
        <v>718.51325936545004</v>
      </c>
      <c r="E117" s="314"/>
    </row>
    <row r="118" spans="1:5" s="1" customFormat="1" ht="15.5" thickBot="1" x14ac:dyDescent="0.45">
      <c r="A118" s="315" t="s">
        <v>141</v>
      </c>
      <c r="B118" s="316"/>
      <c r="C118" s="144">
        <f>C116</f>
        <v>11324.038095238097</v>
      </c>
      <c r="D118" s="317">
        <f>D116</f>
        <v>4311.0795561927016</v>
      </c>
      <c r="E118" s="318"/>
    </row>
    <row r="119" spans="1:5" s="1" customFormat="1" ht="15" x14ac:dyDescent="0.4">
      <c r="A119" s="321"/>
      <c r="B119" s="321"/>
      <c r="D119" s="324"/>
      <c r="E119" s="324"/>
    </row>
    <row r="120" spans="1:5" s="1" customFormat="1" ht="15" x14ac:dyDescent="0.4">
      <c r="A120" s="328" t="str">
        <f>B4</f>
        <v>Clean Heating and Cooling</v>
      </c>
      <c r="B120" s="328"/>
      <c r="C120" s="328"/>
      <c r="D120" s="328"/>
      <c r="E120" s="328"/>
    </row>
    <row r="121" spans="1:5" s="1" customFormat="1" ht="47" x14ac:dyDescent="0.4">
      <c r="A121" s="83" t="s">
        <v>138</v>
      </c>
      <c r="B121" s="84" t="s">
        <v>140</v>
      </c>
      <c r="C121" s="84" t="s">
        <v>139</v>
      </c>
      <c r="D121" s="327" t="s">
        <v>190</v>
      </c>
      <c r="E121" s="327"/>
    </row>
    <row r="122" spans="1:5" s="1" customFormat="1" ht="15" x14ac:dyDescent="0.4">
      <c r="A122" s="7">
        <v>2025</v>
      </c>
      <c r="B122" s="4" t="s">
        <v>192</v>
      </c>
      <c r="C122" s="78">
        <f>C4</f>
        <v>1111.1613292323771</v>
      </c>
      <c r="D122" s="319">
        <f>C122*('Budget Summary'!$D$3/'Budget Summary'!$C$3)</f>
        <v>683.60406498902989</v>
      </c>
      <c r="E122" s="320"/>
    </row>
    <row r="123" spans="1:5" s="1" customFormat="1" ht="15" x14ac:dyDescent="0.4">
      <c r="A123" s="7">
        <v>2026</v>
      </c>
      <c r="B123" s="4" t="s">
        <v>192</v>
      </c>
      <c r="C123" s="78">
        <f>2*$C$4+C122</f>
        <v>3333.4839876971309</v>
      </c>
      <c r="D123" s="319">
        <f>C123*('Budget Summary'!$D$3/'Budget Summary'!$C$3)</f>
        <v>2050.8121949670895</v>
      </c>
      <c r="E123" s="320"/>
    </row>
    <row r="124" spans="1:5" s="1" customFormat="1" ht="15" x14ac:dyDescent="0.4">
      <c r="A124" s="7">
        <v>2027</v>
      </c>
      <c r="B124" s="4" t="s">
        <v>192</v>
      </c>
      <c r="C124" s="78">
        <f>3*$C$4+C123</f>
        <v>6666.9679753942619</v>
      </c>
      <c r="D124" s="319">
        <f>C124*('Budget Summary'!$D$3/'Budget Summary'!$C$3)</f>
        <v>4101.6243899341789</v>
      </c>
      <c r="E124" s="320"/>
    </row>
    <row r="125" spans="1:5" s="1" customFormat="1" ht="15" x14ac:dyDescent="0.4">
      <c r="A125" s="7">
        <v>2028</v>
      </c>
      <c r="B125" s="4" t="s">
        <v>192</v>
      </c>
      <c r="C125" s="78">
        <f>4*$C$4+C124</f>
        <v>11111.613292323771</v>
      </c>
      <c r="D125" s="319">
        <f>C125*('Budget Summary'!$D$3/'Budget Summary'!$C$3)</f>
        <v>6836.0406498902994</v>
      </c>
      <c r="E125" s="320"/>
    </row>
    <row r="126" spans="1:5" s="1" customFormat="1" ht="15" x14ac:dyDescent="0.4">
      <c r="A126" s="7">
        <v>2029</v>
      </c>
      <c r="B126" s="4" t="s">
        <v>192</v>
      </c>
      <c r="C126" s="78">
        <f>5*$C$4+C125</f>
        <v>16667.419938485655</v>
      </c>
      <c r="D126" s="319">
        <f>C126*('Budget Summary'!$D$3/'Budget Summary'!$C$3)</f>
        <v>10254.060974835447</v>
      </c>
      <c r="E126" s="320"/>
    </row>
    <row r="127" spans="1:5" s="1" customFormat="1" ht="15" x14ac:dyDescent="0.4">
      <c r="A127" s="154">
        <v>2030</v>
      </c>
      <c r="B127" s="329" t="s">
        <v>312</v>
      </c>
      <c r="C127" s="152">
        <f t="shared" ref="C127:C147" si="4">$C$4+C126</f>
        <v>17778.581267718033</v>
      </c>
      <c r="D127" s="325">
        <f>C127*('Budget Summary'!$D$3/'Budget Summary'!$C$3)</f>
        <v>10937.665039824478</v>
      </c>
      <c r="E127" s="326"/>
    </row>
    <row r="128" spans="1:5" s="1" customFormat="1" ht="15" x14ac:dyDescent="0.4">
      <c r="A128" s="7">
        <v>2031</v>
      </c>
      <c r="B128" s="330"/>
      <c r="C128" s="78">
        <f t="shared" si="4"/>
        <v>18889.742596950411</v>
      </c>
      <c r="D128" s="319">
        <f>C128*('Budget Summary'!$D$3/'Budget Summary'!$C$3)</f>
        <v>11621.269104813509</v>
      </c>
      <c r="E128" s="320"/>
    </row>
    <row r="129" spans="1:5" s="1" customFormat="1" ht="15" x14ac:dyDescent="0.4">
      <c r="A129" s="7">
        <v>2032</v>
      </c>
      <c r="B129" s="330"/>
      <c r="C129" s="78">
        <f t="shared" si="4"/>
        <v>20000.903926182789</v>
      </c>
      <c r="D129" s="319">
        <f>C129*('Budget Summary'!$D$3/'Budget Summary'!$C$3)</f>
        <v>12304.873169802539</v>
      </c>
      <c r="E129" s="320"/>
    </row>
    <row r="130" spans="1:5" s="1" customFormat="1" ht="15" x14ac:dyDescent="0.4">
      <c r="A130" s="7">
        <v>2033</v>
      </c>
      <c r="B130" s="330"/>
      <c r="C130" s="78">
        <f t="shared" si="4"/>
        <v>21112.065255415167</v>
      </c>
      <c r="D130" s="319">
        <f>C130*('Budget Summary'!$D$3/'Budget Summary'!$C$3)</f>
        <v>12988.47723479157</v>
      </c>
      <c r="E130" s="320"/>
    </row>
    <row r="131" spans="1:5" s="1" customFormat="1" ht="15" x14ac:dyDescent="0.4">
      <c r="A131" s="7">
        <v>2034</v>
      </c>
      <c r="B131" s="330"/>
      <c r="C131" s="78">
        <f t="shared" si="4"/>
        <v>22223.226584647546</v>
      </c>
      <c r="D131" s="319">
        <f>C131*('Budget Summary'!$D$3/'Budget Summary'!$C$3)</f>
        <v>13672.081299780601</v>
      </c>
      <c r="E131" s="320"/>
    </row>
    <row r="132" spans="1:5" s="1" customFormat="1" ht="15" x14ac:dyDescent="0.4">
      <c r="A132" s="7">
        <v>2035</v>
      </c>
      <c r="B132" s="330"/>
      <c r="C132" s="78">
        <f t="shared" si="4"/>
        <v>23334.387913879924</v>
      </c>
      <c r="D132" s="319">
        <f>C132*('Budget Summary'!$D$3/'Budget Summary'!$C$3)</f>
        <v>14355.685364769632</v>
      </c>
      <c r="E132" s="320"/>
    </row>
    <row r="133" spans="1:5" s="1" customFormat="1" ht="15" x14ac:dyDescent="0.4">
      <c r="A133" s="7">
        <v>2036</v>
      </c>
      <c r="B133" s="330"/>
      <c r="C133" s="78">
        <f t="shared" si="4"/>
        <v>24445.549243112302</v>
      </c>
      <c r="D133" s="319">
        <f>C133*('Budget Summary'!$D$3/'Budget Summary'!$C$3)</f>
        <v>15039.289429758661</v>
      </c>
      <c r="E133" s="320"/>
    </row>
    <row r="134" spans="1:5" s="1" customFormat="1" ht="15" x14ac:dyDescent="0.4">
      <c r="A134" s="7">
        <v>2037</v>
      </c>
      <c r="B134" s="330"/>
      <c r="C134" s="78">
        <f t="shared" si="4"/>
        <v>25556.71057234468</v>
      </c>
      <c r="D134" s="319">
        <f>C134*('Budget Summary'!$D$3/'Budget Summary'!$C$3)</f>
        <v>15722.893494747692</v>
      </c>
      <c r="E134" s="320"/>
    </row>
    <row r="135" spans="1:5" s="1" customFormat="1" ht="15" x14ac:dyDescent="0.4">
      <c r="A135" s="7">
        <v>2038</v>
      </c>
      <c r="B135" s="330"/>
      <c r="C135" s="78">
        <f t="shared" si="4"/>
        <v>26667.871901577058</v>
      </c>
      <c r="D135" s="319">
        <f>C135*('Budget Summary'!$D$3/'Budget Summary'!$C$3)</f>
        <v>16406.497559736723</v>
      </c>
      <c r="E135" s="320"/>
    </row>
    <row r="136" spans="1:5" s="1" customFormat="1" ht="15" x14ac:dyDescent="0.4">
      <c r="A136" s="7">
        <v>2039</v>
      </c>
      <c r="B136" s="330"/>
      <c r="C136" s="78">
        <f t="shared" si="4"/>
        <v>27779.033230809437</v>
      </c>
      <c r="D136" s="319">
        <f>C136*('Budget Summary'!$D$3/'Budget Summary'!$C$3)</f>
        <v>17090.101624725754</v>
      </c>
      <c r="E136" s="320"/>
    </row>
    <row r="137" spans="1:5" s="1" customFormat="1" ht="15" x14ac:dyDescent="0.4">
      <c r="A137" s="7">
        <v>2040</v>
      </c>
      <c r="B137" s="330"/>
      <c r="C137" s="78">
        <f t="shared" si="4"/>
        <v>28890.194560041815</v>
      </c>
      <c r="D137" s="319">
        <f>C137*('Budget Summary'!$D$3/'Budget Summary'!$C$3)</f>
        <v>17773.705689714785</v>
      </c>
      <c r="E137" s="320"/>
    </row>
    <row r="138" spans="1:5" s="1" customFormat="1" ht="15" x14ac:dyDescent="0.4">
      <c r="A138" s="7">
        <v>2041</v>
      </c>
      <c r="B138" s="330"/>
      <c r="C138" s="78">
        <f t="shared" si="4"/>
        <v>30001.355889274193</v>
      </c>
      <c r="D138" s="319">
        <f>C138*('Budget Summary'!$D$3/'Budget Summary'!$C$3)</f>
        <v>18457.309754703816</v>
      </c>
      <c r="E138" s="320"/>
    </row>
    <row r="139" spans="1:5" s="1" customFormat="1" ht="15" x14ac:dyDescent="0.4">
      <c r="A139" s="7">
        <v>2042</v>
      </c>
      <c r="B139" s="330"/>
      <c r="C139" s="78">
        <f t="shared" si="4"/>
        <v>31112.517218506571</v>
      </c>
      <c r="D139" s="319">
        <f>C139*('Budget Summary'!$D$3/'Budget Summary'!$C$3)</f>
        <v>19140.913819692843</v>
      </c>
      <c r="E139" s="320"/>
    </row>
    <row r="140" spans="1:5" s="1" customFormat="1" ht="15" x14ac:dyDescent="0.4">
      <c r="A140" s="7">
        <v>2043</v>
      </c>
      <c r="B140" s="330"/>
      <c r="C140" s="78">
        <f t="shared" si="4"/>
        <v>32223.678547738949</v>
      </c>
      <c r="D140" s="319">
        <f>C140*('Budget Summary'!$D$3/'Budget Summary'!$C$3)</f>
        <v>19824.517884681874</v>
      </c>
      <c r="E140" s="320"/>
    </row>
    <row r="141" spans="1:5" s="1" customFormat="1" ht="15" x14ac:dyDescent="0.4">
      <c r="A141" s="7">
        <v>2044</v>
      </c>
      <c r="B141" s="330"/>
      <c r="C141" s="78">
        <f t="shared" si="4"/>
        <v>33334.839876971324</v>
      </c>
      <c r="D141" s="319">
        <f>C141*('Budget Summary'!$D$3/'Budget Summary'!$C$3)</f>
        <v>20508.121949670905</v>
      </c>
      <c r="E141" s="320"/>
    </row>
    <row r="142" spans="1:5" s="1" customFormat="1" ht="15" x14ac:dyDescent="0.4">
      <c r="A142" s="7">
        <v>2045</v>
      </c>
      <c r="B142" s="330"/>
      <c r="C142" s="78">
        <f t="shared" si="4"/>
        <v>34446.001206203699</v>
      </c>
      <c r="D142" s="319">
        <f>C142*('Budget Summary'!$D$3/'Budget Summary'!$C$3)</f>
        <v>21191.726014659933</v>
      </c>
      <c r="E142" s="320"/>
    </row>
    <row r="143" spans="1:5" s="1" customFormat="1" ht="15" x14ac:dyDescent="0.4">
      <c r="A143" s="7">
        <v>2046</v>
      </c>
      <c r="B143" s="330"/>
      <c r="C143" s="78">
        <f t="shared" si="4"/>
        <v>35557.162535436073</v>
      </c>
      <c r="D143" s="319">
        <f>C143*('Budget Summary'!$D$3/'Budget Summary'!$C$3)</f>
        <v>21875.33007964896</v>
      </c>
      <c r="E143" s="320"/>
    </row>
    <row r="144" spans="1:5" s="1" customFormat="1" ht="15" x14ac:dyDescent="0.4">
      <c r="A144" s="7">
        <v>2047</v>
      </c>
      <c r="B144" s="330"/>
      <c r="C144" s="78">
        <f t="shared" si="4"/>
        <v>36668.323864668448</v>
      </c>
      <c r="D144" s="319">
        <f>C144*('Budget Summary'!$D$3/'Budget Summary'!$C$3)</f>
        <v>22558.934144637988</v>
      </c>
      <c r="E144" s="320"/>
    </row>
    <row r="145" spans="1:5" s="1" customFormat="1" ht="15" x14ac:dyDescent="0.4">
      <c r="A145" s="7">
        <v>2048</v>
      </c>
      <c r="B145" s="330"/>
      <c r="C145" s="78">
        <f t="shared" si="4"/>
        <v>37779.485193900822</v>
      </c>
      <c r="D145" s="319">
        <f>C145*('Budget Summary'!$D$3/'Budget Summary'!$C$3)</f>
        <v>23242.538209627019</v>
      </c>
      <c r="E145" s="320"/>
    </row>
    <row r="146" spans="1:5" s="1" customFormat="1" ht="15" x14ac:dyDescent="0.4">
      <c r="A146" s="7">
        <v>2049</v>
      </c>
      <c r="B146" s="330"/>
      <c r="C146" s="78">
        <f t="shared" si="4"/>
        <v>38890.646523133197</v>
      </c>
      <c r="D146" s="319">
        <f>C146*('Budget Summary'!$D$3/'Budget Summary'!$C$3)</f>
        <v>23926.142274616046</v>
      </c>
      <c r="E146" s="320"/>
    </row>
    <row r="147" spans="1:5" s="1" customFormat="1" ht="15.5" thickBot="1" x14ac:dyDescent="0.45">
      <c r="A147" s="143">
        <v>2050</v>
      </c>
      <c r="B147" s="331"/>
      <c r="C147" s="78">
        <f t="shared" si="4"/>
        <v>40001.807852365571</v>
      </c>
      <c r="D147" s="319">
        <f>C147*('Budget Summary'!$D$3/'Budget Summary'!$C$3)</f>
        <v>24609.746339605073</v>
      </c>
      <c r="E147" s="320"/>
    </row>
    <row r="148" spans="1:5" s="1" customFormat="1" ht="15.5" thickBot="1" x14ac:dyDescent="0.45">
      <c r="A148" s="332" t="s">
        <v>191</v>
      </c>
      <c r="B148" s="333"/>
      <c r="C148" s="153">
        <f>C127</f>
        <v>17778.581267718033</v>
      </c>
      <c r="D148" s="313">
        <f>D127</f>
        <v>10937.665039824478</v>
      </c>
      <c r="E148" s="314"/>
    </row>
    <row r="149" spans="1:5" s="1" customFormat="1" ht="15.5" thickBot="1" x14ac:dyDescent="0.45">
      <c r="A149" s="315" t="s">
        <v>141</v>
      </c>
      <c r="B149" s="316"/>
      <c r="C149" s="144">
        <f>C147</f>
        <v>40001.807852365571</v>
      </c>
      <c r="D149" s="317">
        <f>D147</f>
        <v>24609.746339605073</v>
      </c>
      <c r="E149" s="318"/>
    </row>
    <row r="150" spans="1:5" s="1" customFormat="1" ht="15" x14ac:dyDescent="0.4">
      <c r="A150" s="321"/>
      <c r="B150" s="321"/>
      <c r="C150" s="223"/>
      <c r="D150" s="322"/>
      <c r="E150" s="323"/>
    </row>
    <row r="151" spans="1:5" s="1" customFormat="1" ht="15" x14ac:dyDescent="0.4"/>
    <row r="152" spans="1:5" s="1" customFormat="1" ht="15" x14ac:dyDescent="0.4"/>
    <row r="153" spans="1:5" s="1" customFormat="1" ht="15" x14ac:dyDescent="0.4"/>
    <row r="154" spans="1:5" s="1" customFormat="1" ht="15" x14ac:dyDescent="0.4"/>
    <row r="155" spans="1:5" s="1" customFormat="1" ht="15" x14ac:dyDescent="0.4"/>
    <row r="156" spans="1:5" s="1" customFormat="1" ht="15" x14ac:dyDescent="0.4"/>
    <row r="157" spans="1:5" s="1" customFormat="1" ht="15" x14ac:dyDescent="0.4"/>
    <row r="158" spans="1:5" s="1" customFormat="1" ht="15" x14ac:dyDescent="0.4"/>
    <row r="159" spans="1:5" s="1" customFormat="1" ht="15" x14ac:dyDescent="0.4"/>
    <row r="160" spans="1:5" s="1" customFormat="1" ht="15" x14ac:dyDescent="0.4"/>
    <row r="161" s="1" customFormat="1" ht="15" x14ac:dyDescent="0.4"/>
    <row r="162" s="1" customFormat="1" ht="15" x14ac:dyDescent="0.4"/>
    <row r="163" s="1" customFormat="1" ht="15" x14ac:dyDescent="0.4"/>
    <row r="164" s="1" customFormat="1" ht="15" x14ac:dyDescent="0.4"/>
    <row r="165" s="1" customFormat="1" ht="15" x14ac:dyDescent="0.4"/>
    <row r="166" s="1" customFormat="1" ht="15" x14ac:dyDescent="0.4"/>
    <row r="167" s="1" customFormat="1" ht="15" x14ac:dyDescent="0.4"/>
    <row r="168" s="1" customFormat="1" ht="15" x14ac:dyDescent="0.4"/>
    <row r="169" s="1" customFormat="1" ht="15" x14ac:dyDescent="0.4"/>
    <row r="170" s="1" customFormat="1" ht="15" x14ac:dyDescent="0.4"/>
    <row r="171" s="1" customFormat="1" ht="15" x14ac:dyDescent="0.4"/>
    <row r="172" s="1" customFormat="1" ht="15" x14ac:dyDescent="0.4"/>
    <row r="173" s="1" customFormat="1" ht="15" x14ac:dyDescent="0.4"/>
    <row r="174" s="1" customFormat="1" ht="15" x14ac:dyDescent="0.4"/>
    <row r="175" s="1" customFormat="1" ht="15" x14ac:dyDescent="0.4"/>
    <row r="176" s="1" customFormat="1" ht="15" x14ac:dyDescent="0.4"/>
    <row r="177" s="1" customFormat="1" ht="15" x14ac:dyDescent="0.4"/>
    <row r="178" s="1" customFormat="1" ht="15" x14ac:dyDescent="0.4"/>
    <row r="179" s="1" customFormat="1" ht="15" x14ac:dyDescent="0.4"/>
    <row r="180" s="1" customFormat="1" ht="15" x14ac:dyDescent="0.4"/>
    <row r="181" s="1" customFormat="1" ht="15" x14ac:dyDescent="0.4"/>
    <row r="182" s="1" customFormat="1" ht="15" x14ac:dyDescent="0.4"/>
    <row r="183" s="1" customFormat="1" ht="15" x14ac:dyDescent="0.4"/>
    <row r="184" s="1" customFormat="1" ht="15" x14ac:dyDescent="0.4"/>
    <row r="185" s="1" customFormat="1" ht="15" x14ac:dyDescent="0.4"/>
    <row r="186" s="1" customFormat="1" ht="15" x14ac:dyDescent="0.4"/>
    <row r="187" s="1" customFormat="1" ht="15" x14ac:dyDescent="0.4"/>
    <row r="188" s="1" customFormat="1" ht="15" x14ac:dyDescent="0.4"/>
    <row r="189" s="1" customFormat="1" ht="15" x14ac:dyDescent="0.4"/>
    <row r="190" s="1" customFormat="1" ht="15" x14ac:dyDescent="0.4"/>
    <row r="191" s="1" customFormat="1" ht="15" x14ac:dyDescent="0.4"/>
    <row r="192" s="1" customFormat="1" ht="15" x14ac:dyDescent="0.4"/>
    <row r="193" s="1" customFormat="1" ht="15" x14ac:dyDescent="0.4"/>
    <row r="194" s="1" customFormat="1" ht="15" x14ac:dyDescent="0.4"/>
    <row r="195" s="1" customFormat="1" ht="15" x14ac:dyDescent="0.4"/>
    <row r="196" s="1" customFormat="1" ht="15" x14ac:dyDescent="0.4"/>
    <row r="197" s="1" customFormat="1" ht="15" x14ac:dyDescent="0.4"/>
    <row r="198" s="1" customFormat="1" ht="15" x14ac:dyDescent="0.4"/>
    <row r="199" s="1" customFormat="1" ht="15" x14ac:dyDescent="0.4"/>
    <row r="200" s="1" customFormat="1" ht="15" x14ac:dyDescent="0.4"/>
    <row r="201" s="1" customFormat="1" ht="15" x14ac:dyDescent="0.4"/>
    <row r="202" s="1" customFormat="1" ht="15" x14ac:dyDescent="0.4"/>
    <row r="203" s="1" customFormat="1" ht="15" x14ac:dyDescent="0.4"/>
    <row r="204" s="1" customFormat="1" ht="15" x14ac:dyDescent="0.4"/>
    <row r="205" s="1" customFormat="1" ht="15" x14ac:dyDescent="0.4"/>
    <row r="206" s="1" customFormat="1" ht="15" x14ac:dyDescent="0.4"/>
    <row r="207" s="1" customFormat="1" ht="15" x14ac:dyDescent="0.4"/>
    <row r="208" s="1" customFormat="1" ht="15" x14ac:dyDescent="0.4"/>
    <row r="209" s="1" customFormat="1" ht="15" x14ac:dyDescent="0.4"/>
    <row r="210" s="1" customFormat="1" ht="15" x14ac:dyDescent="0.4"/>
    <row r="211" s="1" customFormat="1" ht="15" x14ac:dyDescent="0.4"/>
    <row r="212" s="1" customFormat="1" ht="15" x14ac:dyDescent="0.4"/>
    <row r="213" s="1" customFormat="1" ht="15" x14ac:dyDescent="0.4"/>
    <row r="214" s="1" customFormat="1" ht="15" x14ac:dyDescent="0.4"/>
    <row r="215" s="1" customFormat="1" ht="15" x14ac:dyDescent="0.4"/>
    <row r="216" s="1" customFormat="1" ht="15" x14ac:dyDescent="0.4"/>
    <row r="217" s="1" customFormat="1" ht="15" x14ac:dyDescent="0.4"/>
    <row r="218" s="1" customFormat="1" ht="15" x14ac:dyDescent="0.4"/>
    <row r="219" s="1" customFormat="1" ht="15" x14ac:dyDescent="0.4"/>
    <row r="220" s="1" customFormat="1" ht="15" x14ac:dyDescent="0.4"/>
    <row r="221" s="1" customFormat="1" ht="15" x14ac:dyDescent="0.4"/>
    <row r="222" s="1" customFormat="1" ht="15" x14ac:dyDescent="0.4"/>
    <row r="223" s="1" customFormat="1" ht="15" x14ac:dyDescent="0.4"/>
    <row r="224" s="1" customFormat="1" ht="15" x14ac:dyDescent="0.4"/>
    <row r="225" s="1" customFormat="1" ht="15" x14ac:dyDescent="0.4"/>
    <row r="226" s="1" customFormat="1" ht="15" x14ac:dyDescent="0.4"/>
    <row r="227" s="1" customFormat="1" ht="15" x14ac:dyDescent="0.4"/>
    <row r="228" s="1" customFormat="1" ht="15" x14ac:dyDescent="0.4"/>
    <row r="229" s="1" customFormat="1" ht="15" x14ac:dyDescent="0.4"/>
    <row r="230" s="1" customFormat="1" ht="15" x14ac:dyDescent="0.4"/>
    <row r="231" s="1" customFormat="1" ht="15" x14ac:dyDescent="0.4"/>
    <row r="232" s="1" customFormat="1" ht="15" x14ac:dyDescent="0.4"/>
    <row r="233" s="1" customFormat="1" ht="15" x14ac:dyDescent="0.4"/>
    <row r="234" s="1" customFormat="1" ht="15" x14ac:dyDescent="0.4"/>
    <row r="235" s="1" customFormat="1" ht="15" x14ac:dyDescent="0.4"/>
    <row r="236" s="1" customFormat="1" ht="15" x14ac:dyDescent="0.4"/>
    <row r="237" s="1" customFormat="1" ht="15" x14ac:dyDescent="0.4"/>
    <row r="238" s="1" customFormat="1" ht="15" x14ac:dyDescent="0.4"/>
    <row r="239" s="1" customFormat="1" ht="15" x14ac:dyDescent="0.4"/>
    <row r="240" s="1" customFormat="1" ht="15" x14ac:dyDescent="0.4"/>
    <row r="241" s="1" customFormat="1" ht="15" x14ac:dyDescent="0.4"/>
    <row r="242" s="1" customFormat="1" ht="15" x14ac:dyDescent="0.4"/>
    <row r="243" s="1" customFormat="1" ht="15" x14ac:dyDescent="0.4"/>
    <row r="244" s="1" customFormat="1" ht="15" x14ac:dyDescent="0.4"/>
    <row r="245" s="1" customFormat="1" ht="15" x14ac:dyDescent="0.4"/>
    <row r="246" s="1" customFormat="1" ht="15" x14ac:dyDescent="0.4"/>
    <row r="247" s="1" customFormat="1" ht="15" x14ac:dyDescent="0.4"/>
    <row r="248" s="1" customFormat="1" ht="15" x14ac:dyDescent="0.4"/>
    <row r="249" s="1" customFormat="1" ht="15" x14ac:dyDescent="0.4"/>
    <row r="250" s="1" customFormat="1" ht="15" x14ac:dyDescent="0.4"/>
    <row r="251" s="1" customFormat="1" ht="15" x14ac:dyDescent="0.4"/>
    <row r="252" s="1" customFormat="1" ht="15" x14ac:dyDescent="0.4"/>
    <row r="253" s="1" customFormat="1" ht="15" x14ac:dyDescent="0.4"/>
    <row r="254" s="1" customFormat="1" ht="15" x14ac:dyDescent="0.4"/>
    <row r="255" s="1" customFormat="1" ht="15" x14ac:dyDescent="0.4"/>
    <row r="256" s="1" customFormat="1" ht="15" x14ac:dyDescent="0.4"/>
    <row r="257" s="1" customFormat="1" ht="15" x14ac:dyDescent="0.4"/>
    <row r="258" s="1" customFormat="1" ht="15" x14ac:dyDescent="0.4"/>
    <row r="259" s="1" customFormat="1" ht="15" x14ac:dyDescent="0.4"/>
    <row r="260" s="1" customFormat="1" ht="15" x14ac:dyDescent="0.4"/>
    <row r="261" s="1" customFormat="1" ht="15" x14ac:dyDescent="0.4"/>
    <row r="262" s="1" customFormat="1" ht="15" x14ac:dyDescent="0.4"/>
    <row r="263" s="1" customFormat="1" ht="15" x14ac:dyDescent="0.4"/>
    <row r="264" s="1" customFormat="1" ht="15" x14ac:dyDescent="0.4"/>
    <row r="265" s="1" customFormat="1" ht="15" x14ac:dyDescent="0.4"/>
    <row r="266" s="1" customFormat="1" ht="15" x14ac:dyDescent="0.4"/>
    <row r="267" s="1" customFormat="1" ht="15" x14ac:dyDescent="0.4"/>
    <row r="268" s="1" customFormat="1" ht="15" x14ac:dyDescent="0.4"/>
    <row r="269" s="1" customFormat="1" ht="15" x14ac:dyDescent="0.4"/>
    <row r="270" s="1" customFormat="1" ht="15" x14ac:dyDescent="0.4"/>
    <row r="271" s="1" customFormat="1" ht="15" x14ac:dyDescent="0.4"/>
    <row r="272" s="1" customFormat="1" ht="15" x14ac:dyDescent="0.4"/>
    <row r="273" s="1" customFormat="1" ht="15" x14ac:dyDescent="0.4"/>
    <row r="274" s="1" customFormat="1" ht="15" x14ac:dyDescent="0.4"/>
    <row r="275" s="1" customFormat="1" ht="15" x14ac:dyDescent="0.4"/>
    <row r="276" s="1" customFormat="1" ht="15" x14ac:dyDescent="0.4"/>
    <row r="277" s="1" customFormat="1" ht="15" x14ac:dyDescent="0.4"/>
    <row r="278" s="1" customFormat="1" ht="15" x14ac:dyDescent="0.4"/>
    <row r="279" s="1" customFormat="1" ht="15" x14ac:dyDescent="0.4"/>
    <row r="280" s="1" customFormat="1" ht="15" x14ac:dyDescent="0.4"/>
    <row r="281" s="1" customFormat="1" ht="15" x14ac:dyDescent="0.4"/>
    <row r="282" s="1" customFormat="1" ht="15" x14ac:dyDescent="0.4"/>
    <row r="283" s="1" customFormat="1" ht="15" x14ac:dyDescent="0.4"/>
    <row r="284" s="1" customFormat="1" ht="15" x14ac:dyDescent="0.4"/>
    <row r="285" s="1" customFormat="1" ht="15" x14ac:dyDescent="0.4"/>
    <row r="286" s="1" customFormat="1" ht="15" x14ac:dyDescent="0.4"/>
    <row r="287" s="1" customFormat="1" ht="15" x14ac:dyDescent="0.4"/>
    <row r="288" s="1" customFormat="1" ht="15" x14ac:dyDescent="0.4"/>
    <row r="289" s="1" customFormat="1" ht="15" x14ac:dyDescent="0.4"/>
    <row r="290" s="1" customFormat="1" ht="15" x14ac:dyDescent="0.4"/>
    <row r="291" s="1" customFormat="1" ht="15" x14ac:dyDescent="0.4"/>
    <row r="292" s="1" customFormat="1" ht="15" x14ac:dyDescent="0.4"/>
    <row r="293" s="1" customFormat="1" ht="15" x14ac:dyDescent="0.4"/>
    <row r="294" s="1" customFormat="1" ht="15" x14ac:dyDescent="0.4"/>
    <row r="295" s="1" customFormat="1" ht="15" x14ac:dyDescent="0.4"/>
    <row r="296" s="1" customFormat="1" ht="15" x14ac:dyDescent="0.4"/>
    <row r="297" s="1" customFormat="1" ht="15" x14ac:dyDescent="0.4"/>
    <row r="298" s="1" customFormat="1" ht="15" x14ac:dyDescent="0.4"/>
    <row r="299" s="1" customFormat="1" ht="15" x14ac:dyDescent="0.4"/>
    <row r="300" s="1" customFormat="1" ht="15" x14ac:dyDescent="0.4"/>
    <row r="301" s="1" customFormat="1" ht="15" x14ac:dyDescent="0.4"/>
    <row r="302" s="1" customFormat="1" ht="15" x14ac:dyDescent="0.4"/>
    <row r="303" s="1" customFormat="1" ht="15" x14ac:dyDescent="0.4"/>
    <row r="304" s="1" customFormat="1" ht="15" x14ac:dyDescent="0.4"/>
    <row r="305" s="1" customFormat="1" ht="15" x14ac:dyDescent="0.4"/>
    <row r="306" s="1" customFormat="1" ht="15" x14ac:dyDescent="0.4"/>
    <row r="307" s="1" customFormat="1" ht="15" x14ac:dyDescent="0.4"/>
    <row r="308" s="1" customFormat="1" ht="15" x14ac:dyDescent="0.4"/>
  </sheetData>
  <mergeCells count="161">
    <mergeCell ref="D20:E20"/>
    <mergeCell ref="A1:E1"/>
    <mergeCell ref="A24:B24"/>
    <mergeCell ref="D24:E24"/>
    <mergeCell ref="D21:E21"/>
    <mergeCell ref="D2:E2"/>
    <mergeCell ref="D5:E5"/>
    <mergeCell ref="D6:E6"/>
    <mergeCell ref="D3:E3"/>
    <mergeCell ref="D4:E4"/>
    <mergeCell ref="A7:B7"/>
    <mergeCell ref="D7:E7"/>
    <mergeCell ref="A18:E18"/>
    <mergeCell ref="D19:E19"/>
    <mergeCell ref="A10:E10"/>
    <mergeCell ref="D11:E11"/>
    <mergeCell ref="A16:B16"/>
    <mergeCell ref="D16:E16"/>
    <mergeCell ref="D14:E14"/>
    <mergeCell ref="D15:E15"/>
    <mergeCell ref="D12:E12"/>
    <mergeCell ref="D13:E13"/>
    <mergeCell ref="D114:E114"/>
    <mergeCell ref="D115:E115"/>
    <mergeCell ref="D116:E116"/>
    <mergeCell ref="A87:B87"/>
    <mergeCell ref="D105:E105"/>
    <mergeCell ref="D106:E106"/>
    <mergeCell ref="D107:E107"/>
    <mergeCell ref="D108:E108"/>
    <mergeCell ref="D109:E109"/>
    <mergeCell ref="D110:E110"/>
    <mergeCell ref="D111:E111"/>
    <mergeCell ref="D112:E112"/>
    <mergeCell ref="D113:E113"/>
    <mergeCell ref="D87:E87"/>
    <mergeCell ref="D100:E100"/>
    <mergeCell ref="D101:E101"/>
    <mergeCell ref="D53:E53"/>
    <mergeCell ref="D54:E54"/>
    <mergeCell ref="D56:E56"/>
    <mergeCell ref="A58:E58"/>
    <mergeCell ref="D59:E59"/>
    <mergeCell ref="D70:E70"/>
    <mergeCell ref="D71:E71"/>
    <mergeCell ref="D72:E72"/>
    <mergeCell ref="D73:E73"/>
    <mergeCell ref="A56:B56"/>
    <mergeCell ref="B34:B54"/>
    <mergeCell ref="D48:E48"/>
    <mergeCell ref="D49:E49"/>
    <mergeCell ref="D50:E50"/>
    <mergeCell ref="D41:E41"/>
    <mergeCell ref="D42:E42"/>
    <mergeCell ref="D34:E34"/>
    <mergeCell ref="D35:E35"/>
    <mergeCell ref="D36:E36"/>
    <mergeCell ref="D37:E37"/>
    <mergeCell ref="A55:B55"/>
    <mergeCell ref="D55:E55"/>
    <mergeCell ref="D75:E75"/>
    <mergeCell ref="A86:B86"/>
    <mergeCell ref="D60:E60"/>
    <mergeCell ref="D65:E65"/>
    <mergeCell ref="D61:E61"/>
    <mergeCell ref="D62:E62"/>
    <mergeCell ref="D63:E63"/>
    <mergeCell ref="D64:E64"/>
    <mergeCell ref="D66:E66"/>
    <mergeCell ref="D67:E67"/>
    <mergeCell ref="D68:E68"/>
    <mergeCell ref="D69:E69"/>
    <mergeCell ref="D76:E76"/>
    <mergeCell ref="D77:E77"/>
    <mergeCell ref="D78:E78"/>
    <mergeCell ref="D79:E79"/>
    <mergeCell ref="D85:E85"/>
    <mergeCell ref="D86:E86"/>
    <mergeCell ref="D74:E74"/>
    <mergeCell ref="D80:E80"/>
    <mergeCell ref="D83:E83"/>
    <mergeCell ref="D84:E84"/>
    <mergeCell ref="D51:E51"/>
    <mergeCell ref="D52:E52"/>
    <mergeCell ref="D43:E43"/>
    <mergeCell ref="D44:E44"/>
    <mergeCell ref="D45:E45"/>
    <mergeCell ref="D46:E46"/>
    <mergeCell ref="D47:E47"/>
    <mergeCell ref="D38:E38"/>
    <mergeCell ref="D39:E39"/>
    <mergeCell ref="D40:E40"/>
    <mergeCell ref="A27:E27"/>
    <mergeCell ref="D29:E29"/>
    <mergeCell ref="D30:E30"/>
    <mergeCell ref="D31:E31"/>
    <mergeCell ref="D32:E32"/>
    <mergeCell ref="D28:E28"/>
    <mergeCell ref="D33:E33"/>
    <mergeCell ref="D22:E22"/>
    <mergeCell ref="D23:E23"/>
    <mergeCell ref="A118:B118"/>
    <mergeCell ref="D102:E102"/>
    <mergeCell ref="D103:E103"/>
    <mergeCell ref="D104:E104"/>
    <mergeCell ref="A57:B57"/>
    <mergeCell ref="D57:E57"/>
    <mergeCell ref="A119:B119"/>
    <mergeCell ref="B96:B116"/>
    <mergeCell ref="D118:E118"/>
    <mergeCell ref="D96:E96"/>
    <mergeCell ref="D91:E91"/>
    <mergeCell ref="D92:E92"/>
    <mergeCell ref="D93:E93"/>
    <mergeCell ref="D94:E94"/>
    <mergeCell ref="D95:E95"/>
    <mergeCell ref="D97:E97"/>
    <mergeCell ref="D98:E98"/>
    <mergeCell ref="D99:E99"/>
    <mergeCell ref="D117:E117"/>
    <mergeCell ref="A89:E89"/>
    <mergeCell ref="D90:E90"/>
    <mergeCell ref="A117:B117"/>
    <mergeCell ref="D81:E81"/>
    <mergeCell ref="D82:E82"/>
    <mergeCell ref="A150:B150"/>
    <mergeCell ref="D150:E150"/>
    <mergeCell ref="D119:E119"/>
    <mergeCell ref="D143:E143"/>
    <mergeCell ref="D122:E122"/>
    <mergeCell ref="D123:E123"/>
    <mergeCell ref="D124:E124"/>
    <mergeCell ref="D125:E125"/>
    <mergeCell ref="D126:E126"/>
    <mergeCell ref="D127:E127"/>
    <mergeCell ref="D139:E139"/>
    <mergeCell ref="D140:E140"/>
    <mergeCell ref="D141:E141"/>
    <mergeCell ref="D142:E142"/>
    <mergeCell ref="D121:E121"/>
    <mergeCell ref="A120:E120"/>
    <mergeCell ref="B127:B147"/>
    <mergeCell ref="A148:B148"/>
    <mergeCell ref="D145:E145"/>
    <mergeCell ref="D146:E146"/>
    <mergeCell ref="D147:E147"/>
    <mergeCell ref="D131:E131"/>
    <mergeCell ref="D132:E132"/>
    <mergeCell ref="D133:E133"/>
    <mergeCell ref="D148:E148"/>
    <mergeCell ref="A149:B149"/>
    <mergeCell ref="D149:E149"/>
    <mergeCell ref="D128:E128"/>
    <mergeCell ref="D129:E129"/>
    <mergeCell ref="D130:E130"/>
    <mergeCell ref="D134:E134"/>
    <mergeCell ref="D135:E135"/>
    <mergeCell ref="D136:E136"/>
    <mergeCell ref="D137:E137"/>
    <mergeCell ref="D138:E138"/>
    <mergeCell ref="D144:E144"/>
  </mergeCells>
  <pageMargins left="0.7" right="0.7" top="0.75" bottom="0.75" header="0.3" footer="0.3"/>
  <pageSetup orientation="landscape" r:id="rId1"/>
  <headerFooter>
    <oddHeader xml:space="preserve">&amp;L&amp;"Franklin Gothic Book,Regular"City of Rochester
Climate Pollution Reduction Act Grant
&amp;R&amp;"Franklin Gothic Book,Italic"Program Summary
</oddHeader>
    <oddFooter>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3"/>
  <sheetViews>
    <sheetView view="pageLayout" zoomScale="90" zoomScaleNormal="100" zoomScalePageLayoutView="90" workbookViewId="0">
      <selection activeCell="B6" sqref="B6"/>
    </sheetView>
  </sheetViews>
  <sheetFormatPr defaultColWidth="8.81640625" defaultRowHeight="14.5" x14ac:dyDescent="0.35"/>
  <cols>
    <col min="1" max="1" width="62.54296875" customWidth="1"/>
    <col min="2" max="2" width="20.81640625" customWidth="1"/>
    <col min="3" max="3" width="8.7265625" bestFit="1" customWidth="1"/>
    <col min="4" max="4" width="3.1796875" customWidth="1"/>
  </cols>
  <sheetData>
    <row r="1" spans="1:3" s="1" customFormat="1" ht="15.5" thickBot="1" x14ac:dyDescent="0.45">
      <c r="A1" s="370" t="s">
        <v>35</v>
      </c>
      <c r="B1" s="371"/>
      <c r="C1" s="372"/>
    </row>
    <row r="2" spans="1:3" s="1" customFormat="1" ht="15" x14ac:dyDescent="0.4">
      <c r="A2" s="116" t="s">
        <v>193</v>
      </c>
      <c r="B2" s="164">
        <f>B15</f>
        <v>7</v>
      </c>
      <c r="C2" s="165" t="s">
        <v>178</v>
      </c>
    </row>
    <row r="3" spans="1:3" s="1" customFormat="1" ht="15" x14ac:dyDescent="0.4">
      <c r="A3" s="166" t="s">
        <v>188</v>
      </c>
      <c r="B3" s="163">
        <f>(B15*B14*'Conv. Fact.'!B113)</f>
        <v>8750</v>
      </c>
      <c r="C3" s="167" t="s">
        <v>24</v>
      </c>
    </row>
    <row r="4" spans="1:3" s="1" customFormat="1" ht="15.5" thickBot="1" x14ac:dyDescent="0.45">
      <c r="A4" s="119" t="s">
        <v>189</v>
      </c>
      <c r="B4" s="168">
        <f>B3*B10</f>
        <v>3500000</v>
      </c>
      <c r="C4" s="169" t="s">
        <v>24</v>
      </c>
    </row>
    <row r="5" spans="1:3" s="1" customFormat="1" ht="17" x14ac:dyDescent="0.4">
      <c r="A5" s="172" t="s">
        <v>185</v>
      </c>
      <c r="B5" s="173">
        <f>(B18+(B19*'Conv. Fact.'!H4)+('1-Res. Roof Solar'!B20*'Conv. Fact.'!H5))/'Conv. Fact.'!D3</f>
        <v>1.1795873015873015</v>
      </c>
      <c r="C5" s="174" t="s">
        <v>170</v>
      </c>
    </row>
    <row r="6" spans="1:3" s="1" customFormat="1" ht="17.5" thickBot="1" x14ac:dyDescent="0.45">
      <c r="A6" s="255" t="s">
        <v>187</v>
      </c>
      <c r="B6" s="256">
        <f>B5*B10</f>
        <v>471.83492063492059</v>
      </c>
      <c r="C6" s="257" t="s">
        <v>170</v>
      </c>
    </row>
    <row r="7" spans="1:3" s="1" customFormat="1" ht="15" x14ac:dyDescent="0.4">
      <c r="A7" s="175" t="s">
        <v>137</v>
      </c>
      <c r="B7" s="373">
        <f>B3*B17</f>
        <v>1225.0000000000002</v>
      </c>
      <c r="C7" s="374"/>
    </row>
    <row r="8" spans="1:3" s="1" customFormat="1" ht="15.5" thickBot="1" x14ac:dyDescent="0.45">
      <c r="A8" s="176" t="s">
        <v>383</v>
      </c>
      <c r="B8" s="375">
        <f>B7*B10</f>
        <v>490000.00000000012</v>
      </c>
      <c r="C8" s="376"/>
    </row>
    <row r="9" spans="1:3" s="1" customFormat="1" ht="17.5" x14ac:dyDescent="0.4">
      <c r="A9" s="171" t="s">
        <v>239</v>
      </c>
      <c r="B9" s="201">
        <v>1000</v>
      </c>
      <c r="C9" s="170" t="s">
        <v>8</v>
      </c>
    </row>
    <row r="10" spans="1:3" s="1" customFormat="1" ht="17.5" x14ac:dyDescent="0.4">
      <c r="A10" s="98" t="s">
        <v>382</v>
      </c>
      <c r="B10" s="202">
        <v>400</v>
      </c>
      <c r="C10" s="158"/>
    </row>
    <row r="11" spans="1:3" s="1" customFormat="1" ht="17.5" x14ac:dyDescent="0.4">
      <c r="A11" s="96" t="s">
        <v>240</v>
      </c>
      <c r="B11" s="206">
        <v>0.4</v>
      </c>
      <c r="C11" s="158"/>
    </row>
    <row r="12" spans="1:3" s="1" customFormat="1" ht="17.5" x14ac:dyDescent="0.4">
      <c r="A12" s="96" t="s">
        <v>10</v>
      </c>
      <c r="B12" s="156">
        <f>B9*B11</f>
        <v>400</v>
      </c>
      <c r="C12" s="158" t="s">
        <v>8</v>
      </c>
    </row>
    <row r="13" spans="1:3" s="1" customFormat="1" ht="17.5" x14ac:dyDescent="0.4">
      <c r="A13" s="93" t="s">
        <v>241</v>
      </c>
      <c r="B13" s="205">
        <f>'Conv. Fact.'!A34</f>
        <v>17.5</v>
      </c>
      <c r="C13" s="158" t="s">
        <v>148</v>
      </c>
    </row>
    <row r="14" spans="1:3" s="1" customFormat="1" ht="17.5" x14ac:dyDescent="0.4">
      <c r="A14" s="93" t="s">
        <v>242</v>
      </c>
      <c r="B14" s="205">
        <f>'Conv. Fact.'!A35</f>
        <v>3.4246575342465753</v>
      </c>
      <c r="C14" s="158" t="s">
        <v>151</v>
      </c>
    </row>
    <row r="15" spans="1:3" s="1" customFormat="1" ht="15" x14ac:dyDescent="0.4">
      <c r="A15" s="93" t="s">
        <v>184</v>
      </c>
      <c r="B15" s="157">
        <f>(B12*B13)/'Conv. Fact.'!D8</f>
        <v>7</v>
      </c>
      <c r="C15" s="158" t="s">
        <v>178</v>
      </c>
    </row>
    <row r="16" spans="1:3" s="1" customFormat="1" ht="15" x14ac:dyDescent="0.4">
      <c r="A16" s="159" t="s">
        <v>22</v>
      </c>
      <c r="B16" s="161">
        <v>5</v>
      </c>
      <c r="C16" s="162" t="s">
        <v>23</v>
      </c>
    </row>
    <row r="17" spans="1:8" s="1" customFormat="1" ht="15.5" thickBot="1" x14ac:dyDescent="0.45">
      <c r="A17" s="208" t="s">
        <v>46</v>
      </c>
      <c r="B17" s="219">
        <f>'Conv. Fact.'!D15</f>
        <v>0.14000000000000001</v>
      </c>
      <c r="C17" s="22"/>
    </row>
    <row r="18" spans="1:8" s="1" customFormat="1" ht="17" x14ac:dyDescent="0.5">
      <c r="A18" s="207" t="s">
        <v>274</v>
      </c>
      <c r="B18" s="220">
        <f>B3*'Conv. Fact.'!D2</f>
        <v>2578.625</v>
      </c>
      <c r="C18" s="49" t="s">
        <v>273</v>
      </c>
    </row>
    <row r="19" spans="1:8" ht="17" x14ac:dyDescent="0.5">
      <c r="A19" s="93" t="s">
        <v>275</v>
      </c>
      <c r="B19" s="55">
        <f>B3*'Conv. Fact.'!D19</f>
        <v>0.18375</v>
      </c>
      <c r="C19" s="50" t="s">
        <v>259</v>
      </c>
    </row>
    <row r="20" spans="1:8" s="1" customFormat="1" ht="16.899999999999999" customHeight="1" thickBot="1" x14ac:dyDescent="0.55000000000000004">
      <c r="A20" s="94" t="s">
        <v>276</v>
      </c>
      <c r="B20" s="221">
        <f>B3*'Conv. Fact.'!D20</f>
        <v>2.6249999999999999E-2</v>
      </c>
      <c r="C20" s="51" t="s">
        <v>260</v>
      </c>
    </row>
    <row r="21" spans="1:8" s="1" customFormat="1" ht="15" customHeight="1" x14ac:dyDescent="0.4">
      <c r="D21" s="21"/>
      <c r="E21" s="377" t="s">
        <v>142</v>
      </c>
      <c r="F21" s="377"/>
      <c r="G21" s="377"/>
    </row>
    <row r="22" spans="1:8" s="1" customFormat="1" ht="15.75" customHeight="1" x14ac:dyDescent="0.4">
      <c r="A22" s="10"/>
      <c r="B22" s="217"/>
      <c r="E22" s="377"/>
      <c r="F22" s="377"/>
      <c r="G22" s="377"/>
    </row>
    <row r="23" spans="1:8" s="1" customFormat="1" ht="15" customHeight="1" x14ac:dyDescent="0.4">
      <c r="A23" s="10"/>
      <c r="B23" s="248"/>
      <c r="D23" s="86"/>
      <c r="E23" s="369" t="s">
        <v>143</v>
      </c>
      <c r="F23" s="369"/>
      <c r="G23" s="369"/>
      <c r="H23" s="194"/>
    </row>
    <row r="24" spans="1:8" s="1" customFormat="1" ht="15.75" customHeight="1" x14ac:dyDescent="0.4">
      <c r="A24" s="10"/>
      <c r="E24" s="369"/>
      <c r="F24" s="369"/>
      <c r="G24" s="369"/>
    </row>
    <row r="25" spans="1:8" s="1" customFormat="1" ht="15" customHeight="1" x14ac:dyDescent="0.4">
      <c r="D25" s="203"/>
      <c r="E25" s="369" t="s">
        <v>238</v>
      </c>
      <c r="F25" s="369"/>
      <c r="G25" s="369"/>
    </row>
    <row r="26" spans="1:8" s="1" customFormat="1" ht="15.75" customHeight="1" x14ac:dyDescent="0.4">
      <c r="E26" s="369"/>
      <c r="F26" s="369"/>
      <c r="G26" s="369"/>
    </row>
    <row r="27" spans="1:8" s="1" customFormat="1" ht="15" x14ac:dyDescent="0.4">
      <c r="D27" s="194"/>
      <c r="E27" s="204"/>
      <c r="F27" s="204"/>
      <c r="G27" s="204"/>
    </row>
    <row r="28" spans="1:8" s="1" customFormat="1" ht="15.75" customHeight="1" x14ac:dyDescent="0.4">
      <c r="E28" s="204"/>
      <c r="F28" s="204"/>
      <c r="G28" s="204"/>
    </row>
    <row r="29" spans="1:8" s="1" customFormat="1" ht="15" x14ac:dyDescent="0.4">
      <c r="D29" s="204"/>
      <c r="E29" s="204"/>
      <c r="F29" s="204"/>
      <c r="G29" s="204"/>
    </row>
    <row r="30" spans="1:8" s="1" customFormat="1" ht="15" x14ac:dyDescent="0.4"/>
    <row r="31" spans="1:8" s="1" customFormat="1" ht="15" x14ac:dyDescent="0.4"/>
    <row r="32" spans="1:8" s="1" customFormat="1" ht="15" x14ac:dyDescent="0.4"/>
    <row r="33" s="1" customFormat="1" ht="15" x14ac:dyDescent="0.4"/>
    <row r="34" s="1" customFormat="1" ht="15" x14ac:dyDescent="0.4"/>
    <row r="35" s="1" customFormat="1" ht="15" x14ac:dyDescent="0.4"/>
    <row r="36" s="1" customFormat="1" ht="15" x14ac:dyDescent="0.4"/>
    <row r="37" s="1" customFormat="1" ht="15" x14ac:dyDescent="0.4"/>
    <row r="38" s="1" customFormat="1" ht="15" x14ac:dyDescent="0.4"/>
    <row r="39" s="1" customFormat="1" ht="15" x14ac:dyDescent="0.4"/>
    <row r="40" s="1" customFormat="1" ht="15" x14ac:dyDescent="0.4"/>
    <row r="41" s="1" customFormat="1" ht="15" x14ac:dyDescent="0.4"/>
    <row r="42" s="1" customFormat="1" ht="15" x14ac:dyDescent="0.4"/>
    <row r="43" s="1" customFormat="1" ht="15" x14ac:dyDescent="0.4"/>
    <row r="44" s="1" customFormat="1" ht="15" x14ac:dyDescent="0.4"/>
    <row r="45" s="1" customFormat="1" ht="15" x14ac:dyDescent="0.4"/>
    <row r="46" s="1" customFormat="1" ht="15" x14ac:dyDescent="0.4"/>
    <row r="47" s="1" customFormat="1" ht="15" x14ac:dyDescent="0.4"/>
    <row r="48" s="1" customFormat="1" ht="15" x14ac:dyDescent="0.4"/>
    <row r="49" s="1" customFormat="1" ht="15" x14ac:dyDescent="0.4"/>
    <row r="50" s="1" customFormat="1" ht="15" x14ac:dyDescent="0.4"/>
    <row r="51" s="1" customFormat="1" ht="15" x14ac:dyDescent="0.4"/>
    <row r="52" s="1" customFormat="1" ht="15" x14ac:dyDescent="0.4"/>
    <row r="53" s="1" customFormat="1" ht="15" x14ac:dyDescent="0.4"/>
    <row r="54" s="1" customFormat="1" ht="15" x14ac:dyDescent="0.4"/>
    <row r="55" s="1" customFormat="1" ht="15" x14ac:dyDescent="0.4"/>
    <row r="56" s="1" customFormat="1" ht="15" x14ac:dyDescent="0.4"/>
    <row r="57" s="1" customFormat="1" ht="15" x14ac:dyDescent="0.4"/>
    <row r="58" s="1" customFormat="1" ht="15" x14ac:dyDescent="0.4"/>
    <row r="59" s="1" customFormat="1" ht="15" x14ac:dyDescent="0.4"/>
    <row r="60" s="1" customFormat="1" ht="15" x14ac:dyDescent="0.4"/>
    <row r="61" s="1" customFormat="1" ht="15" x14ac:dyDescent="0.4"/>
    <row r="62" s="1" customFormat="1" ht="15" x14ac:dyDescent="0.4"/>
    <row r="63" s="1" customFormat="1" ht="15" x14ac:dyDescent="0.4"/>
    <row r="64" s="1" customFormat="1" ht="15" x14ac:dyDescent="0.4"/>
    <row r="65" s="1" customFormat="1" ht="15" x14ac:dyDescent="0.4"/>
    <row r="66" s="1" customFormat="1" ht="15" x14ac:dyDescent="0.4"/>
    <row r="67" s="1" customFormat="1" ht="15" x14ac:dyDescent="0.4"/>
    <row r="68" s="1" customFormat="1" ht="15" x14ac:dyDescent="0.4"/>
    <row r="69" s="1" customFormat="1" ht="15" x14ac:dyDescent="0.4"/>
    <row r="70" s="1" customFormat="1" ht="15" x14ac:dyDescent="0.4"/>
    <row r="71" s="1" customFormat="1" ht="15" x14ac:dyDescent="0.4"/>
    <row r="72" s="1" customFormat="1" ht="15" x14ac:dyDescent="0.4"/>
    <row r="73" s="1" customFormat="1" ht="15" x14ac:dyDescent="0.4"/>
    <row r="74" s="1" customFormat="1" ht="15" x14ac:dyDescent="0.4"/>
    <row r="75" s="1" customFormat="1" ht="15" x14ac:dyDescent="0.4"/>
    <row r="76" s="1" customFormat="1" ht="15" x14ac:dyDescent="0.4"/>
    <row r="77" s="1" customFormat="1" ht="15" x14ac:dyDescent="0.4"/>
    <row r="78" s="1" customFormat="1" ht="15" x14ac:dyDescent="0.4"/>
    <row r="79" s="1" customFormat="1" ht="15" x14ac:dyDescent="0.4"/>
    <row r="80" s="1" customFormat="1" ht="15" x14ac:dyDescent="0.4"/>
    <row r="81" s="1" customFormat="1" ht="15" x14ac:dyDescent="0.4"/>
    <row r="82" s="1" customFormat="1" ht="15" x14ac:dyDescent="0.4"/>
    <row r="83" s="1" customFormat="1" ht="15" x14ac:dyDescent="0.4"/>
    <row r="84" s="1" customFormat="1" ht="15" x14ac:dyDescent="0.4"/>
    <row r="85" s="1" customFormat="1" ht="15" x14ac:dyDescent="0.4"/>
    <row r="86" s="1" customFormat="1" ht="15" x14ac:dyDescent="0.4"/>
    <row r="87" s="1" customFormat="1" ht="15" x14ac:dyDescent="0.4"/>
    <row r="88" s="1" customFormat="1" ht="15" x14ac:dyDescent="0.4"/>
    <row r="89" s="1" customFormat="1" ht="15" x14ac:dyDescent="0.4"/>
    <row r="90" s="1" customFormat="1" ht="15" x14ac:dyDescent="0.4"/>
    <row r="91" s="1" customFormat="1" ht="15" x14ac:dyDescent="0.4"/>
    <row r="92" s="1" customFormat="1" ht="15" x14ac:dyDescent="0.4"/>
    <row r="93" s="1" customFormat="1" ht="15" x14ac:dyDescent="0.4"/>
    <row r="94" s="1" customFormat="1" ht="15" x14ac:dyDescent="0.4"/>
    <row r="95" s="1" customFormat="1" ht="15" x14ac:dyDescent="0.4"/>
    <row r="96" s="1" customFormat="1" ht="15" x14ac:dyDescent="0.4"/>
    <row r="97" s="1" customFormat="1" ht="15" x14ac:dyDescent="0.4"/>
    <row r="98" s="1" customFormat="1" ht="15" x14ac:dyDescent="0.4"/>
    <row r="99" s="1" customFormat="1" ht="15" x14ac:dyDescent="0.4"/>
    <row r="100" s="1" customFormat="1" ht="15" x14ac:dyDescent="0.4"/>
    <row r="101" s="1" customFormat="1" ht="15" x14ac:dyDescent="0.4"/>
    <row r="102" s="1" customFormat="1" ht="15" x14ac:dyDescent="0.4"/>
    <row r="103" s="1" customFormat="1" ht="15" x14ac:dyDescent="0.4"/>
    <row r="104" s="1" customFormat="1" ht="15" x14ac:dyDescent="0.4"/>
    <row r="105" s="1" customFormat="1" ht="15" x14ac:dyDescent="0.4"/>
    <row r="106" s="1" customFormat="1" ht="15" x14ac:dyDescent="0.4"/>
    <row r="107" s="1" customFormat="1" ht="15" x14ac:dyDescent="0.4"/>
    <row r="108" s="1" customFormat="1" ht="15" x14ac:dyDescent="0.4"/>
    <row r="109" s="1" customFormat="1" ht="15" x14ac:dyDescent="0.4"/>
    <row r="110" s="1" customFormat="1" ht="15" x14ac:dyDescent="0.4"/>
    <row r="111" s="1" customFormat="1" ht="15" x14ac:dyDescent="0.4"/>
    <row r="112" s="1" customFormat="1" ht="15" x14ac:dyDescent="0.4"/>
    <row r="113" s="1" customFormat="1" ht="15" x14ac:dyDescent="0.4"/>
    <row r="114" s="1" customFormat="1" ht="15" x14ac:dyDescent="0.4"/>
    <row r="115" s="1" customFormat="1" ht="15" x14ac:dyDescent="0.4"/>
    <row r="116" s="1" customFormat="1" ht="15" x14ac:dyDescent="0.4"/>
    <row r="117" s="1" customFormat="1" ht="15" x14ac:dyDescent="0.4"/>
    <row r="118" s="1" customFormat="1" ht="15" x14ac:dyDescent="0.4"/>
    <row r="119" s="1" customFormat="1" ht="15" x14ac:dyDescent="0.4"/>
    <row r="120" s="1" customFormat="1" ht="15" x14ac:dyDescent="0.4"/>
    <row r="121" s="1" customFormat="1" ht="15" x14ac:dyDescent="0.4"/>
    <row r="122" s="1" customFormat="1" ht="15" x14ac:dyDescent="0.4"/>
    <row r="123" s="1" customFormat="1" ht="15" x14ac:dyDescent="0.4"/>
    <row r="124" s="1" customFormat="1" ht="15" x14ac:dyDescent="0.4"/>
    <row r="125" s="1" customFormat="1" ht="15" x14ac:dyDescent="0.4"/>
    <row r="126" s="1" customFormat="1" ht="15" x14ac:dyDescent="0.4"/>
    <row r="127" s="1" customFormat="1" ht="15" x14ac:dyDescent="0.4"/>
    <row r="128" s="1" customFormat="1" ht="15" x14ac:dyDescent="0.4"/>
    <row r="129" s="1" customFormat="1" ht="15" x14ac:dyDescent="0.4"/>
    <row r="130" s="1" customFormat="1" ht="15" x14ac:dyDescent="0.4"/>
    <row r="131" s="1" customFormat="1" ht="15" x14ac:dyDescent="0.4"/>
    <row r="132" s="1" customFormat="1" ht="15" x14ac:dyDescent="0.4"/>
    <row r="133" s="1" customFormat="1" ht="15" x14ac:dyDescent="0.4"/>
    <row r="134" s="1" customFormat="1" ht="15" x14ac:dyDescent="0.4"/>
    <row r="135" s="1" customFormat="1" ht="15" x14ac:dyDescent="0.4"/>
    <row r="136" s="1" customFormat="1" ht="15" x14ac:dyDescent="0.4"/>
    <row r="137" s="1" customFormat="1" ht="15" x14ac:dyDescent="0.4"/>
    <row r="138" s="1" customFormat="1" ht="15" x14ac:dyDescent="0.4"/>
    <row r="139" s="1" customFormat="1" ht="15" x14ac:dyDescent="0.4"/>
    <row r="140" s="1" customFormat="1" ht="15" x14ac:dyDescent="0.4"/>
    <row r="141" s="1" customFormat="1" ht="15" x14ac:dyDescent="0.4"/>
    <row r="142" s="1" customFormat="1" ht="15" x14ac:dyDescent="0.4"/>
    <row r="143" s="1" customFormat="1" ht="15" x14ac:dyDescent="0.4"/>
    <row r="144" s="1" customFormat="1" ht="15" x14ac:dyDescent="0.4"/>
    <row r="145" s="1" customFormat="1" ht="15" x14ac:dyDescent="0.4"/>
    <row r="146" s="1" customFormat="1" ht="15" x14ac:dyDescent="0.4"/>
    <row r="147" s="1" customFormat="1" ht="15" x14ac:dyDescent="0.4"/>
    <row r="148" s="1" customFormat="1" ht="15" x14ac:dyDescent="0.4"/>
    <row r="149" s="1" customFormat="1" ht="15" x14ac:dyDescent="0.4"/>
    <row r="150" s="1" customFormat="1" ht="15" x14ac:dyDescent="0.4"/>
    <row r="151" s="1" customFormat="1" ht="15" x14ac:dyDescent="0.4"/>
    <row r="152" s="1" customFormat="1" ht="15" x14ac:dyDescent="0.4"/>
    <row r="153" s="1" customFormat="1" ht="15" x14ac:dyDescent="0.4"/>
    <row r="154" s="1" customFormat="1" ht="15" x14ac:dyDescent="0.4"/>
    <row r="155" s="1" customFormat="1" ht="15" x14ac:dyDescent="0.4"/>
    <row r="156" s="1" customFormat="1" ht="15" x14ac:dyDescent="0.4"/>
    <row r="157" s="1" customFormat="1" ht="15" x14ac:dyDescent="0.4"/>
    <row r="158" s="1" customFormat="1" ht="15" x14ac:dyDescent="0.4"/>
    <row r="159" s="1" customFormat="1" ht="15" x14ac:dyDescent="0.4"/>
    <row r="160" s="1" customFormat="1" ht="15" x14ac:dyDescent="0.4"/>
    <row r="161" s="1" customFormat="1" ht="15" x14ac:dyDescent="0.4"/>
    <row r="162" s="1" customFormat="1" ht="15" x14ac:dyDescent="0.4"/>
    <row r="163" s="1" customFormat="1" ht="15" x14ac:dyDescent="0.4"/>
    <row r="164" s="1" customFormat="1" ht="15" x14ac:dyDescent="0.4"/>
    <row r="165" s="1" customFormat="1" ht="15" x14ac:dyDescent="0.4"/>
    <row r="166" s="1" customFormat="1" ht="15" x14ac:dyDescent="0.4"/>
    <row r="167" s="1" customFormat="1" ht="15" x14ac:dyDescent="0.4"/>
    <row r="168" s="1" customFormat="1" ht="15" x14ac:dyDescent="0.4"/>
    <row r="169" s="1" customFormat="1" ht="15" x14ac:dyDescent="0.4"/>
    <row r="170" s="1" customFormat="1" ht="15" x14ac:dyDescent="0.4"/>
    <row r="171" s="1" customFormat="1" ht="15" x14ac:dyDescent="0.4"/>
    <row r="172" s="1" customFormat="1" ht="15" x14ac:dyDescent="0.4"/>
    <row r="173" s="1" customFormat="1" ht="15" x14ac:dyDescent="0.4"/>
    <row r="174" s="1" customFormat="1" ht="15" x14ac:dyDescent="0.4"/>
    <row r="175" s="1" customFormat="1" ht="15" x14ac:dyDescent="0.4"/>
    <row r="176" s="1" customFormat="1" ht="15" x14ac:dyDescent="0.4"/>
    <row r="177" s="1" customFormat="1" ht="15" x14ac:dyDescent="0.4"/>
    <row r="178" s="1" customFormat="1" ht="15" x14ac:dyDescent="0.4"/>
    <row r="179" s="1" customFormat="1" ht="15" x14ac:dyDescent="0.4"/>
    <row r="180" s="1" customFormat="1" ht="15" x14ac:dyDescent="0.4"/>
    <row r="181" s="1" customFormat="1" ht="15" x14ac:dyDescent="0.4"/>
    <row r="182" s="1" customFormat="1" ht="15" x14ac:dyDescent="0.4"/>
    <row r="183" s="1" customFormat="1" ht="15" x14ac:dyDescent="0.4"/>
    <row r="184" s="1" customFormat="1" ht="15" x14ac:dyDescent="0.4"/>
    <row r="185" s="1" customFormat="1" ht="15" x14ac:dyDescent="0.4"/>
    <row r="186" s="1" customFormat="1" ht="15" x14ac:dyDescent="0.4"/>
    <row r="187" s="1" customFormat="1" ht="15" x14ac:dyDescent="0.4"/>
    <row r="188" s="1" customFormat="1" ht="15" x14ac:dyDescent="0.4"/>
    <row r="189" s="1" customFormat="1" ht="15" x14ac:dyDescent="0.4"/>
    <row r="190" s="1" customFormat="1" ht="15" x14ac:dyDescent="0.4"/>
    <row r="191" s="1" customFormat="1" ht="15" x14ac:dyDescent="0.4"/>
    <row r="192" s="1" customFormat="1" ht="15" x14ac:dyDescent="0.4"/>
    <row r="193" s="1" customFormat="1" ht="15" x14ac:dyDescent="0.4"/>
    <row r="194" s="1" customFormat="1" ht="15" x14ac:dyDescent="0.4"/>
    <row r="195" s="1" customFormat="1" ht="15" x14ac:dyDescent="0.4"/>
    <row r="196" s="1" customFormat="1" ht="15" x14ac:dyDescent="0.4"/>
    <row r="197" s="1" customFormat="1" ht="15" x14ac:dyDescent="0.4"/>
    <row r="198" s="1" customFormat="1" ht="15" x14ac:dyDescent="0.4"/>
    <row r="199" s="1" customFormat="1" ht="15" x14ac:dyDescent="0.4"/>
    <row r="200" s="1" customFormat="1" ht="15" x14ac:dyDescent="0.4"/>
    <row r="201" s="1" customFormat="1" ht="15" x14ac:dyDescent="0.4"/>
    <row r="202" s="1" customFormat="1" ht="15" x14ac:dyDescent="0.4"/>
    <row r="203" s="1" customFormat="1" ht="15" x14ac:dyDescent="0.4"/>
    <row r="204" s="1" customFormat="1" ht="15" x14ac:dyDescent="0.4"/>
    <row r="205" s="1" customFormat="1" ht="15" x14ac:dyDescent="0.4"/>
    <row r="206" s="1" customFormat="1" ht="15" x14ac:dyDescent="0.4"/>
    <row r="207" s="1" customFormat="1" ht="15" x14ac:dyDescent="0.4"/>
    <row r="208" s="1" customFormat="1" ht="15" x14ac:dyDescent="0.4"/>
    <row r="209" s="1" customFormat="1" ht="15" x14ac:dyDescent="0.4"/>
    <row r="210" s="1" customFormat="1" ht="15" x14ac:dyDescent="0.4"/>
    <row r="211" s="1" customFormat="1" ht="15" x14ac:dyDescent="0.4"/>
    <row r="212" s="1" customFormat="1" ht="15" x14ac:dyDescent="0.4"/>
    <row r="213" s="1" customFormat="1" ht="15" x14ac:dyDescent="0.4"/>
    <row r="214" s="1" customFormat="1" ht="15" x14ac:dyDescent="0.4"/>
    <row r="215" s="1" customFormat="1" ht="15" x14ac:dyDescent="0.4"/>
    <row r="216" s="1" customFormat="1" ht="15" x14ac:dyDescent="0.4"/>
    <row r="217" s="1" customFormat="1" ht="15" x14ac:dyDescent="0.4"/>
    <row r="218" s="1" customFormat="1" ht="15" x14ac:dyDescent="0.4"/>
    <row r="219" s="1" customFormat="1" ht="15" x14ac:dyDescent="0.4"/>
    <row r="220" s="1" customFormat="1" ht="15" x14ac:dyDescent="0.4"/>
    <row r="221" s="1" customFormat="1" ht="15" x14ac:dyDescent="0.4"/>
    <row r="222" s="1" customFormat="1" ht="15" x14ac:dyDescent="0.4"/>
    <row r="223" s="1" customFormat="1" ht="15" x14ac:dyDescent="0.4"/>
    <row r="224" s="1" customFormat="1" ht="15" x14ac:dyDescent="0.4"/>
    <row r="225" s="1" customFormat="1" ht="15" x14ac:dyDescent="0.4"/>
    <row r="226" s="1" customFormat="1" ht="15" x14ac:dyDescent="0.4"/>
    <row r="227" s="1" customFormat="1" ht="15" x14ac:dyDescent="0.4"/>
    <row r="228" s="1" customFormat="1" ht="15" x14ac:dyDescent="0.4"/>
    <row r="229" s="1" customFormat="1" ht="15" x14ac:dyDescent="0.4"/>
    <row r="230" s="1" customFormat="1" ht="15" x14ac:dyDescent="0.4"/>
    <row r="231" s="1" customFormat="1" ht="15" x14ac:dyDescent="0.4"/>
    <row r="232" s="1" customFormat="1" ht="15" x14ac:dyDescent="0.4"/>
    <row r="233" s="1" customFormat="1" ht="15" x14ac:dyDescent="0.4"/>
    <row r="234" s="1" customFormat="1" ht="15" x14ac:dyDescent="0.4"/>
    <row r="235" s="1" customFormat="1" ht="15" x14ac:dyDescent="0.4"/>
    <row r="236" s="1" customFormat="1" ht="15" x14ac:dyDescent="0.4"/>
    <row r="237" s="1" customFormat="1" ht="15" x14ac:dyDescent="0.4"/>
    <row r="238" s="1" customFormat="1" ht="15" x14ac:dyDescent="0.4"/>
    <row r="239" s="1" customFormat="1" ht="15" x14ac:dyDescent="0.4"/>
    <row r="240" s="1" customFormat="1" ht="15" x14ac:dyDescent="0.4"/>
    <row r="241" s="1" customFormat="1" ht="15" x14ac:dyDescent="0.4"/>
    <row r="242" s="1" customFormat="1" ht="15" x14ac:dyDescent="0.4"/>
    <row r="243" s="1" customFormat="1" ht="15" x14ac:dyDescent="0.4"/>
    <row r="244" s="1" customFormat="1" ht="15" x14ac:dyDescent="0.4"/>
    <row r="245" s="1" customFormat="1" ht="15" x14ac:dyDescent="0.4"/>
    <row r="246" s="1" customFormat="1" ht="15" x14ac:dyDescent="0.4"/>
    <row r="247" s="1" customFormat="1" ht="15" x14ac:dyDescent="0.4"/>
    <row r="248" s="1" customFormat="1" ht="15" x14ac:dyDescent="0.4"/>
    <row r="249" s="1" customFormat="1" ht="15" x14ac:dyDescent="0.4"/>
    <row r="250" s="1" customFormat="1" ht="15" x14ac:dyDescent="0.4"/>
    <row r="251" s="1" customFormat="1" ht="15" x14ac:dyDescent="0.4"/>
    <row r="252" s="1" customFormat="1" ht="15" x14ac:dyDescent="0.4"/>
    <row r="253" s="1" customFormat="1" ht="15" x14ac:dyDescent="0.4"/>
    <row r="254" s="1" customFormat="1" ht="15" x14ac:dyDescent="0.4"/>
    <row r="255" s="1" customFormat="1" ht="15" x14ac:dyDescent="0.4"/>
    <row r="256" s="1" customFormat="1" ht="15" x14ac:dyDescent="0.4"/>
    <row r="257" s="1" customFormat="1" ht="15" x14ac:dyDescent="0.4"/>
    <row r="258" s="1" customFormat="1" ht="15" x14ac:dyDescent="0.4"/>
    <row r="259" s="1" customFormat="1" ht="15" x14ac:dyDescent="0.4"/>
    <row r="260" s="1" customFormat="1" ht="15" x14ac:dyDescent="0.4"/>
    <row r="261" s="1" customFormat="1" ht="15" x14ac:dyDescent="0.4"/>
    <row r="262" s="1" customFormat="1" ht="15" x14ac:dyDescent="0.4"/>
    <row r="263" s="1" customFormat="1" ht="15" x14ac:dyDescent="0.4"/>
    <row r="264" s="1" customFormat="1" ht="15" x14ac:dyDescent="0.4"/>
    <row r="265" s="1" customFormat="1" ht="15" x14ac:dyDescent="0.4"/>
    <row r="266" s="1" customFormat="1" ht="15" x14ac:dyDescent="0.4"/>
    <row r="267" s="1" customFormat="1" ht="15" x14ac:dyDescent="0.4"/>
    <row r="268" s="1" customFormat="1" ht="15" x14ac:dyDescent="0.4"/>
    <row r="269" s="1" customFormat="1" ht="15" x14ac:dyDescent="0.4"/>
    <row r="270" s="1" customFormat="1" ht="15" x14ac:dyDescent="0.4"/>
    <row r="271" s="1" customFormat="1" ht="15" x14ac:dyDescent="0.4"/>
    <row r="272" s="1" customFormat="1" ht="15" x14ac:dyDescent="0.4"/>
    <row r="273" s="1" customFormat="1" ht="15" x14ac:dyDescent="0.4"/>
    <row r="274" s="1" customFormat="1" ht="15" x14ac:dyDescent="0.4"/>
    <row r="275" s="1" customFormat="1" ht="15" x14ac:dyDescent="0.4"/>
    <row r="276" s="1" customFormat="1" ht="15" x14ac:dyDescent="0.4"/>
    <row r="277" s="1" customFormat="1" ht="15" x14ac:dyDescent="0.4"/>
    <row r="278" s="1" customFormat="1" ht="15" x14ac:dyDescent="0.4"/>
    <row r="279" s="1" customFormat="1" ht="15" x14ac:dyDescent="0.4"/>
    <row r="280" s="1" customFormat="1" ht="15" x14ac:dyDescent="0.4"/>
    <row r="281" s="1" customFormat="1" ht="15" x14ac:dyDescent="0.4"/>
    <row r="282" s="1" customFormat="1" ht="15" x14ac:dyDescent="0.4"/>
    <row r="283" s="1" customFormat="1" ht="15" x14ac:dyDescent="0.4"/>
    <row r="284" s="1" customFormat="1" ht="15" x14ac:dyDescent="0.4"/>
    <row r="285" s="1" customFormat="1" ht="15" x14ac:dyDescent="0.4"/>
    <row r="286" s="1" customFormat="1" ht="15" x14ac:dyDescent="0.4"/>
    <row r="287" s="1" customFormat="1" ht="15" x14ac:dyDescent="0.4"/>
    <row r="288" s="1" customFormat="1" ht="15" x14ac:dyDescent="0.4"/>
    <row r="289" s="1" customFormat="1" ht="15" x14ac:dyDescent="0.4"/>
    <row r="290" s="1" customFormat="1" ht="15" x14ac:dyDescent="0.4"/>
    <row r="291" s="1" customFormat="1" ht="15" x14ac:dyDescent="0.4"/>
    <row r="292" s="1" customFormat="1" ht="15" x14ac:dyDescent="0.4"/>
    <row r="293" s="1" customFormat="1" ht="15" x14ac:dyDescent="0.4"/>
    <row r="294" s="1" customFormat="1" ht="15" x14ac:dyDescent="0.4"/>
    <row r="295" s="1" customFormat="1" ht="15" x14ac:dyDescent="0.4"/>
    <row r="296" s="1" customFormat="1" ht="15" x14ac:dyDescent="0.4"/>
    <row r="297" s="1" customFormat="1" ht="15" x14ac:dyDescent="0.4"/>
    <row r="298" s="1" customFormat="1" ht="15" x14ac:dyDescent="0.4"/>
    <row r="299" s="1" customFormat="1" ht="15" x14ac:dyDescent="0.4"/>
    <row r="300" s="1" customFormat="1" ht="15" x14ac:dyDescent="0.4"/>
    <row r="301" s="1" customFormat="1" ht="15" x14ac:dyDescent="0.4"/>
    <row r="302" s="1" customFormat="1" ht="15" x14ac:dyDescent="0.4"/>
    <row r="303" s="1" customFormat="1" ht="15" x14ac:dyDescent="0.4"/>
    <row r="304" s="1" customFormat="1" ht="15" x14ac:dyDescent="0.4"/>
    <row r="305" s="1" customFormat="1" ht="15" x14ac:dyDescent="0.4"/>
    <row r="306" s="1" customFormat="1" ht="15" x14ac:dyDescent="0.4"/>
    <row r="307" s="1" customFormat="1" ht="15" x14ac:dyDescent="0.4"/>
    <row r="308" s="1" customFormat="1" ht="15" x14ac:dyDescent="0.4"/>
    <row r="309" s="1" customFormat="1" ht="15" x14ac:dyDescent="0.4"/>
    <row r="310" s="1" customFormat="1" ht="15" x14ac:dyDescent="0.4"/>
    <row r="311" s="1" customFormat="1" ht="15" x14ac:dyDescent="0.4"/>
    <row r="312" s="1" customFormat="1" ht="15" x14ac:dyDescent="0.4"/>
    <row r="313" s="1" customFormat="1" ht="15" x14ac:dyDescent="0.4"/>
    <row r="314" s="1" customFormat="1" ht="15" x14ac:dyDescent="0.4"/>
    <row r="315" s="1" customFormat="1" ht="15" x14ac:dyDescent="0.4"/>
    <row r="316" s="1" customFormat="1" ht="15" x14ac:dyDescent="0.4"/>
    <row r="317" s="1" customFormat="1" ht="15" x14ac:dyDescent="0.4"/>
    <row r="318" s="1" customFormat="1" ht="15" x14ac:dyDescent="0.4"/>
    <row r="319" s="1" customFormat="1" ht="15" x14ac:dyDescent="0.4"/>
    <row r="320" s="1" customFormat="1" ht="15" x14ac:dyDescent="0.4"/>
    <row r="321" s="1" customFormat="1" ht="15" x14ac:dyDescent="0.4"/>
    <row r="322" s="1" customFormat="1" ht="15" x14ac:dyDescent="0.4"/>
    <row r="323" s="1" customFormat="1" ht="15" x14ac:dyDescent="0.4"/>
    <row r="324" s="1" customFormat="1" ht="15" x14ac:dyDescent="0.4"/>
    <row r="325" s="1" customFormat="1" ht="15" x14ac:dyDescent="0.4"/>
    <row r="326" s="1" customFormat="1" ht="15" x14ac:dyDescent="0.4"/>
    <row r="327" s="1" customFormat="1" ht="15" x14ac:dyDescent="0.4"/>
    <row r="328" s="1" customFormat="1" ht="15" x14ac:dyDescent="0.4"/>
    <row r="329" s="1" customFormat="1" ht="15" x14ac:dyDescent="0.4"/>
    <row r="330" s="1" customFormat="1" ht="15" x14ac:dyDescent="0.4"/>
    <row r="331" s="1" customFormat="1" ht="15" x14ac:dyDescent="0.4"/>
    <row r="332" s="1" customFormat="1" ht="15" x14ac:dyDescent="0.4"/>
    <row r="333" s="1" customFormat="1" ht="15" x14ac:dyDescent="0.4"/>
    <row r="334" s="1" customFormat="1" ht="15" x14ac:dyDescent="0.4"/>
    <row r="335" s="1" customFormat="1" ht="15" x14ac:dyDescent="0.4"/>
    <row r="336" s="1" customFormat="1" ht="15" x14ac:dyDescent="0.4"/>
    <row r="337" s="1" customFormat="1" ht="15" x14ac:dyDescent="0.4"/>
    <row r="338" s="1" customFormat="1" ht="15" x14ac:dyDescent="0.4"/>
    <row r="339" s="1" customFormat="1" ht="15" x14ac:dyDescent="0.4"/>
    <row r="340" s="1" customFormat="1" ht="15" x14ac:dyDescent="0.4"/>
    <row r="341" s="1" customFormat="1" ht="15" x14ac:dyDescent="0.4"/>
    <row r="342" s="1" customFormat="1" ht="15" x14ac:dyDescent="0.4"/>
    <row r="343" s="1" customFormat="1" ht="15" x14ac:dyDescent="0.4"/>
    <row r="344" s="1" customFormat="1" ht="15" x14ac:dyDescent="0.4"/>
    <row r="345" s="1" customFormat="1" ht="15" x14ac:dyDescent="0.4"/>
    <row r="346" s="1" customFormat="1" ht="15" x14ac:dyDescent="0.4"/>
    <row r="347" s="1" customFormat="1" ht="15" x14ac:dyDescent="0.4"/>
    <row r="348" s="1" customFormat="1" ht="15" x14ac:dyDescent="0.4"/>
    <row r="349" s="1" customFormat="1" ht="15" x14ac:dyDescent="0.4"/>
    <row r="350" s="1" customFormat="1" ht="15" x14ac:dyDescent="0.4"/>
    <row r="351" s="1" customFormat="1" ht="15" x14ac:dyDescent="0.4"/>
    <row r="352" s="1" customFormat="1" ht="15" x14ac:dyDescent="0.4"/>
    <row r="353" s="1" customFormat="1" ht="15" x14ac:dyDescent="0.4"/>
    <row r="354" s="1" customFormat="1" ht="15" x14ac:dyDescent="0.4"/>
    <row r="355" s="1" customFormat="1" ht="15" x14ac:dyDescent="0.4"/>
    <row r="356" s="1" customFormat="1" ht="15" x14ac:dyDescent="0.4"/>
    <row r="357" s="1" customFormat="1" ht="15" x14ac:dyDescent="0.4"/>
    <row r="358" s="1" customFormat="1" ht="15" x14ac:dyDescent="0.4"/>
    <row r="359" s="1" customFormat="1" ht="15" x14ac:dyDescent="0.4"/>
    <row r="360" s="1" customFormat="1" ht="15" x14ac:dyDescent="0.4"/>
    <row r="361" s="1" customFormat="1" ht="15" x14ac:dyDescent="0.4"/>
    <row r="362" s="1" customFormat="1" ht="15" x14ac:dyDescent="0.4"/>
    <row r="363" s="1" customFormat="1" ht="15" x14ac:dyDescent="0.4"/>
  </sheetData>
  <mergeCells count="6">
    <mergeCell ref="E25:G26"/>
    <mergeCell ref="A1:C1"/>
    <mergeCell ref="B7:C7"/>
    <mergeCell ref="B8:C8"/>
    <mergeCell ref="E21:G22"/>
    <mergeCell ref="E23:G24"/>
  </mergeCells>
  <pageMargins left="0.7" right="0.7" top="0.75" bottom="0.75" header="0.3" footer="0.3"/>
  <pageSetup orientation="landscape" r:id="rId1"/>
  <headerFooter>
    <oddHeader>&amp;L&amp;"Franklin Gothic Book,Regular"City of Rochester
Climate Pollution Reduction Act Grant
&amp;R&amp;"Franklin Gothic Book,Italic"Program #1: Residential Rooftop Solar</oddHeader>
    <oddFooter>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0"/>
  <sheetViews>
    <sheetView view="pageLayout" zoomScaleNormal="100" workbookViewId="0">
      <selection activeCell="K64" sqref="K64"/>
    </sheetView>
  </sheetViews>
  <sheetFormatPr defaultRowHeight="14.5" x14ac:dyDescent="0.35"/>
  <cols>
    <col min="1" max="1" width="12.26953125" customWidth="1"/>
    <col min="4" max="4" width="18.7265625" customWidth="1"/>
    <col min="5" max="5" width="9" bestFit="1" customWidth="1"/>
    <col min="6" max="6" width="17.1796875" bestFit="1" customWidth="1"/>
    <col min="7" max="7" width="8.7265625" customWidth="1"/>
    <col min="8" max="8" width="3.54296875" customWidth="1"/>
    <col min="9" max="9" width="11" customWidth="1"/>
    <col min="10" max="10" width="2.26953125" bestFit="1" customWidth="1"/>
    <col min="11" max="11" width="12" customWidth="1"/>
    <col min="12" max="12" width="8.453125" bestFit="1" customWidth="1"/>
  </cols>
  <sheetData>
    <row r="1" spans="1:12" ht="15.5" thickBot="1" x14ac:dyDescent="0.45">
      <c r="A1" s="394" t="s">
        <v>208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</row>
    <row r="2" spans="1:12" s="1" customFormat="1" ht="17" x14ac:dyDescent="0.5">
      <c r="A2" s="408" t="s">
        <v>196</v>
      </c>
      <c r="B2" s="409"/>
      <c r="C2" s="409"/>
      <c r="D2" s="409"/>
      <c r="E2" s="409"/>
      <c r="F2" s="410"/>
      <c r="G2" s="406">
        <f>SUM(F71,F104)</f>
        <v>1198.9645310741334</v>
      </c>
      <c r="H2" s="407"/>
      <c r="I2" s="177" t="s">
        <v>291</v>
      </c>
    </row>
    <row r="3" spans="1:12" s="1" customFormat="1" ht="17.5" thickBot="1" x14ac:dyDescent="0.55000000000000004">
      <c r="A3" s="493" t="s">
        <v>197</v>
      </c>
      <c r="B3" s="494"/>
      <c r="C3" s="494"/>
      <c r="D3" s="494"/>
      <c r="E3" s="494"/>
      <c r="F3" s="495"/>
      <c r="G3" s="484">
        <f>SUM(F80,F115)</f>
        <v>87.803201841756447</v>
      </c>
      <c r="H3" s="485"/>
      <c r="I3" s="178" t="s">
        <v>291</v>
      </c>
    </row>
    <row r="4" spans="1:12" s="1" customFormat="1" ht="17" x14ac:dyDescent="0.5">
      <c r="A4" s="488" t="s">
        <v>195</v>
      </c>
      <c r="B4" s="489"/>
      <c r="C4" s="489"/>
      <c r="D4" s="489"/>
      <c r="E4" s="489"/>
      <c r="F4" s="490"/>
      <c r="G4" s="486">
        <f>G2-G3</f>
        <v>1111.1613292323771</v>
      </c>
      <c r="H4" s="487"/>
      <c r="I4" s="196" t="s">
        <v>292</v>
      </c>
    </row>
    <row r="5" spans="1:12" s="1" customFormat="1" ht="15.5" thickBot="1" x14ac:dyDescent="0.45">
      <c r="A5" s="491"/>
      <c r="B5" s="492"/>
      <c r="C5" s="492"/>
      <c r="D5" s="492"/>
      <c r="E5" s="492"/>
      <c r="F5" s="492"/>
      <c r="G5" s="411">
        <f>G4/G2</f>
        <v>0.92676747346054111</v>
      </c>
      <c r="H5" s="412"/>
      <c r="I5" s="413"/>
    </row>
    <row r="6" spans="1:12" s="1" customFormat="1" ht="15.5" thickBot="1" x14ac:dyDescent="0.45">
      <c r="A6" s="414" t="s">
        <v>194</v>
      </c>
      <c r="B6" s="415"/>
      <c r="C6" s="415"/>
      <c r="D6" s="415"/>
      <c r="E6" s="415"/>
      <c r="F6" s="416"/>
      <c r="G6" s="417">
        <v>5</v>
      </c>
      <c r="H6" s="418"/>
      <c r="I6" s="179" t="s">
        <v>23</v>
      </c>
    </row>
    <row r="7" spans="1:12" s="1" customFormat="1" ht="17.5" thickBot="1" x14ac:dyDescent="0.55000000000000004">
      <c r="A7" s="414" t="s">
        <v>426</v>
      </c>
      <c r="B7" s="415"/>
      <c r="C7" s="415"/>
      <c r="D7" s="415"/>
      <c r="E7" s="415"/>
      <c r="F7" s="415"/>
      <c r="G7" s="499">
        <f>G4*G6</f>
        <v>5555.8066461618855</v>
      </c>
      <c r="H7" s="500"/>
      <c r="I7" s="277" t="s">
        <v>292</v>
      </c>
    </row>
    <row r="8" spans="1:12" s="1" customFormat="1" ht="15" x14ac:dyDescent="0.4">
      <c r="A8" s="461" t="s">
        <v>123</v>
      </c>
      <c r="B8" s="462"/>
      <c r="C8" s="462"/>
      <c r="D8" s="462"/>
      <c r="E8" s="463"/>
      <c r="F8" s="464"/>
      <c r="H8" s="454" t="s">
        <v>125</v>
      </c>
      <c r="I8" s="455"/>
      <c r="J8" s="456"/>
      <c r="K8" s="456"/>
      <c r="L8" s="457"/>
    </row>
    <row r="9" spans="1:12" s="1" customFormat="1" ht="17.5" x14ac:dyDescent="0.4">
      <c r="A9" s="395" t="s">
        <v>121</v>
      </c>
      <c r="B9" s="378"/>
      <c r="C9" s="378"/>
      <c r="D9" s="405"/>
      <c r="E9" s="190">
        <v>75</v>
      </c>
      <c r="F9" s="162" t="s">
        <v>31</v>
      </c>
      <c r="H9" s="395" t="s">
        <v>213</v>
      </c>
      <c r="I9" s="378"/>
      <c r="J9" s="378"/>
      <c r="K9" s="378"/>
      <c r="L9" s="90">
        <f>'Conv. Fact.'!D15</f>
        <v>0.14000000000000001</v>
      </c>
    </row>
    <row r="10" spans="1:12" s="1" customFormat="1" ht="18" thickBot="1" x14ac:dyDescent="0.45">
      <c r="A10" s="395" t="s">
        <v>122</v>
      </c>
      <c r="B10" s="378"/>
      <c r="C10" s="378"/>
      <c r="D10" s="405"/>
      <c r="E10" s="190">
        <v>40</v>
      </c>
      <c r="F10" s="162" t="s">
        <v>31</v>
      </c>
      <c r="H10" s="402" t="s">
        <v>214</v>
      </c>
      <c r="I10" s="403"/>
      <c r="J10" s="403"/>
      <c r="K10" s="403"/>
      <c r="L10" s="91">
        <f>'Conv. Fact.'!D17</f>
        <v>0.43197400000000002</v>
      </c>
    </row>
    <row r="11" spans="1:12" s="1" customFormat="1" ht="18" thickBot="1" x14ac:dyDescent="0.45">
      <c r="A11" s="402" t="s">
        <v>119</v>
      </c>
      <c r="B11" s="403"/>
      <c r="C11" s="403"/>
      <c r="D11" s="404"/>
      <c r="E11" s="191">
        <v>1200</v>
      </c>
      <c r="F11" s="160" t="s">
        <v>8</v>
      </c>
      <c r="H11" s="396" t="s">
        <v>132</v>
      </c>
      <c r="I11" s="397"/>
      <c r="J11" s="397"/>
      <c r="K11" s="397"/>
      <c r="L11" s="398"/>
    </row>
    <row r="12" spans="1:12" s="1" customFormat="1" ht="15.5" thickBot="1" x14ac:dyDescent="0.45">
      <c r="H12" s="399" t="s">
        <v>133</v>
      </c>
      <c r="I12" s="400"/>
      <c r="J12" s="400"/>
      <c r="K12" s="400"/>
      <c r="L12" s="401"/>
    </row>
    <row r="13" spans="1:12" s="1" customFormat="1" ht="15" x14ac:dyDescent="0.4">
      <c r="A13" s="450" t="s">
        <v>124</v>
      </c>
      <c r="B13" s="451"/>
      <c r="C13" s="451"/>
      <c r="D13" s="451"/>
      <c r="E13" s="452"/>
      <c r="F13" s="453"/>
      <c r="H13" s="61">
        <f>'Conv. Fact.'!A6</f>
        <v>1</v>
      </c>
      <c r="I13" s="7" t="str">
        <f>'Conv. Fact.'!B6</f>
        <v>mmBTU</v>
      </c>
      <c r="J13" s="7" t="str">
        <f>'Conv. Fact.'!C6</f>
        <v>=</v>
      </c>
      <c r="K13" s="8">
        <f>'Conv. Fact.'!D6</f>
        <v>1000000</v>
      </c>
      <c r="L13" s="62" t="str">
        <f>'Conv. Fact.'!E6</f>
        <v>BTU</v>
      </c>
    </row>
    <row r="14" spans="1:12" s="1" customFormat="1" ht="17.5" x14ac:dyDescent="0.4">
      <c r="A14" s="421" t="s">
        <v>120</v>
      </c>
      <c r="B14" s="380"/>
      <c r="C14" s="380"/>
      <c r="D14" s="380"/>
      <c r="E14" s="180">
        <f>'Conv. Fact.'!D11</f>
        <v>25</v>
      </c>
      <c r="F14" s="158" t="s">
        <v>65</v>
      </c>
      <c r="H14" s="61">
        <f>'Conv. Fact.'!A10</f>
        <v>1</v>
      </c>
      <c r="I14" s="7" t="str">
        <f>'Conv. Fact.'!B10</f>
        <v>mmBTU</v>
      </c>
      <c r="J14" s="7" t="str">
        <f>'Conv. Fact.'!C10</f>
        <v>=</v>
      </c>
      <c r="K14" s="7">
        <f>'Conv. Fact.'!D10</f>
        <v>10</v>
      </c>
      <c r="L14" s="62" t="str">
        <f>'Conv. Fact.'!E10</f>
        <v>therm</v>
      </c>
    </row>
    <row r="15" spans="1:12" s="1" customFormat="1" ht="17.5" x14ac:dyDescent="0.4">
      <c r="A15" s="422"/>
      <c r="B15" s="383"/>
      <c r="C15" s="383"/>
      <c r="D15" s="383"/>
      <c r="E15" s="189">
        <f>'Conv. Fact.'!B80</f>
        <v>30000</v>
      </c>
      <c r="F15" s="170" t="s">
        <v>32</v>
      </c>
      <c r="H15" s="399" t="s">
        <v>215</v>
      </c>
      <c r="I15" s="400"/>
      <c r="J15" s="400"/>
      <c r="K15" s="400"/>
      <c r="L15" s="401"/>
    </row>
    <row r="16" spans="1:12" s="1" customFormat="1" ht="17.5" x14ac:dyDescent="0.4">
      <c r="A16" s="395" t="s">
        <v>127</v>
      </c>
      <c r="B16" s="378"/>
      <c r="C16" s="378"/>
      <c r="D16" s="378"/>
      <c r="E16" s="181">
        <f>'Conv. Fact.'!B70</f>
        <v>1</v>
      </c>
      <c r="F16" s="22"/>
      <c r="H16" s="61">
        <f>'Conv. Fact.'!A12</f>
        <v>1</v>
      </c>
      <c r="I16" s="7" t="str">
        <f>'Conv. Fact.'!B12</f>
        <v>kWh</v>
      </c>
      <c r="J16" s="7" t="str">
        <f>'Conv. Fact.'!C12</f>
        <v>=</v>
      </c>
      <c r="K16" s="8">
        <f>'Conv. Fact.'!D12</f>
        <v>3412</v>
      </c>
      <c r="L16" s="62" t="str">
        <f>'Conv. Fact.'!E12</f>
        <v>BTU</v>
      </c>
    </row>
    <row r="17" spans="1:12" s="1" customFormat="1" ht="17.5" x14ac:dyDescent="0.4">
      <c r="A17" s="395" t="s">
        <v>128</v>
      </c>
      <c r="B17" s="378"/>
      <c r="C17" s="378"/>
      <c r="D17" s="405"/>
      <c r="E17" s="182">
        <f>'Conv. Fact.'!B71</f>
        <v>0.8</v>
      </c>
      <c r="F17" s="162"/>
      <c r="H17" s="399" t="s">
        <v>216</v>
      </c>
      <c r="I17" s="400"/>
      <c r="J17" s="400"/>
      <c r="K17" s="400"/>
      <c r="L17" s="401"/>
    </row>
    <row r="18" spans="1:12" s="1" customFormat="1" ht="17.5" x14ac:dyDescent="0.4">
      <c r="A18" s="395" t="s">
        <v>129</v>
      </c>
      <c r="B18" s="378"/>
      <c r="C18" s="378"/>
      <c r="D18" s="405"/>
      <c r="E18" s="180">
        <f>'Conv. Fact.'!B72</f>
        <v>2016</v>
      </c>
      <c r="F18" s="158"/>
      <c r="H18" s="61">
        <f>'Conv. Fact.'!A5</f>
        <v>1</v>
      </c>
      <c r="I18" s="7" t="str">
        <f>'Conv. Fact.'!B5</f>
        <v>mmBTU</v>
      </c>
      <c r="J18" s="7" t="str">
        <f>'Conv. Fact.'!C5</f>
        <v>=</v>
      </c>
      <c r="K18" s="7">
        <f>'Conv. Fact.'!D5</f>
        <v>117</v>
      </c>
      <c r="L18" s="62" t="str">
        <f>'Conv. Fact.'!E5</f>
        <v>lb CO2e</v>
      </c>
    </row>
    <row r="19" spans="1:12" s="1" customFormat="1" ht="17.5" x14ac:dyDescent="0.4">
      <c r="A19" s="395" t="s">
        <v>130</v>
      </c>
      <c r="B19" s="378"/>
      <c r="C19" s="378"/>
      <c r="D19" s="378"/>
      <c r="E19" s="155">
        <f>'Conv. Fact.'!B73</f>
        <v>1</v>
      </c>
      <c r="F19" s="170"/>
      <c r="H19" s="61">
        <f>'Conv. Fact.'!A2</f>
        <v>1</v>
      </c>
      <c r="I19" s="7" t="str">
        <f>'Conv. Fact.'!B2</f>
        <v>kWh</v>
      </c>
      <c r="J19" s="7" t="str">
        <f>'Conv. Fact.'!C2</f>
        <v>=</v>
      </c>
      <c r="K19" s="7">
        <f>'Conv. Fact.'!D2</f>
        <v>0.29470000000000002</v>
      </c>
      <c r="L19" s="62" t="str">
        <f>'Conv. Fact.'!E2</f>
        <v>lb CO2</v>
      </c>
    </row>
    <row r="20" spans="1:12" s="1" customFormat="1" ht="18" thickBot="1" x14ac:dyDescent="0.45">
      <c r="A20" s="395" t="s">
        <v>131</v>
      </c>
      <c r="B20" s="378"/>
      <c r="C20" s="378"/>
      <c r="D20" s="378"/>
      <c r="E20" s="155">
        <f>'Conv. Fact.'!B74</f>
        <v>1</v>
      </c>
      <c r="F20" s="170"/>
      <c r="H20" s="63">
        <f>'Conv. Fact.'!A3</f>
        <v>1</v>
      </c>
      <c r="I20" s="64" t="str">
        <f>'Conv. Fact.'!B3</f>
        <v>mtCO2e</v>
      </c>
      <c r="J20" s="64" t="str">
        <f>'Conv. Fact.'!C3</f>
        <v>=</v>
      </c>
      <c r="K20" s="65">
        <f>'Conv. Fact.'!D3</f>
        <v>2205</v>
      </c>
      <c r="L20" s="56" t="str">
        <f>'Conv. Fact.'!E3</f>
        <v>lb CO2e</v>
      </c>
    </row>
    <row r="21" spans="1:12" s="1" customFormat="1" ht="17.5" x14ac:dyDescent="0.4">
      <c r="A21" s="395" t="s">
        <v>217</v>
      </c>
      <c r="B21" s="378"/>
      <c r="C21" s="378"/>
      <c r="D21" s="378"/>
      <c r="E21" s="187">
        <f>'Conv. Fact.'!B75</f>
        <v>1.7543962485345839</v>
      </c>
      <c r="F21" s="170"/>
    </row>
    <row r="22" spans="1:12" s="1" customFormat="1" ht="15" x14ac:dyDescent="0.4">
      <c r="A22" s="419" t="s">
        <v>218</v>
      </c>
      <c r="B22" s="420"/>
      <c r="C22" s="420"/>
      <c r="D22" s="420"/>
      <c r="E22" s="188">
        <f>'Conv. Fact.'!B76</f>
        <v>2.1862754982415002</v>
      </c>
      <c r="F22" s="170"/>
      <c r="H22" s="21"/>
      <c r="I22" s="1" t="s">
        <v>142</v>
      </c>
    </row>
    <row r="23" spans="1:12" s="1" customFormat="1" ht="17.5" x14ac:dyDescent="0.4">
      <c r="A23" s="395" t="s">
        <v>219</v>
      </c>
      <c r="B23" s="378"/>
      <c r="C23" s="378"/>
      <c r="D23" s="378"/>
      <c r="E23" s="155">
        <f>'Conv. Fact.'!B79</f>
        <v>0</v>
      </c>
      <c r="F23" s="170"/>
      <c r="H23" s="86"/>
      <c r="I23" s="369" t="s">
        <v>143</v>
      </c>
      <c r="J23" s="369"/>
      <c r="K23" s="369"/>
      <c r="L23" s="369"/>
    </row>
    <row r="24" spans="1:12" s="1" customFormat="1" ht="17.5" x14ac:dyDescent="0.4">
      <c r="A24" s="395" t="s">
        <v>220</v>
      </c>
      <c r="B24" s="378"/>
      <c r="C24" s="378"/>
      <c r="D24" s="378"/>
      <c r="E24" s="155">
        <f>'Conv. Fact.'!B81</f>
        <v>1</v>
      </c>
      <c r="F24" s="170"/>
      <c r="I24" s="369"/>
      <c r="J24" s="369"/>
      <c r="K24" s="369"/>
      <c r="L24" s="369"/>
    </row>
    <row r="25" spans="1:12" s="1" customFormat="1" ht="18" thickBot="1" x14ac:dyDescent="0.45">
      <c r="A25" s="402" t="s">
        <v>222</v>
      </c>
      <c r="B25" s="403"/>
      <c r="C25" s="403"/>
      <c r="D25" s="403"/>
      <c r="E25" s="197">
        <f>'Conv. Fact.'!B116</f>
        <v>0.73</v>
      </c>
      <c r="F25" s="23"/>
    </row>
    <row r="26" spans="1:12" s="1" customFormat="1" ht="15" x14ac:dyDescent="0.4">
      <c r="A26" s="2"/>
      <c r="B26" s="2"/>
      <c r="C26" s="2"/>
      <c r="D26" s="2"/>
      <c r="E26" s="2"/>
      <c r="F26" s="2"/>
      <c r="G26" s="100"/>
      <c r="H26" s="3"/>
      <c r="I26" s="3"/>
    </row>
    <row r="27" spans="1:12" s="1" customFormat="1" ht="15" x14ac:dyDescent="0.4">
      <c r="A27" s="2"/>
      <c r="B27" s="2"/>
      <c r="C27" s="2"/>
      <c r="D27" s="2"/>
      <c r="E27" s="2"/>
      <c r="F27" s="2"/>
      <c r="G27" s="100"/>
      <c r="H27" s="3"/>
      <c r="I27" s="3"/>
    </row>
    <row r="28" spans="1:12" s="1" customFormat="1" ht="15" x14ac:dyDescent="0.4">
      <c r="A28" s="2"/>
      <c r="B28" s="2"/>
      <c r="C28" s="2"/>
      <c r="D28" s="2"/>
      <c r="E28" s="2"/>
      <c r="F28" s="2"/>
      <c r="G28" s="100"/>
      <c r="H28" s="3"/>
      <c r="I28" s="3"/>
    </row>
    <row r="29" spans="1:12" s="1" customFormat="1" ht="15" x14ac:dyDescent="0.4">
      <c r="A29" s="2"/>
      <c r="B29" s="2"/>
      <c r="C29" s="2"/>
      <c r="D29" s="2"/>
      <c r="E29" s="2"/>
      <c r="F29" s="2"/>
      <c r="G29" s="100"/>
      <c r="H29" s="3"/>
      <c r="I29" s="3"/>
    </row>
    <row r="30" spans="1:12" s="1" customFormat="1" ht="15.5" thickBot="1" x14ac:dyDescent="0.45">
      <c r="A30" s="2"/>
      <c r="B30" s="2"/>
      <c r="C30" s="2"/>
      <c r="D30" s="2"/>
      <c r="E30" s="2"/>
      <c r="F30" s="2"/>
      <c r="G30" s="100"/>
      <c r="H30" s="3"/>
      <c r="I30" s="3"/>
    </row>
    <row r="31" spans="1:12" s="1" customFormat="1" ht="15" x14ac:dyDescent="0.4">
      <c r="A31" s="458" t="s">
        <v>126</v>
      </c>
      <c r="B31" s="459"/>
      <c r="C31" s="459"/>
      <c r="D31" s="459"/>
      <c r="E31" s="459"/>
      <c r="F31" s="460"/>
    </row>
    <row r="32" spans="1:12" s="1" customFormat="1" ht="17.5" x14ac:dyDescent="0.4">
      <c r="A32" s="395" t="s">
        <v>223</v>
      </c>
      <c r="B32" s="378"/>
      <c r="C32" s="378"/>
      <c r="D32" s="378"/>
      <c r="E32" s="87">
        <v>50</v>
      </c>
      <c r="F32" s="50" t="s">
        <v>50</v>
      </c>
    </row>
    <row r="33" spans="1:6" s="1" customFormat="1" ht="17.5" x14ac:dyDescent="0.4">
      <c r="A33" s="395" t="s">
        <v>235</v>
      </c>
      <c r="B33" s="378"/>
      <c r="C33" s="378"/>
      <c r="D33" s="378"/>
      <c r="E33" s="87">
        <v>59</v>
      </c>
      <c r="F33" s="50" t="s">
        <v>50</v>
      </c>
    </row>
    <row r="34" spans="1:6" s="1" customFormat="1" ht="17.5" x14ac:dyDescent="0.4">
      <c r="A34" s="395" t="s">
        <v>224</v>
      </c>
      <c r="B34" s="378"/>
      <c r="C34" s="378"/>
      <c r="D34" s="378"/>
      <c r="E34" s="87">
        <v>75</v>
      </c>
      <c r="F34" s="50" t="s">
        <v>94</v>
      </c>
    </row>
    <row r="35" spans="1:6" s="1" customFormat="1" ht="17.5" x14ac:dyDescent="0.4">
      <c r="A35" s="395" t="s">
        <v>225</v>
      </c>
      <c r="B35" s="378"/>
      <c r="C35" s="378"/>
      <c r="D35" s="378"/>
      <c r="E35" s="88">
        <f>'Conv. Fact.'!B104</f>
        <v>69.900000000000006</v>
      </c>
      <c r="F35" s="50" t="s">
        <v>77</v>
      </c>
    </row>
    <row r="36" spans="1:6" s="1" customFormat="1" ht="17.5" x14ac:dyDescent="0.4">
      <c r="A36" s="395" t="s">
        <v>226</v>
      </c>
      <c r="B36" s="378"/>
      <c r="C36" s="378"/>
      <c r="D36" s="378"/>
      <c r="E36" s="7">
        <f>'Conv. Fact.'!B105</f>
        <v>1</v>
      </c>
      <c r="F36" s="50"/>
    </row>
    <row r="37" spans="1:6" s="1" customFormat="1" ht="17.5" x14ac:dyDescent="0.4">
      <c r="A37" s="395" t="s">
        <v>227</v>
      </c>
      <c r="B37" s="378"/>
      <c r="C37" s="378"/>
      <c r="D37" s="378"/>
      <c r="E37" s="88">
        <f>'Conv. Fact.'!B106</f>
        <v>0.627</v>
      </c>
      <c r="F37" s="50"/>
    </row>
    <row r="38" spans="1:6" s="1" customFormat="1" ht="17.5" x14ac:dyDescent="0.4">
      <c r="A38" s="395" t="s">
        <v>228</v>
      </c>
      <c r="B38" s="378"/>
      <c r="C38" s="378"/>
      <c r="D38" s="378"/>
      <c r="E38" s="88">
        <f>'Conv. Fact.'!B108</f>
        <v>0.8</v>
      </c>
      <c r="F38" s="50"/>
    </row>
    <row r="39" spans="1:6" s="1" customFormat="1" ht="17.5" x14ac:dyDescent="0.4">
      <c r="A39" s="503" t="s">
        <v>229</v>
      </c>
      <c r="B39" s="504"/>
      <c r="C39" s="504"/>
      <c r="D39" s="505"/>
      <c r="E39" s="88">
        <f>'Conv. Fact.'!B109</f>
        <v>4.05</v>
      </c>
      <c r="F39" s="50"/>
    </row>
    <row r="40" spans="1:6" s="1" customFormat="1" ht="17.5" x14ac:dyDescent="0.4">
      <c r="A40" s="395" t="s">
        <v>230</v>
      </c>
      <c r="B40" s="378"/>
      <c r="C40" s="378"/>
      <c r="D40" s="378"/>
      <c r="E40" s="88">
        <f>'Conv. Fact.'!B110</f>
        <v>1</v>
      </c>
      <c r="F40" s="50"/>
    </row>
    <row r="41" spans="1:6" s="1" customFormat="1" ht="17.5" x14ac:dyDescent="0.4">
      <c r="A41" s="395" t="s">
        <v>127</v>
      </c>
      <c r="B41" s="378"/>
      <c r="C41" s="378"/>
      <c r="D41" s="378"/>
      <c r="E41" s="7">
        <f>'Conv. Fact.'!B111</f>
        <v>1</v>
      </c>
      <c r="F41" s="50"/>
    </row>
    <row r="42" spans="1:6" s="1" customFormat="1" ht="18" thickBot="1" x14ac:dyDescent="0.45">
      <c r="A42" s="402" t="s">
        <v>231</v>
      </c>
      <c r="B42" s="403"/>
      <c r="C42" s="403"/>
      <c r="D42" s="403"/>
      <c r="E42" s="89">
        <f>'Conv. Fact.'!B112</f>
        <v>0.7</v>
      </c>
      <c r="F42" s="51"/>
    </row>
    <row r="43" spans="1:6" s="1" customFormat="1" ht="17.5" x14ac:dyDescent="0.4">
      <c r="A43" s="395" t="s">
        <v>232</v>
      </c>
      <c r="B43" s="378"/>
      <c r="C43" s="378"/>
      <c r="D43" s="378"/>
      <c r="E43" s="155">
        <f>'Conv. Fact.'!B101</f>
        <v>0</v>
      </c>
      <c r="F43" s="170"/>
    </row>
    <row r="44" spans="1:6" s="1" customFormat="1" ht="17.5" x14ac:dyDescent="0.4">
      <c r="A44" s="395" t="s">
        <v>233</v>
      </c>
      <c r="B44" s="378"/>
      <c r="C44" s="378"/>
      <c r="D44" s="378"/>
      <c r="E44" s="155">
        <f>'Conv. Fact.'!B100</f>
        <v>1</v>
      </c>
      <c r="F44" s="170"/>
    </row>
    <row r="45" spans="1:6" s="1" customFormat="1" ht="17.5" x14ac:dyDescent="0.4">
      <c r="A45" s="395" t="s">
        <v>234</v>
      </c>
      <c r="B45" s="378"/>
      <c r="C45" s="378"/>
      <c r="D45" s="378"/>
      <c r="E45" s="155">
        <f>'Conv. Fact.'!B115</f>
        <v>8.1999999999999993</v>
      </c>
      <c r="F45" s="170"/>
    </row>
    <row r="46" spans="1:6" s="1" customFormat="1" ht="17.5" x14ac:dyDescent="0.4">
      <c r="A46" s="503" t="s">
        <v>236</v>
      </c>
      <c r="B46" s="504"/>
      <c r="C46" s="504"/>
      <c r="D46" s="505"/>
      <c r="E46" s="187">
        <f>'Conv. Fact.'!B116</f>
        <v>0.73</v>
      </c>
      <c r="F46" s="170"/>
    </row>
    <row r="47" spans="1:6" s="1" customFormat="1" ht="17.5" x14ac:dyDescent="0.4">
      <c r="A47" s="395" t="s">
        <v>212</v>
      </c>
      <c r="B47" s="378"/>
      <c r="C47" s="378"/>
      <c r="D47" s="378"/>
      <c r="E47" s="187">
        <f>'Conv. Fact.'!B117</f>
        <v>0.24</v>
      </c>
      <c r="F47" s="170"/>
    </row>
    <row r="48" spans="1:6" s="1" customFormat="1" ht="18" thickBot="1" x14ac:dyDescent="0.45">
      <c r="A48" s="402" t="s">
        <v>237</v>
      </c>
      <c r="B48" s="403"/>
      <c r="C48" s="403"/>
      <c r="D48" s="403"/>
      <c r="E48" s="198">
        <f>'Conv. Fact.'!B118</f>
        <v>13</v>
      </c>
      <c r="F48" s="23"/>
    </row>
    <row r="49" spans="1:12" s="1" customFormat="1" ht="15" x14ac:dyDescent="0.4">
      <c r="A49" s="423"/>
      <c r="B49" s="423"/>
      <c r="C49" s="423"/>
      <c r="D49" s="423"/>
      <c r="E49" s="99"/>
    </row>
    <row r="50" spans="1:12" s="1" customFormat="1" ht="15" x14ac:dyDescent="0.4">
      <c r="A50" s="423"/>
      <c r="B50" s="423"/>
      <c r="C50" s="423"/>
      <c r="D50" s="423"/>
      <c r="E50" s="99"/>
    </row>
    <row r="51" spans="1:12" s="1" customFormat="1" ht="15" x14ac:dyDescent="0.4">
      <c r="A51" s="2"/>
      <c r="B51" s="2"/>
      <c r="C51" s="2"/>
      <c r="D51" s="2"/>
      <c r="E51" s="3"/>
    </row>
    <row r="52" spans="1:12" s="1" customFormat="1" ht="15" x14ac:dyDescent="0.4">
      <c r="A52" s="2"/>
      <c r="B52" s="2"/>
      <c r="C52" s="2"/>
      <c r="D52" s="2"/>
      <c r="E52" s="3"/>
    </row>
    <row r="53" spans="1:12" s="1" customFormat="1" ht="15" x14ac:dyDescent="0.4">
      <c r="A53" s="2"/>
      <c r="B53" s="2"/>
      <c r="C53" s="2"/>
      <c r="D53" s="2"/>
      <c r="E53" s="3"/>
    </row>
    <row r="54" spans="1:12" s="1" customFormat="1" ht="15" x14ac:dyDescent="0.4">
      <c r="A54" s="2"/>
      <c r="B54" s="2"/>
      <c r="C54" s="2"/>
      <c r="D54" s="2"/>
      <c r="E54" s="3"/>
    </row>
    <row r="55" spans="1:12" s="1" customFormat="1" ht="15" x14ac:dyDescent="0.4">
      <c r="A55" s="2"/>
      <c r="B55" s="2"/>
      <c r="C55" s="2"/>
      <c r="D55" s="2"/>
      <c r="E55" s="3"/>
    </row>
    <row r="56" spans="1:12" s="1" customFormat="1" ht="15" x14ac:dyDescent="0.4">
      <c r="A56" s="2"/>
      <c r="B56" s="2"/>
      <c r="C56" s="2"/>
      <c r="D56" s="2"/>
      <c r="E56" s="3"/>
    </row>
    <row r="57" spans="1:12" s="1" customFormat="1" ht="15" x14ac:dyDescent="0.4">
      <c r="A57" s="2"/>
      <c r="B57" s="2"/>
      <c r="C57" s="2"/>
      <c r="D57" s="2"/>
      <c r="E57" s="3"/>
    </row>
    <row r="58" spans="1:12" s="1" customFormat="1" ht="15" x14ac:dyDescent="0.4">
      <c r="A58" s="2"/>
      <c r="B58" s="2"/>
      <c r="C58" s="2"/>
      <c r="D58" s="2"/>
      <c r="E58" s="3"/>
    </row>
    <row r="59" spans="1:12" s="1" customFormat="1" ht="15" x14ac:dyDescent="0.4">
      <c r="A59" s="2"/>
      <c r="B59" s="2"/>
      <c r="C59" s="2"/>
      <c r="D59" s="2"/>
      <c r="E59" s="3"/>
    </row>
    <row r="60" spans="1:12" s="1" customFormat="1" ht="15" x14ac:dyDescent="0.4">
      <c r="A60" s="2"/>
      <c r="B60" s="2"/>
      <c r="C60" s="2"/>
      <c r="D60" s="2"/>
      <c r="E60" s="3"/>
    </row>
    <row r="61" spans="1:12" s="1" customFormat="1" ht="15.5" thickBot="1" x14ac:dyDescent="0.45">
      <c r="A61" s="502" t="s">
        <v>117</v>
      </c>
      <c r="B61" s="502"/>
      <c r="C61" s="502"/>
      <c r="D61" s="502"/>
      <c r="E61" s="502"/>
      <c r="F61" s="502"/>
      <c r="G61" s="502"/>
      <c r="H61" s="502"/>
      <c r="I61" s="502"/>
      <c r="J61" s="502"/>
      <c r="K61" s="502"/>
      <c r="L61" s="76"/>
    </row>
    <row r="62" spans="1:12" s="1" customFormat="1" ht="15" x14ac:dyDescent="0.4">
      <c r="A62" s="506" t="s">
        <v>95</v>
      </c>
      <c r="B62" s="507"/>
      <c r="C62" s="507"/>
      <c r="D62" s="507"/>
      <c r="E62" s="507"/>
      <c r="F62" s="507"/>
      <c r="G62" s="508"/>
      <c r="H62" s="193"/>
      <c r="I62" s="6"/>
      <c r="J62" s="6"/>
      <c r="K62" s="6"/>
      <c r="L62" s="6"/>
    </row>
    <row r="63" spans="1:12" s="1" customFormat="1" ht="17.5" customHeight="1" x14ac:dyDescent="0.4">
      <c r="A63" s="395" t="s">
        <v>112</v>
      </c>
      <c r="B63" s="378"/>
      <c r="C63" s="378"/>
      <c r="D63" s="378"/>
      <c r="E63" s="378"/>
      <c r="F63" s="4">
        <f>E14*(1/1000000)*(E16/E17)*E18*E19*E20</f>
        <v>6.3E-2</v>
      </c>
      <c r="G63" s="50" t="s">
        <v>72</v>
      </c>
      <c r="H63" s="60"/>
      <c r="I63" s="192"/>
      <c r="J63" s="192"/>
      <c r="K63" s="192"/>
      <c r="L63" s="192"/>
    </row>
    <row r="64" spans="1:12" s="1" customFormat="1" ht="15" x14ac:dyDescent="0.4">
      <c r="A64" s="471" t="s">
        <v>113</v>
      </c>
      <c r="B64" s="472"/>
      <c r="C64" s="472"/>
      <c r="D64" s="472"/>
      <c r="E64" s="472"/>
      <c r="F64" s="4">
        <f>F63*E11</f>
        <v>75.599999999999994</v>
      </c>
      <c r="G64" s="50" t="s">
        <v>72</v>
      </c>
      <c r="H64" s="59"/>
      <c r="I64" s="192"/>
      <c r="J64" s="192"/>
      <c r="K64" s="192"/>
      <c r="L64" s="192"/>
    </row>
    <row r="65" spans="1:12" s="1" customFormat="1" ht="15" x14ac:dyDescent="0.4">
      <c r="A65" s="471"/>
      <c r="B65" s="472"/>
      <c r="C65" s="472"/>
      <c r="D65" s="472"/>
      <c r="E65" s="472"/>
      <c r="F65" s="54">
        <f>F64*'Conv. Fact.'!D10</f>
        <v>756</v>
      </c>
      <c r="G65" s="50" t="s">
        <v>60</v>
      </c>
      <c r="H65" s="59"/>
      <c r="I65" s="192"/>
      <c r="J65" s="192"/>
      <c r="K65" s="192"/>
      <c r="L65" s="192"/>
    </row>
    <row r="66" spans="1:12" s="1" customFormat="1" ht="17" x14ac:dyDescent="0.5">
      <c r="A66" s="427" t="s">
        <v>114</v>
      </c>
      <c r="B66" s="428"/>
      <c r="C66" s="429"/>
      <c r="D66" s="436" t="s">
        <v>271</v>
      </c>
      <c r="E66" s="437"/>
      <c r="F66" s="42">
        <f>F64*'Conv. Fact.'!D5</f>
        <v>8845.1999999999989</v>
      </c>
      <c r="G66" s="50" t="s">
        <v>258</v>
      </c>
      <c r="I66" s="192"/>
      <c r="J66" s="192"/>
      <c r="K66" s="192"/>
      <c r="L66" s="192"/>
    </row>
    <row r="67" spans="1:12" s="1" customFormat="1" ht="17" x14ac:dyDescent="0.5">
      <c r="A67" s="430"/>
      <c r="B67" s="431"/>
      <c r="C67" s="432"/>
      <c r="D67" s="436" t="s">
        <v>277</v>
      </c>
      <c r="E67" s="437"/>
      <c r="F67" s="42">
        <f>F64*'Conv. Fact.'!D21</f>
        <v>166.32</v>
      </c>
      <c r="G67" s="50" t="s">
        <v>261</v>
      </c>
      <c r="I67" s="192"/>
      <c r="J67" s="192"/>
      <c r="K67" s="192"/>
      <c r="L67" s="192"/>
    </row>
    <row r="68" spans="1:12" s="1" customFormat="1" ht="17" x14ac:dyDescent="0.5">
      <c r="A68" s="430"/>
      <c r="B68" s="431"/>
      <c r="C68" s="432"/>
      <c r="D68" s="436" t="s">
        <v>272</v>
      </c>
      <c r="E68" s="437"/>
      <c r="F68" s="42">
        <f>F64*'Conv. Fact.'!D22</f>
        <v>16.631999999999998</v>
      </c>
      <c r="G68" s="50" t="s">
        <v>262</v>
      </c>
      <c r="I68" s="192"/>
      <c r="J68" s="192"/>
      <c r="K68" s="192"/>
      <c r="L68" s="192"/>
    </row>
    <row r="69" spans="1:12" s="1" customFormat="1" ht="17" x14ac:dyDescent="0.5">
      <c r="A69" s="433"/>
      <c r="B69" s="434"/>
      <c r="C69" s="435"/>
      <c r="D69" s="436" t="s">
        <v>278</v>
      </c>
      <c r="E69" s="437"/>
      <c r="F69" s="43">
        <f>(F66+(F67*'Conv. Fact.'!H4)+('Conv. Fact.'!H5*'2-Res_Heating_Cooling'!F68))/'Conv. Fact.'!D3</f>
        <v>12.338742857142856</v>
      </c>
      <c r="G69" s="50" t="s">
        <v>167</v>
      </c>
    </row>
    <row r="70" spans="1:12" s="1" customFormat="1" ht="15.5" thickBot="1" x14ac:dyDescent="0.45">
      <c r="A70" s="402" t="s">
        <v>115</v>
      </c>
      <c r="B70" s="403"/>
      <c r="C70" s="403"/>
      <c r="D70" s="403"/>
      <c r="E70" s="403"/>
      <c r="F70" s="467">
        <f>F65*'Conv. Fact.'!D17</f>
        <v>326.57234400000004</v>
      </c>
      <c r="G70" s="468"/>
    </row>
    <row r="71" spans="1:12" s="1" customFormat="1" ht="17" x14ac:dyDescent="0.5">
      <c r="A71" s="395" t="s">
        <v>102</v>
      </c>
      <c r="B71" s="378"/>
      <c r="C71" s="378"/>
      <c r="D71" s="378"/>
      <c r="E71" s="378"/>
      <c r="F71" s="45">
        <f>F69*E9</f>
        <v>925.40571428571423</v>
      </c>
      <c r="G71" s="50" t="s">
        <v>51</v>
      </c>
    </row>
    <row r="72" spans="1:12" s="1" customFormat="1" ht="15.5" thickBot="1" x14ac:dyDescent="0.45">
      <c r="A72" s="512" t="s">
        <v>103</v>
      </c>
      <c r="B72" s="513"/>
      <c r="C72" s="513"/>
      <c r="D72" s="513"/>
      <c r="E72" s="514"/>
      <c r="F72" s="482">
        <f>F70*E9</f>
        <v>24492.925800000005</v>
      </c>
      <c r="G72" s="483"/>
    </row>
    <row r="73" spans="1:12" s="1" customFormat="1" ht="15" x14ac:dyDescent="0.4">
      <c r="A73" s="496" t="s">
        <v>97</v>
      </c>
      <c r="B73" s="497"/>
      <c r="C73" s="497"/>
      <c r="D73" s="497"/>
      <c r="E73" s="497"/>
      <c r="F73" s="497"/>
      <c r="G73" s="498"/>
      <c r="I73" s="194"/>
      <c r="J73" s="194"/>
      <c r="K73" s="194"/>
      <c r="L73" s="194"/>
    </row>
    <row r="74" spans="1:12" s="1" customFormat="1" ht="15" x14ac:dyDescent="0.4">
      <c r="A74" s="395" t="s">
        <v>106</v>
      </c>
      <c r="B74" s="378"/>
      <c r="C74" s="378"/>
      <c r="D74" s="378"/>
      <c r="E74" s="378"/>
      <c r="F74" s="42">
        <f>ABS('Conv. Fact.'!B80*('Conv. Fact.'!A8/'Conv. Fact.'!D8)*(('Conv. Fact.'!B79/'Conv. Fact.'!B75)-(1/'Conv. Fact.'!B76))*(1/3.412)*'Conv. Fact.'!B72*'Conv. Fact.'!B73*'Conv. Fact.'!B74)-('Conv. Fact.'!B80*('Conv. Fact.'!A8/'Conv. Fact.'!D8)*'Conv. Fact.'!B81*(1/3.412)*(1-'Conv. Fact.'!B73*'Conv. Fact.'!B74))</f>
        <v>8107.7037663823094</v>
      </c>
      <c r="G74" s="50" t="s">
        <v>24</v>
      </c>
      <c r="I74" s="194"/>
      <c r="J74" s="194"/>
      <c r="K74" s="194"/>
      <c r="L74" s="194"/>
    </row>
    <row r="75" spans="1:12" s="1" customFormat="1" ht="17" x14ac:dyDescent="0.5">
      <c r="A75" s="438" t="s">
        <v>111</v>
      </c>
      <c r="B75" s="439"/>
      <c r="C75" s="440"/>
      <c r="D75" s="436" t="s">
        <v>271</v>
      </c>
      <c r="E75" s="437"/>
      <c r="F75" s="42">
        <f>F74*'Conv. Fact.'!D2</f>
        <v>2389.3402999528666</v>
      </c>
      <c r="G75" s="50" t="s">
        <v>258</v>
      </c>
    </row>
    <row r="76" spans="1:12" s="1" customFormat="1" ht="17" x14ac:dyDescent="0.5">
      <c r="A76" s="441"/>
      <c r="B76" s="442"/>
      <c r="C76" s="443"/>
      <c r="D76" s="436" t="s">
        <v>277</v>
      </c>
      <c r="E76" s="437"/>
      <c r="F76" s="42">
        <f>F74*'Conv. Fact.'!D19</f>
        <v>0.17026177909402848</v>
      </c>
      <c r="G76" s="50" t="s">
        <v>261</v>
      </c>
    </row>
    <row r="77" spans="1:12" s="1" customFormat="1" ht="17" x14ac:dyDescent="0.5">
      <c r="A77" s="441"/>
      <c r="B77" s="442"/>
      <c r="C77" s="443"/>
      <c r="D77" s="436" t="s">
        <v>272</v>
      </c>
      <c r="E77" s="437"/>
      <c r="F77" s="42">
        <f>F74*'Conv. Fact.'!D20</f>
        <v>2.4323111299146927E-2</v>
      </c>
      <c r="G77" s="50" t="s">
        <v>262</v>
      </c>
    </row>
    <row r="78" spans="1:12" s="1" customFormat="1" ht="17" x14ac:dyDescent="0.5">
      <c r="A78" s="444"/>
      <c r="B78" s="445"/>
      <c r="C78" s="446"/>
      <c r="D78" s="436" t="s">
        <v>278</v>
      </c>
      <c r="E78" s="437"/>
      <c r="F78" s="55">
        <f>(F75+(F76*'Conv. Fact.'!H4)+('Conv. Fact.'!H5*'2-Res_Heating_Cooling'!F77))/'Conv. Fact.'!D3</f>
        <v>1.0929993608978412</v>
      </c>
      <c r="G78" s="50" t="s">
        <v>167</v>
      </c>
    </row>
    <row r="79" spans="1:12" s="1" customFormat="1" ht="15.5" thickBot="1" x14ac:dyDescent="0.45">
      <c r="A79" s="473" t="s">
        <v>115</v>
      </c>
      <c r="B79" s="474"/>
      <c r="C79" s="474"/>
      <c r="D79" s="474"/>
      <c r="E79" s="474"/>
      <c r="F79" s="475">
        <f>F74*'Conv. Fact.'!D15</f>
        <v>1135.0785272935234</v>
      </c>
      <c r="G79" s="476"/>
    </row>
    <row r="80" spans="1:12" s="1" customFormat="1" ht="17" x14ac:dyDescent="0.5">
      <c r="A80" s="465" t="s">
        <v>102</v>
      </c>
      <c r="B80" s="466"/>
      <c r="C80" s="466"/>
      <c r="D80" s="466"/>
      <c r="E80" s="466"/>
      <c r="F80" s="57">
        <f>F78*E9</f>
        <v>81.974952067338094</v>
      </c>
      <c r="G80" s="49" t="s">
        <v>51</v>
      </c>
    </row>
    <row r="81" spans="1:12" s="1" customFormat="1" ht="15.5" thickBot="1" x14ac:dyDescent="0.45">
      <c r="A81" s="473" t="s">
        <v>116</v>
      </c>
      <c r="B81" s="474"/>
      <c r="C81" s="474"/>
      <c r="D81" s="474"/>
      <c r="E81" s="474"/>
      <c r="F81" s="134">
        <f>F79*E9</f>
        <v>85130.88954701426</v>
      </c>
      <c r="G81" s="51"/>
    </row>
    <row r="82" spans="1:12" s="1" customFormat="1" ht="15" x14ac:dyDescent="0.4">
      <c r="A82" s="385" t="s">
        <v>180</v>
      </c>
      <c r="B82" s="386"/>
      <c r="C82" s="386"/>
      <c r="D82" s="386"/>
      <c r="E82" s="387"/>
      <c r="F82" s="135">
        <f>'Conv. Fact.'!C90</f>
        <v>12500</v>
      </c>
      <c r="G82" s="6" t="s">
        <v>325</v>
      </c>
    </row>
    <row r="83" spans="1:12" s="1" customFormat="1" ht="15.5" thickBot="1" x14ac:dyDescent="0.45">
      <c r="A83" s="388"/>
      <c r="B83" s="389"/>
      <c r="C83" s="389"/>
      <c r="D83" s="389"/>
      <c r="E83" s="390"/>
      <c r="F83" s="237">
        <f>F82-5000</f>
        <v>7500</v>
      </c>
      <c r="G83" s="6" t="s">
        <v>326</v>
      </c>
    </row>
    <row r="84" spans="1:12" s="1" customFormat="1" ht="15.5" thickBot="1" x14ac:dyDescent="0.45">
      <c r="A84" s="385" t="s">
        <v>324</v>
      </c>
      <c r="B84" s="386"/>
      <c r="C84" s="386"/>
      <c r="D84" s="386"/>
      <c r="E84" s="387"/>
      <c r="F84" s="238">
        <f>F82*E9</f>
        <v>937500</v>
      </c>
      <c r="G84" s="6" t="s">
        <v>325</v>
      </c>
    </row>
    <row r="85" spans="1:12" s="1" customFormat="1" ht="15.5" thickBot="1" x14ac:dyDescent="0.45">
      <c r="A85" s="391"/>
      <c r="B85" s="392"/>
      <c r="C85" s="392"/>
      <c r="D85" s="392"/>
      <c r="E85" s="393"/>
      <c r="F85" s="136">
        <f>F83*E9</f>
        <v>562500</v>
      </c>
      <c r="G85" s="6" t="s">
        <v>326</v>
      </c>
    </row>
    <row r="86" spans="1:12" s="1" customFormat="1" ht="15" x14ac:dyDescent="0.4">
      <c r="A86" s="2"/>
      <c r="B86" s="2"/>
      <c r="C86" s="2"/>
      <c r="D86" s="2"/>
      <c r="E86" s="2"/>
      <c r="F86" s="58"/>
    </row>
    <row r="87" spans="1:12" s="1" customFormat="1" ht="15" x14ac:dyDescent="0.4">
      <c r="A87" s="2"/>
      <c r="B87" s="2"/>
      <c r="C87" s="2"/>
      <c r="D87" s="2"/>
      <c r="E87" s="2"/>
      <c r="F87" s="58"/>
    </row>
    <row r="88" spans="1:12" s="1" customFormat="1" ht="15" x14ac:dyDescent="0.4">
      <c r="A88" s="2"/>
      <c r="B88" s="2"/>
      <c r="C88" s="2"/>
      <c r="D88" s="2"/>
      <c r="E88" s="2"/>
      <c r="F88" s="58"/>
    </row>
    <row r="89" spans="1:12" s="1" customFormat="1" ht="15" x14ac:dyDescent="0.4">
      <c r="A89" s="2"/>
      <c r="B89" s="2"/>
      <c r="C89" s="2"/>
      <c r="D89" s="2"/>
      <c r="E89" s="2"/>
      <c r="F89" s="58"/>
    </row>
    <row r="90" spans="1:12" s="1" customFormat="1" ht="15" x14ac:dyDescent="0.4">
      <c r="A90" s="2"/>
      <c r="B90" s="2"/>
      <c r="C90" s="2"/>
      <c r="D90" s="2"/>
      <c r="E90" s="2"/>
      <c r="F90" s="58"/>
    </row>
    <row r="91" spans="1:12" s="1" customFormat="1" ht="15" x14ac:dyDescent="0.4">
      <c r="A91" s="2"/>
      <c r="B91" s="2"/>
      <c r="C91" s="2"/>
      <c r="D91" s="2"/>
      <c r="E91" s="2"/>
      <c r="F91" s="58"/>
    </row>
    <row r="92" spans="1:12" s="1" customFormat="1" ht="15" x14ac:dyDescent="0.4">
      <c r="A92" s="2"/>
      <c r="B92" s="2"/>
      <c r="C92" s="2"/>
      <c r="D92" s="2"/>
      <c r="E92" s="2"/>
      <c r="F92" s="58"/>
    </row>
    <row r="93" spans="1:12" s="1" customFormat="1" ht="15.5" thickBot="1" x14ac:dyDescent="0.45">
      <c r="A93" s="195" t="s">
        <v>118</v>
      </c>
      <c r="B93" s="195"/>
      <c r="C93" s="195"/>
      <c r="D93" s="195"/>
      <c r="E93" s="195"/>
      <c r="F93" s="195"/>
      <c r="G93" s="195"/>
      <c r="H93" s="195"/>
      <c r="I93" s="195"/>
      <c r="J93" s="195"/>
      <c r="K93" s="195"/>
      <c r="L93" s="6"/>
    </row>
    <row r="94" spans="1:12" s="1" customFormat="1" ht="15.5" thickBot="1" x14ac:dyDescent="0.45">
      <c r="A94" s="509" t="s">
        <v>96</v>
      </c>
      <c r="B94" s="510"/>
      <c r="C94" s="510"/>
      <c r="D94" s="510"/>
      <c r="E94" s="510"/>
      <c r="F94" s="510"/>
      <c r="G94" s="511"/>
    </row>
    <row r="95" spans="1:12" s="1" customFormat="1" ht="15" x14ac:dyDescent="0.4">
      <c r="A95" s="469" t="s">
        <v>100</v>
      </c>
      <c r="B95" s="470"/>
      <c r="C95" s="470"/>
      <c r="D95" s="470"/>
      <c r="E95" s="470"/>
      <c r="F95" s="48">
        <f>(('Conv. Fact.'!B103*'Conv. Fact.'!B113*'Conv. Fact.'!B114*'Conv. Fact.'!B104)/'Conv. Fact.'!D6)*(('Conv. Fact.'!B105/'Conv. Fact.'!B106)+('Conv. Fact.'!B107/'Conv. Fact.'!B108)-((1/'Conv. Fact.'!B109)*'Conv. Fact.'!B110*'Conv. Fact.'!B111*('Conv. Fact.'!B112/'Conv. Fact.'!B108)))</f>
        <v>41.902661374518217</v>
      </c>
      <c r="G95" s="49" t="s">
        <v>72</v>
      </c>
    </row>
    <row r="96" spans="1:12" s="1" customFormat="1" ht="15" x14ac:dyDescent="0.4">
      <c r="A96" s="471"/>
      <c r="B96" s="472"/>
      <c r="C96" s="472"/>
      <c r="D96" s="472"/>
      <c r="E96" s="472"/>
      <c r="F96" s="43">
        <f>F95*'Conv. Fact.'!D10</f>
        <v>419.0266137451822</v>
      </c>
      <c r="G96" s="50" t="s">
        <v>60</v>
      </c>
    </row>
    <row r="97" spans="1:12" s="1" customFormat="1" ht="17" x14ac:dyDescent="0.5">
      <c r="A97" s="421" t="s">
        <v>101</v>
      </c>
      <c r="B97" s="380"/>
      <c r="C97" s="381"/>
      <c r="D97" s="436" t="s">
        <v>271</v>
      </c>
      <c r="E97" s="437"/>
      <c r="F97" s="45">
        <f>F95*'Conv. Fact.'!D5</f>
        <v>4902.611380818631</v>
      </c>
      <c r="G97" s="50" t="s">
        <v>258</v>
      </c>
    </row>
    <row r="98" spans="1:12" s="1" customFormat="1" ht="17" x14ac:dyDescent="0.5">
      <c r="A98" s="388"/>
      <c r="B98" s="389"/>
      <c r="C98" s="390"/>
      <c r="D98" s="436" t="s">
        <v>277</v>
      </c>
      <c r="E98" s="437"/>
      <c r="F98" s="45">
        <f>F95*'Conv. Fact.'!D21</f>
        <v>92.185855023940093</v>
      </c>
      <c r="G98" s="50" t="s">
        <v>261</v>
      </c>
    </row>
    <row r="99" spans="1:12" s="1" customFormat="1" ht="17" x14ac:dyDescent="0.5">
      <c r="A99" s="388"/>
      <c r="B99" s="389"/>
      <c r="C99" s="390"/>
      <c r="D99" s="436" t="s">
        <v>272</v>
      </c>
      <c r="E99" s="437"/>
      <c r="F99" s="45">
        <f>F95*'Conv. Fact.'!D22</f>
        <v>9.2185855023940082</v>
      </c>
      <c r="G99" s="50" t="s">
        <v>262</v>
      </c>
    </row>
    <row r="100" spans="1:12" s="1" customFormat="1" ht="17" x14ac:dyDescent="0.5">
      <c r="A100" s="422"/>
      <c r="B100" s="383"/>
      <c r="C100" s="384"/>
      <c r="D100" s="436" t="s">
        <v>278</v>
      </c>
      <c r="E100" s="437"/>
      <c r="F100" s="45">
        <f>(F97+(F98*'Conv. Fact.'!H4)+('Conv. Fact.'!H5*'2-Res_Heating_Cooling'!F99))/'Conv. Fact.'!D3</f>
        <v>6.8389704197104839</v>
      </c>
      <c r="G100" s="50" t="s">
        <v>167</v>
      </c>
    </row>
    <row r="101" spans="1:12" s="1" customFormat="1" ht="15.5" thickBot="1" x14ac:dyDescent="0.45">
      <c r="A101" s="402" t="s">
        <v>105</v>
      </c>
      <c r="B101" s="403"/>
      <c r="C101" s="403"/>
      <c r="D101" s="403"/>
      <c r="E101" s="403"/>
      <c r="F101" s="482">
        <f>F96*'Conv. Fact.'!D17</f>
        <v>181.00860244596134</v>
      </c>
      <c r="G101" s="483"/>
    </row>
    <row r="102" spans="1:12" s="1" customFormat="1" ht="15" x14ac:dyDescent="0.4">
      <c r="A102" s="469" t="s">
        <v>104</v>
      </c>
      <c r="B102" s="470"/>
      <c r="C102" s="470"/>
      <c r="D102" s="470"/>
      <c r="E102" s="470"/>
      <c r="F102" s="52">
        <f>F95*E10</f>
        <v>1676.1064549807288</v>
      </c>
      <c r="G102" s="49" t="s">
        <v>72</v>
      </c>
    </row>
    <row r="103" spans="1:12" s="1" customFormat="1" ht="15" x14ac:dyDescent="0.4">
      <c r="A103" s="471"/>
      <c r="B103" s="472"/>
      <c r="C103" s="472"/>
      <c r="D103" s="472"/>
      <c r="E103" s="472"/>
      <c r="F103" s="45">
        <f>F102*'Conv. Fact.'!D10</f>
        <v>16761.064549807288</v>
      </c>
      <c r="G103" s="50" t="s">
        <v>60</v>
      </c>
    </row>
    <row r="104" spans="1:12" s="1" customFormat="1" ht="17" x14ac:dyDescent="0.5">
      <c r="A104" s="395" t="s">
        <v>102</v>
      </c>
      <c r="B104" s="378"/>
      <c r="C104" s="378"/>
      <c r="D104" s="378"/>
      <c r="E104" s="378"/>
      <c r="F104" s="45">
        <f>F100*E10</f>
        <v>273.55881678841934</v>
      </c>
      <c r="G104" s="50" t="s">
        <v>51</v>
      </c>
    </row>
    <row r="105" spans="1:12" s="1" customFormat="1" ht="15.5" thickBot="1" x14ac:dyDescent="0.45">
      <c r="A105" s="480" t="s">
        <v>103</v>
      </c>
      <c r="B105" s="481"/>
      <c r="C105" s="481"/>
      <c r="D105" s="481"/>
      <c r="E105" s="481"/>
      <c r="F105" s="482">
        <f>F101*E10</f>
        <v>7240.3440978384533</v>
      </c>
      <c r="G105" s="483"/>
    </row>
    <row r="106" spans="1:12" s="1" customFormat="1" ht="15.5" thickBot="1" x14ac:dyDescent="0.45">
      <c r="A106" s="477" t="s">
        <v>98</v>
      </c>
      <c r="B106" s="478"/>
      <c r="C106" s="478"/>
      <c r="D106" s="478"/>
      <c r="E106" s="478"/>
      <c r="F106" s="478"/>
      <c r="G106" s="479"/>
      <c r="I106" s="194"/>
      <c r="J106" s="194"/>
      <c r="K106" s="194"/>
      <c r="L106" s="194"/>
    </row>
    <row r="107" spans="1:12" s="1" customFormat="1" ht="15" x14ac:dyDescent="0.4">
      <c r="A107" s="465" t="s">
        <v>99</v>
      </c>
      <c r="B107" s="466"/>
      <c r="C107" s="466"/>
      <c r="D107" s="466"/>
      <c r="E107" s="466"/>
      <c r="F107" s="52">
        <f>ABS(((E34*'Conv. Fact.'!B113*'Conv. Fact.'!B114*'Conv. Fact.'!B104)/3412)*(('Conv. Fact.'!B101/'Conv. Fact.'!B106)-(1/('Conv. Fact.'!B109*'Conv. Fact.'!B100)))+F108-F109)</f>
        <v>1080.8268590535167</v>
      </c>
      <c r="G107" s="49" t="s">
        <v>24</v>
      </c>
      <c r="I107" s="194"/>
      <c r="J107" s="194"/>
      <c r="K107" s="194"/>
      <c r="L107" s="194"/>
    </row>
    <row r="108" spans="1:12" s="1" customFormat="1" ht="17" x14ac:dyDescent="0.5">
      <c r="A108" s="424" t="s">
        <v>162</v>
      </c>
      <c r="B108" s="425"/>
      <c r="C108" s="425"/>
      <c r="D108" s="425"/>
      <c r="E108" s="426"/>
      <c r="F108" s="103">
        <f>((E34*'Conv. Fact.'!B113*'Conv. Fact.'!B114*'Conv. Fact.'!B104)/'Conv. Fact.'!D12)*(1/'Conv. Fact.'!B109)*'Conv. Fact.'!B110*('Conv. Fact.'!B117/('Conv. Fact.'!B118/3.412))</f>
        <v>72.658958974358981</v>
      </c>
      <c r="G108" s="104" t="s">
        <v>24</v>
      </c>
      <c r="I108" s="95"/>
      <c r="J108" s="95"/>
      <c r="K108" s="95"/>
      <c r="L108" s="95"/>
    </row>
    <row r="109" spans="1:12" s="1" customFormat="1" ht="17" x14ac:dyDescent="0.5">
      <c r="A109" s="424" t="s">
        <v>163</v>
      </c>
      <c r="B109" s="425"/>
      <c r="C109" s="425"/>
      <c r="D109" s="425"/>
      <c r="E109" s="426"/>
      <c r="F109" s="103">
        <f>((E34*'Conv. Fact.'!B113*'Conv. Fact.'!B114*'Conv. Fact.'!B104)/'Conv. Fact.'!D12)*(1/'Conv. Fact.'!B109)*'Conv. Fact.'!B110*'Conv. Fact.'!B79*('Conv. Fact.'!B112/('Conv. Fact.'!B115/3.412))</f>
        <v>0</v>
      </c>
      <c r="G109" s="104" t="s">
        <v>24</v>
      </c>
      <c r="I109" s="95"/>
      <c r="J109" s="95"/>
      <c r="K109" s="95"/>
      <c r="L109" s="95"/>
    </row>
    <row r="110" spans="1:12" s="1" customFormat="1" ht="17" x14ac:dyDescent="0.5">
      <c r="A110" s="438" t="s">
        <v>107</v>
      </c>
      <c r="B110" s="439"/>
      <c r="C110" s="439"/>
      <c r="D110" s="436" t="s">
        <v>271</v>
      </c>
      <c r="E110" s="437"/>
      <c r="F110" s="45">
        <f>F107*'Conv. Fact.'!D2</f>
        <v>318.51967536307137</v>
      </c>
      <c r="G110" s="50" t="s">
        <v>258</v>
      </c>
    </row>
    <row r="111" spans="1:12" s="1" customFormat="1" ht="17" x14ac:dyDescent="0.5">
      <c r="A111" s="441"/>
      <c r="B111" s="442"/>
      <c r="C111" s="442"/>
      <c r="D111" s="436" t="s">
        <v>277</v>
      </c>
      <c r="E111" s="437"/>
      <c r="F111" s="53">
        <f>F107*'Conv. Fact.'!D19</f>
        <v>2.269736404012385E-2</v>
      </c>
      <c r="G111" s="50" t="s">
        <v>261</v>
      </c>
    </row>
    <row r="112" spans="1:12" s="1" customFormat="1" ht="17" x14ac:dyDescent="0.5">
      <c r="A112" s="441"/>
      <c r="B112" s="442"/>
      <c r="C112" s="442"/>
      <c r="D112" s="436" t="s">
        <v>272</v>
      </c>
      <c r="E112" s="437"/>
      <c r="F112" s="53">
        <f>F107*'Conv. Fact.'!D20</f>
        <v>3.2424805771605501E-3</v>
      </c>
      <c r="G112" s="50" t="s">
        <v>262</v>
      </c>
    </row>
    <row r="113" spans="1:12" s="1" customFormat="1" ht="17" x14ac:dyDescent="0.5">
      <c r="A113" s="444"/>
      <c r="B113" s="445"/>
      <c r="C113" s="445"/>
      <c r="D113" s="436" t="s">
        <v>278</v>
      </c>
      <c r="E113" s="437"/>
      <c r="F113" s="53">
        <f>(F110+(F111*'Conv. Fact.'!H4)+('Conv. Fact.'!H5*'2-Res_Heating_Cooling'!F112))/'Conv. Fact.'!D3</f>
        <v>0.14570624436045901</v>
      </c>
      <c r="G113" s="50" t="s">
        <v>167</v>
      </c>
    </row>
    <row r="114" spans="1:12" s="1" customFormat="1" ht="15.5" thickBot="1" x14ac:dyDescent="0.45">
      <c r="A114" s="473" t="s">
        <v>105</v>
      </c>
      <c r="B114" s="474"/>
      <c r="C114" s="474"/>
      <c r="D114" s="474"/>
      <c r="E114" s="474"/>
      <c r="F114" s="475">
        <f>F107*'Conv. Fact.'!D15</f>
        <v>151.31576026749235</v>
      </c>
      <c r="G114" s="476"/>
    </row>
    <row r="115" spans="1:12" s="1" customFormat="1" ht="17" x14ac:dyDescent="0.5">
      <c r="A115" s="465" t="s">
        <v>102</v>
      </c>
      <c r="B115" s="466"/>
      <c r="C115" s="466"/>
      <c r="D115" s="466"/>
      <c r="E115" s="466"/>
      <c r="F115" s="52">
        <f>F113*E10</f>
        <v>5.8282497744183601</v>
      </c>
      <c r="G115" s="49" t="s">
        <v>167</v>
      </c>
    </row>
    <row r="116" spans="1:12" s="1" customFormat="1" ht="15.5" thickBot="1" x14ac:dyDescent="0.45">
      <c r="A116" s="402" t="s">
        <v>116</v>
      </c>
      <c r="B116" s="403"/>
      <c r="C116" s="403"/>
      <c r="D116" s="403"/>
      <c r="E116" s="403"/>
      <c r="F116" s="467">
        <f>F114*E10</f>
        <v>6052.630410699694</v>
      </c>
      <c r="G116" s="468"/>
    </row>
    <row r="117" spans="1:12" s="1" customFormat="1" ht="15" x14ac:dyDescent="0.4">
      <c r="A117" s="447" t="s">
        <v>180</v>
      </c>
      <c r="B117" s="448"/>
      <c r="C117" s="448"/>
      <c r="D117" s="448"/>
      <c r="E117" s="449"/>
      <c r="F117" s="132">
        <f>'Conv. Fact.'!C91</f>
        <v>2800</v>
      </c>
    </row>
    <row r="118" spans="1:12" s="1" customFormat="1" ht="15.5" thickBot="1" x14ac:dyDescent="0.45">
      <c r="A118" s="402" t="s">
        <v>324</v>
      </c>
      <c r="B118" s="403"/>
      <c r="C118" s="403"/>
      <c r="D118" s="403"/>
      <c r="E118" s="403"/>
      <c r="F118" s="133">
        <f>F117*E10</f>
        <v>112000</v>
      </c>
    </row>
    <row r="119" spans="1:12" s="1" customFormat="1" ht="15" x14ac:dyDescent="0.4"/>
    <row r="120" spans="1:12" s="1" customFormat="1" ht="15" x14ac:dyDescent="0.4"/>
    <row r="121" spans="1:12" s="1" customFormat="1" ht="15" x14ac:dyDescent="0.4"/>
    <row r="122" spans="1:12" s="1" customFormat="1" ht="15" x14ac:dyDescent="0.4"/>
    <row r="123" spans="1:12" s="1" customFormat="1" ht="15" x14ac:dyDescent="0.4"/>
    <row r="124" spans="1:12" s="1" customFormat="1" ht="15" x14ac:dyDescent="0.4"/>
    <row r="125" spans="1:12" s="1" customFormat="1" ht="15" x14ac:dyDescent="0.4">
      <c r="A125" s="501" t="s">
        <v>250</v>
      </c>
      <c r="B125" s="501"/>
      <c r="C125" s="501"/>
      <c r="D125" s="501"/>
      <c r="E125" s="501"/>
      <c r="F125" s="501"/>
      <c r="G125" s="501"/>
      <c r="H125" s="501"/>
      <c r="I125" s="501"/>
      <c r="J125" s="501"/>
      <c r="K125" s="501"/>
      <c r="L125" s="501"/>
    </row>
    <row r="126" spans="1:12" s="1" customFormat="1" ht="15" x14ac:dyDescent="0.4">
      <c r="A126" s="379" t="s">
        <v>251</v>
      </c>
      <c r="B126" s="380"/>
      <c r="C126" s="381"/>
      <c r="D126" s="216">
        <v>8000</v>
      </c>
      <c r="E126" s="6" t="s">
        <v>325</v>
      </c>
    </row>
    <row r="127" spans="1:12" s="1" customFormat="1" ht="15" x14ac:dyDescent="0.4">
      <c r="A127" s="382"/>
      <c r="B127" s="383"/>
      <c r="C127" s="384"/>
      <c r="D127" s="243">
        <f>D126-5000</f>
        <v>3000</v>
      </c>
      <c r="E127" s="6" t="s">
        <v>326</v>
      </c>
    </row>
    <row r="128" spans="1:12" s="1" customFormat="1" ht="15" x14ac:dyDescent="0.4">
      <c r="A128" s="378" t="s">
        <v>252</v>
      </c>
      <c r="B128" s="378"/>
      <c r="C128" s="378"/>
      <c r="D128" s="4">
        <f>E9</f>
        <v>75</v>
      </c>
    </row>
    <row r="129" spans="1:5" s="1" customFormat="1" ht="15" x14ac:dyDescent="0.4">
      <c r="A129" s="379" t="s">
        <v>253</v>
      </c>
      <c r="B129" s="380"/>
      <c r="C129" s="381"/>
      <c r="D129" s="215">
        <f>D126*D128</f>
        <v>600000</v>
      </c>
      <c r="E129" s="6" t="s">
        <v>325</v>
      </c>
    </row>
    <row r="130" spans="1:5" s="1" customFormat="1" ht="15" x14ac:dyDescent="0.4">
      <c r="A130" s="382"/>
      <c r="B130" s="383"/>
      <c r="C130" s="384"/>
      <c r="D130" s="215">
        <f>D127*D128</f>
        <v>225000</v>
      </c>
      <c r="E130" s="6" t="s">
        <v>326</v>
      </c>
    </row>
    <row r="131" spans="1:5" s="1" customFormat="1" ht="15" x14ac:dyDescent="0.4">
      <c r="A131" s="379" t="s">
        <v>254</v>
      </c>
      <c r="B131" s="380"/>
      <c r="C131" s="381"/>
      <c r="D131" s="215">
        <f>D129*G6</f>
        <v>3000000</v>
      </c>
      <c r="E131" s="6" t="s">
        <v>325</v>
      </c>
    </row>
    <row r="132" spans="1:5" s="1" customFormat="1" ht="15" x14ac:dyDescent="0.4">
      <c r="A132" s="382"/>
      <c r="B132" s="383"/>
      <c r="C132" s="384"/>
      <c r="D132" s="215">
        <f>D130*G6</f>
        <v>1125000</v>
      </c>
      <c r="E132" s="6" t="s">
        <v>326</v>
      </c>
    </row>
    <row r="133" spans="1:5" s="1" customFormat="1" ht="15" x14ac:dyDescent="0.4">
      <c r="A133" s="378" t="s">
        <v>329</v>
      </c>
      <c r="B133" s="378"/>
      <c r="C133" s="378"/>
      <c r="D133" s="216">
        <v>3800</v>
      </c>
    </row>
    <row r="134" spans="1:5" s="1" customFormat="1" ht="15" x14ac:dyDescent="0.4">
      <c r="A134" s="378" t="s">
        <v>330</v>
      </c>
      <c r="B134" s="378"/>
      <c r="C134" s="378"/>
      <c r="D134" s="115">
        <f>D133*D128</f>
        <v>285000</v>
      </c>
    </row>
    <row r="135" spans="1:5" s="1" customFormat="1" ht="15" x14ac:dyDescent="0.4"/>
    <row r="136" spans="1:5" s="1" customFormat="1" ht="15" x14ac:dyDescent="0.4"/>
    <row r="137" spans="1:5" s="1" customFormat="1" ht="15" x14ac:dyDescent="0.4"/>
    <row r="138" spans="1:5" s="1" customFormat="1" ht="15" x14ac:dyDescent="0.4"/>
    <row r="139" spans="1:5" s="1" customFormat="1" ht="15" x14ac:dyDescent="0.4"/>
    <row r="140" spans="1:5" s="1" customFormat="1" ht="15" x14ac:dyDescent="0.4"/>
    <row r="141" spans="1:5" s="1" customFormat="1" ht="15" x14ac:dyDescent="0.4"/>
    <row r="142" spans="1:5" s="1" customFormat="1" ht="15" x14ac:dyDescent="0.4"/>
    <row r="143" spans="1:5" s="1" customFormat="1" ht="15" x14ac:dyDescent="0.4"/>
    <row r="144" spans="1:5" s="1" customFormat="1" ht="15" x14ac:dyDescent="0.4"/>
    <row r="145" s="1" customFormat="1" ht="15" x14ac:dyDescent="0.4"/>
    <row r="146" s="1" customFormat="1" ht="15" x14ac:dyDescent="0.4"/>
    <row r="147" s="1" customFormat="1" ht="15" x14ac:dyDescent="0.4"/>
    <row r="148" s="1" customFormat="1" ht="15" x14ac:dyDescent="0.4"/>
    <row r="149" s="1" customFormat="1" ht="15" x14ac:dyDescent="0.4"/>
    <row r="150" s="1" customFormat="1" ht="15" x14ac:dyDescent="0.4"/>
    <row r="151" s="1" customFormat="1" ht="15" x14ac:dyDescent="0.4"/>
    <row r="152" s="1" customFormat="1" ht="15" x14ac:dyDescent="0.4"/>
    <row r="153" s="1" customFormat="1" ht="15" x14ac:dyDescent="0.4"/>
    <row r="154" s="1" customFormat="1" ht="15" x14ac:dyDescent="0.4"/>
    <row r="155" s="1" customFormat="1" ht="15" x14ac:dyDescent="0.4"/>
    <row r="156" s="1" customFormat="1" ht="15" x14ac:dyDescent="0.4"/>
    <row r="157" s="1" customFormat="1" ht="15" x14ac:dyDescent="0.4"/>
    <row r="158" s="1" customFormat="1" ht="15" x14ac:dyDescent="0.4"/>
    <row r="159" s="1" customFormat="1" ht="15" x14ac:dyDescent="0.4"/>
    <row r="160" s="1" customFormat="1" ht="15" x14ac:dyDescent="0.4"/>
    <row r="161" s="1" customFormat="1" ht="15" x14ac:dyDescent="0.4"/>
    <row r="162" s="1" customFormat="1" ht="15" x14ac:dyDescent="0.4"/>
    <row r="163" s="1" customFormat="1" ht="15" x14ac:dyDescent="0.4"/>
    <row r="164" s="1" customFormat="1" ht="15" x14ac:dyDescent="0.4"/>
    <row r="165" s="1" customFormat="1" ht="15" x14ac:dyDescent="0.4"/>
    <row r="166" s="1" customFormat="1" ht="15" x14ac:dyDescent="0.4"/>
    <row r="167" s="1" customFormat="1" ht="15" x14ac:dyDescent="0.4"/>
    <row r="168" s="1" customFormat="1" ht="15" x14ac:dyDescent="0.4"/>
    <row r="169" s="1" customFormat="1" ht="15" x14ac:dyDescent="0.4"/>
    <row r="170" s="1" customFormat="1" ht="15" x14ac:dyDescent="0.4"/>
    <row r="171" s="1" customFormat="1" ht="15" x14ac:dyDescent="0.4"/>
    <row r="172" s="1" customFormat="1" ht="15" x14ac:dyDescent="0.4"/>
    <row r="173" s="1" customFormat="1" ht="15" x14ac:dyDescent="0.4"/>
    <row r="174" s="1" customFormat="1" ht="15" x14ac:dyDescent="0.4"/>
    <row r="175" s="1" customFormat="1" ht="15" x14ac:dyDescent="0.4"/>
    <row r="176" s="1" customFormat="1" ht="15" x14ac:dyDescent="0.4"/>
    <row r="177" s="1" customFormat="1" ht="15" x14ac:dyDescent="0.4"/>
    <row r="178" s="1" customFormat="1" ht="15" x14ac:dyDescent="0.4"/>
    <row r="179" s="1" customFormat="1" ht="15" x14ac:dyDescent="0.4"/>
    <row r="180" s="1" customFormat="1" ht="15" x14ac:dyDescent="0.4"/>
    <row r="181" s="1" customFormat="1" ht="15" x14ac:dyDescent="0.4"/>
    <row r="182" s="1" customFormat="1" ht="15" x14ac:dyDescent="0.4"/>
    <row r="183" s="1" customFormat="1" ht="15" x14ac:dyDescent="0.4"/>
    <row r="184" s="1" customFormat="1" ht="15" x14ac:dyDescent="0.4"/>
    <row r="185" s="1" customFormat="1" ht="15" x14ac:dyDescent="0.4"/>
    <row r="186" s="1" customFormat="1" ht="15" x14ac:dyDescent="0.4"/>
    <row r="187" s="1" customFormat="1" ht="15" x14ac:dyDescent="0.4"/>
    <row r="188" s="1" customFormat="1" ht="15" x14ac:dyDescent="0.4"/>
    <row r="189" s="1" customFormat="1" ht="15" x14ac:dyDescent="0.4"/>
    <row r="190" s="1" customFormat="1" ht="15" x14ac:dyDescent="0.4"/>
    <row r="191" s="1" customFormat="1" ht="15" x14ac:dyDescent="0.4"/>
    <row r="192" s="1" customFormat="1" ht="15" x14ac:dyDescent="0.4"/>
    <row r="193" s="1" customFormat="1" ht="15" x14ac:dyDescent="0.4"/>
    <row r="194" s="1" customFormat="1" ht="15" x14ac:dyDescent="0.4"/>
    <row r="195" s="1" customFormat="1" ht="15" x14ac:dyDescent="0.4"/>
    <row r="196" s="1" customFormat="1" ht="15" x14ac:dyDescent="0.4"/>
    <row r="197" s="1" customFormat="1" ht="15" x14ac:dyDescent="0.4"/>
    <row r="198" s="1" customFormat="1" ht="15" x14ac:dyDescent="0.4"/>
    <row r="199" s="1" customFormat="1" ht="15" x14ac:dyDescent="0.4"/>
    <row r="200" s="1" customFormat="1" ht="15" x14ac:dyDescent="0.4"/>
    <row r="201" s="1" customFormat="1" ht="15" x14ac:dyDescent="0.4"/>
    <row r="202" s="1" customFormat="1" ht="15" x14ac:dyDescent="0.4"/>
    <row r="203" s="1" customFormat="1" ht="15" x14ac:dyDescent="0.4"/>
    <row r="204" s="1" customFormat="1" ht="15" x14ac:dyDescent="0.4"/>
    <row r="205" s="1" customFormat="1" ht="15" x14ac:dyDescent="0.4"/>
    <row r="206" s="1" customFormat="1" ht="15" x14ac:dyDescent="0.4"/>
    <row r="207" s="1" customFormat="1" ht="15" x14ac:dyDescent="0.4"/>
    <row r="208" s="1" customFormat="1" ht="15" x14ac:dyDescent="0.4"/>
    <row r="209" s="1" customFormat="1" ht="15" x14ac:dyDescent="0.4"/>
    <row r="210" s="1" customFormat="1" ht="15" x14ac:dyDescent="0.4"/>
    <row r="211" s="1" customFormat="1" ht="15" x14ac:dyDescent="0.4"/>
    <row r="212" s="1" customFormat="1" ht="15" x14ac:dyDescent="0.4"/>
    <row r="213" s="1" customFormat="1" ht="15" x14ac:dyDescent="0.4"/>
    <row r="214" s="1" customFormat="1" ht="15" x14ac:dyDescent="0.4"/>
    <row r="215" s="1" customFormat="1" ht="15" x14ac:dyDescent="0.4"/>
    <row r="216" s="1" customFormat="1" ht="15" x14ac:dyDescent="0.4"/>
    <row r="217" s="1" customFormat="1" ht="15" x14ac:dyDescent="0.4"/>
    <row r="218" s="1" customFormat="1" ht="15" x14ac:dyDescent="0.4"/>
    <row r="219" s="1" customFormat="1" ht="15" x14ac:dyDescent="0.4"/>
    <row r="220" s="1" customFormat="1" ht="15" x14ac:dyDescent="0.4"/>
    <row r="221" s="1" customFormat="1" ht="15" x14ac:dyDescent="0.4"/>
    <row r="222" s="1" customFormat="1" ht="15" x14ac:dyDescent="0.4"/>
    <row r="223" s="1" customFormat="1" ht="15" x14ac:dyDescent="0.4"/>
    <row r="224" s="1" customFormat="1" ht="15" x14ac:dyDescent="0.4"/>
    <row r="225" s="1" customFormat="1" ht="15" x14ac:dyDescent="0.4"/>
    <row r="226" s="1" customFormat="1" ht="15" x14ac:dyDescent="0.4"/>
    <row r="227" s="1" customFormat="1" ht="15" x14ac:dyDescent="0.4"/>
    <row r="228" s="1" customFormat="1" ht="15" x14ac:dyDescent="0.4"/>
    <row r="229" s="1" customFormat="1" ht="15" x14ac:dyDescent="0.4"/>
    <row r="230" s="1" customFormat="1" ht="15" x14ac:dyDescent="0.4"/>
    <row r="231" s="1" customFormat="1" ht="15" x14ac:dyDescent="0.4"/>
    <row r="232" s="1" customFormat="1" ht="15" x14ac:dyDescent="0.4"/>
    <row r="233" s="1" customFormat="1" ht="15" x14ac:dyDescent="0.4"/>
    <row r="234" s="1" customFormat="1" ht="15" x14ac:dyDescent="0.4"/>
    <row r="235" s="1" customFormat="1" ht="15" x14ac:dyDescent="0.4"/>
    <row r="236" s="1" customFormat="1" ht="15" x14ac:dyDescent="0.4"/>
    <row r="237" s="1" customFormat="1" ht="15" x14ac:dyDescent="0.4"/>
    <row r="238" s="1" customFormat="1" ht="15" x14ac:dyDescent="0.4"/>
    <row r="239" s="1" customFormat="1" ht="15" x14ac:dyDescent="0.4"/>
    <row r="240" s="1" customFormat="1" ht="15" x14ac:dyDescent="0.4"/>
    <row r="241" s="1" customFormat="1" ht="15" x14ac:dyDescent="0.4"/>
    <row r="242" s="1" customFormat="1" ht="15" x14ac:dyDescent="0.4"/>
    <row r="243" s="1" customFormat="1" ht="15" x14ac:dyDescent="0.4"/>
    <row r="244" s="1" customFormat="1" ht="15" x14ac:dyDescent="0.4"/>
    <row r="245" s="1" customFormat="1" ht="15" x14ac:dyDescent="0.4"/>
    <row r="246" s="1" customFormat="1" ht="15" x14ac:dyDescent="0.4"/>
    <row r="247" s="1" customFormat="1" ht="15" x14ac:dyDescent="0.4"/>
    <row r="248" s="1" customFormat="1" ht="15" x14ac:dyDescent="0.4"/>
    <row r="249" s="1" customFormat="1" ht="15" x14ac:dyDescent="0.4"/>
    <row r="250" s="1" customFormat="1" ht="15" x14ac:dyDescent="0.4"/>
    <row r="251" s="1" customFormat="1" ht="15" x14ac:dyDescent="0.4"/>
    <row r="252" s="1" customFormat="1" ht="15" x14ac:dyDescent="0.4"/>
    <row r="253" s="1" customFormat="1" ht="15" x14ac:dyDescent="0.4"/>
    <row r="254" s="1" customFormat="1" ht="15" x14ac:dyDescent="0.4"/>
    <row r="255" s="1" customFormat="1" ht="15" x14ac:dyDescent="0.4"/>
    <row r="256" s="1" customFormat="1" ht="15" x14ac:dyDescent="0.4"/>
    <row r="257" s="1" customFormat="1" ht="15" x14ac:dyDescent="0.4"/>
    <row r="258" s="1" customFormat="1" ht="15" x14ac:dyDescent="0.4"/>
    <row r="259" s="1" customFormat="1" ht="15" x14ac:dyDescent="0.4"/>
    <row r="260" s="1" customFormat="1" ht="15" x14ac:dyDescent="0.4"/>
    <row r="261" s="1" customFormat="1" ht="15" x14ac:dyDescent="0.4"/>
    <row r="262" s="1" customFormat="1" ht="15" x14ac:dyDescent="0.4"/>
    <row r="263" s="1" customFormat="1" ht="15" x14ac:dyDescent="0.4"/>
    <row r="264" s="1" customFormat="1" ht="15" x14ac:dyDescent="0.4"/>
    <row r="265" s="1" customFormat="1" ht="15" x14ac:dyDescent="0.4"/>
    <row r="266" s="1" customFormat="1" ht="15" x14ac:dyDescent="0.4"/>
    <row r="267" s="1" customFormat="1" ht="15" x14ac:dyDescent="0.4"/>
    <row r="268" s="1" customFormat="1" ht="15" x14ac:dyDescent="0.4"/>
    <row r="269" s="1" customFormat="1" ht="15" x14ac:dyDescent="0.4"/>
    <row r="270" s="1" customFormat="1" ht="15" x14ac:dyDescent="0.4"/>
    <row r="271" s="1" customFormat="1" ht="15" x14ac:dyDescent="0.4"/>
    <row r="272" s="1" customFormat="1" ht="15" x14ac:dyDescent="0.4"/>
    <row r="273" s="1" customFormat="1" ht="15" x14ac:dyDescent="0.4"/>
    <row r="274" s="1" customFormat="1" ht="15" x14ac:dyDescent="0.4"/>
    <row r="275" s="1" customFormat="1" ht="15" x14ac:dyDescent="0.4"/>
    <row r="276" s="1" customFormat="1" ht="15" x14ac:dyDescent="0.4"/>
    <row r="277" s="1" customFormat="1" ht="15" x14ac:dyDescent="0.4"/>
    <row r="278" s="1" customFormat="1" ht="15" x14ac:dyDescent="0.4"/>
    <row r="279" s="1" customFormat="1" ht="15" x14ac:dyDescent="0.4"/>
    <row r="280" s="1" customFormat="1" ht="15" x14ac:dyDescent="0.4"/>
    <row r="281" s="1" customFormat="1" ht="15" x14ac:dyDescent="0.4"/>
    <row r="282" s="1" customFormat="1" ht="15" x14ac:dyDescent="0.4"/>
    <row r="283" s="1" customFormat="1" ht="15" x14ac:dyDescent="0.4"/>
    <row r="284" s="1" customFormat="1" ht="15" x14ac:dyDescent="0.4"/>
    <row r="285" s="1" customFormat="1" ht="15" x14ac:dyDescent="0.4"/>
    <row r="286" s="1" customFormat="1" ht="15" x14ac:dyDescent="0.4"/>
    <row r="287" s="1" customFormat="1" ht="15" x14ac:dyDescent="0.4"/>
    <row r="288" s="1" customFormat="1" ht="15" x14ac:dyDescent="0.4"/>
    <row r="289" s="1" customFormat="1" ht="15" x14ac:dyDescent="0.4"/>
    <row r="290" s="1" customFormat="1" ht="15" x14ac:dyDescent="0.4"/>
    <row r="291" s="1" customFormat="1" ht="15" x14ac:dyDescent="0.4"/>
    <row r="292" s="1" customFormat="1" ht="15" x14ac:dyDescent="0.4"/>
    <row r="293" s="1" customFormat="1" ht="15" x14ac:dyDescent="0.4"/>
    <row r="294" s="1" customFormat="1" ht="15" x14ac:dyDescent="0.4"/>
    <row r="295" s="1" customFormat="1" ht="15" x14ac:dyDescent="0.4"/>
    <row r="296" s="1" customFormat="1" ht="15" x14ac:dyDescent="0.4"/>
    <row r="297" s="1" customFormat="1" ht="15" x14ac:dyDescent="0.4"/>
    <row r="298" s="1" customFormat="1" ht="15" x14ac:dyDescent="0.4"/>
    <row r="299" s="1" customFormat="1" ht="15" x14ac:dyDescent="0.4"/>
    <row r="300" s="1" customFormat="1" ht="15" x14ac:dyDescent="0.4"/>
    <row r="301" s="1" customFormat="1" ht="15" x14ac:dyDescent="0.4"/>
    <row r="302" s="1" customFormat="1" ht="15" x14ac:dyDescent="0.4"/>
    <row r="303" s="1" customFormat="1" ht="15" x14ac:dyDescent="0.4"/>
    <row r="304" s="1" customFormat="1" ht="15" x14ac:dyDescent="0.4"/>
    <row r="305" s="1" customFormat="1" ht="15" x14ac:dyDescent="0.4"/>
    <row r="306" s="1" customFormat="1" ht="15" x14ac:dyDescent="0.4"/>
    <row r="307" s="1" customFormat="1" ht="15" x14ac:dyDescent="0.4"/>
    <row r="308" s="1" customFormat="1" ht="15" x14ac:dyDescent="0.4"/>
    <row r="309" s="1" customFormat="1" ht="15" x14ac:dyDescent="0.4"/>
    <row r="310" s="1" customFormat="1" ht="15" x14ac:dyDescent="0.4"/>
    <row r="311" s="1" customFormat="1" ht="15" x14ac:dyDescent="0.4"/>
    <row r="312" s="1" customFormat="1" ht="15" x14ac:dyDescent="0.4"/>
    <row r="313" s="1" customFormat="1" ht="15" x14ac:dyDescent="0.4"/>
    <row r="314" s="1" customFormat="1" ht="15" x14ac:dyDescent="0.4"/>
    <row r="315" s="1" customFormat="1" ht="15" x14ac:dyDescent="0.4"/>
    <row r="316" s="1" customFormat="1" ht="15" x14ac:dyDescent="0.4"/>
    <row r="317" s="1" customFormat="1" ht="15" x14ac:dyDescent="0.4"/>
    <row r="318" s="1" customFormat="1" ht="15" x14ac:dyDescent="0.4"/>
    <row r="319" s="1" customFormat="1" ht="15" x14ac:dyDescent="0.4"/>
    <row r="320" s="1" customFormat="1" ht="15" x14ac:dyDescent="0.4"/>
    <row r="321" s="1" customFormat="1" ht="15" x14ac:dyDescent="0.4"/>
    <row r="322" s="1" customFormat="1" ht="15" x14ac:dyDescent="0.4"/>
    <row r="323" s="1" customFormat="1" ht="15" x14ac:dyDescent="0.4"/>
    <row r="324" s="1" customFormat="1" ht="15" x14ac:dyDescent="0.4"/>
    <row r="325" s="1" customFormat="1" ht="15" x14ac:dyDescent="0.4"/>
    <row r="326" s="1" customFormat="1" ht="15" x14ac:dyDescent="0.4"/>
    <row r="327" s="1" customFormat="1" ht="15" x14ac:dyDescent="0.4"/>
    <row r="328" s="1" customFormat="1" ht="15" x14ac:dyDescent="0.4"/>
    <row r="329" s="1" customFormat="1" ht="15" x14ac:dyDescent="0.4"/>
    <row r="330" s="1" customFormat="1" ht="15" x14ac:dyDescent="0.4"/>
    <row r="331" s="1" customFormat="1" ht="15" x14ac:dyDescent="0.4"/>
    <row r="332" s="1" customFormat="1" ht="15" x14ac:dyDescent="0.4"/>
    <row r="333" s="1" customFormat="1" ht="15" x14ac:dyDescent="0.4"/>
    <row r="334" s="1" customFormat="1" ht="15" x14ac:dyDescent="0.4"/>
    <row r="335" s="1" customFormat="1" ht="15" x14ac:dyDescent="0.4"/>
    <row r="336" s="1" customFormat="1" ht="15" x14ac:dyDescent="0.4"/>
    <row r="337" s="1" customFormat="1" ht="15" x14ac:dyDescent="0.4"/>
    <row r="338" s="1" customFormat="1" ht="15" x14ac:dyDescent="0.4"/>
    <row r="339" s="1" customFormat="1" ht="15" x14ac:dyDescent="0.4"/>
    <row r="340" s="1" customFormat="1" ht="15" x14ac:dyDescent="0.4"/>
    <row r="341" s="1" customFormat="1" ht="15" x14ac:dyDescent="0.4"/>
    <row r="342" s="1" customFormat="1" ht="15" x14ac:dyDescent="0.4"/>
    <row r="343" s="1" customFormat="1" ht="15" x14ac:dyDescent="0.4"/>
    <row r="344" s="1" customFormat="1" ht="15" x14ac:dyDescent="0.4"/>
    <row r="345" s="1" customFormat="1" ht="15" x14ac:dyDescent="0.4"/>
    <row r="346" s="1" customFormat="1" ht="15" x14ac:dyDescent="0.4"/>
    <row r="347" s="1" customFormat="1" ht="15" x14ac:dyDescent="0.4"/>
    <row r="348" s="1" customFormat="1" ht="15" x14ac:dyDescent="0.4"/>
    <row r="349" s="1" customFormat="1" ht="15" x14ac:dyDescent="0.4"/>
    <row r="350" s="1" customFormat="1" ht="15" x14ac:dyDescent="0.4"/>
    <row r="351" s="1" customFormat="1" ht="15" x14ac:dyDescent="0.4"/>
    <row r="352" s="1" customFormat="1" ht="15" x14ac:dyDescent="0.4"/>
    <row r="353" s="1" customFormat="1" ht="15" x14ac:dyDescent="0.4"/>
    <row r="354" s="1" customFormat="1" ht="15" x14ac:dyDescent="0.4"/>
    <row r="355" s="1" customFormat="1" ht="15" x14ac:dyDescent="0.4"/>
    <row r="356" s="1" customFormat="1" ht="15" x14ac:dyDescent="0.4"/>
    <row r="357" s="1" customFormat="1" ht="15" x14ac:dyDescent="0.4"/>
    <row r="358" s="1" customFormat="1" ht="15" x14ac:dyDescent="0.4"/>
    <row r="359" s="1" customFormat="1" ht="15" x14ac:dyDescent="0.4"/>
    <row r="360" s="1" customFormat="1" ht="15" x14ac:dyDescent="0.4"/>
    <row r="361" s="1" customFormat="1" ht="15" x14ac:dyDescent="0.4"/>
    <row r="362" s="1" customFormat="1" ht="15" x14ac:dyDescent="0.4"/>
    <row r="363" s="1" customFormat="1" ht="15" x14ac:dyDescent="0.4"/>
    <row r="364" s="1" customFormat="1" ht="15" x14ac:dyDescent="0.4"/>
    <row r="365" s="1" customFormat="1" ht="15" x14ac:dyDescent="0.4"/>
    <row r="366" s="1" customFormat="1" ht="15" x14ac:dyDescent="0.4"/>
    <row r="367" s="1" customFormat="1" ht="15" x14ac:dyDescent="0.4"/>
    <row r="368" s="1" customFormat="1" ht="15" x14ac:dyDescent="0.4"/>
    <row r="369" s="1" customFormat="1" ht="15" x14ac:dyDescent="0.4"/>
    <row r="370" s="1" customFormat="1" ht="15" x14ac:dyDescent="0.4"/>
    <row r="371" s="1" customFormat="1" ht="15" x14ac:dyDescent="0.4"/>
    <row r="372" s="1" customFormat="1" ht="15" x14ac:dyDescent="0.4"/>
    <row r="373" s="1" customFormat="1" ht="15" x14ac:dyDescent="0.4"/>
    <row r="374" s="1" customFormat="1" ht="15" x14ac:dyDescent="0.4"/>
    <row r="375" s="1" customFormat="1" ht="15" x14ac:dyDescent="0.4"/>
    <row r="376" s="1" customFormat="1" ht="15" x14ac:dyDescent="0.4"/>
    <row r="377" s="1" customFormat="1" ht="15" x14ac:dyDescent="0.4"/>
    <row r="378" s="1" customFormat="1" ht="15" x14ac:dyDescent="0.4"/>
    <row r="379" s="1" customFormat="1" ht="15" x14ac:dyDescent="0.4"/>
    <row r="380" s="1" customFormat="1" ht="15" x14ac:dyDescent="0.4"/>
    <row r="381" s="1" customFormat="1" ht="15" x14ac:dyDescent="0.4"/>
    <row r="382" s="1" customFormat="1" ht="15" x14ac:dyDescent="0.4"/>
    <row r="383" s="1" customFormat="1" ht="15" x14ac:dyDescent="0.4"/>
    <row r="384" s="1" customFormat="1" ht="15" x14ac:dyDescent="0.4"/>
    <row r="385" s="1" customFormat="1" ht="15" x14ac:dyDescent="0.4"/>
    <row r="386" s="1" customFormat="1" ht="15" x14ac:dyDescent="0.4"/>
    <row r="387" s="1" customFormat="1" ht="15" x14ac:dyDescent="0.4"/>
    <row r="388" s="1" customFormat="1" ht="15" x14ac:dyDescent="0.4"/>
    <row r="389" s="1" customFormat="1" ht="15" x14ac:dyDescent="0.4"/>
    <row r="390" s="1" customFormat="1" ht="15" x14ac:dyDescent="0.4"/>
    <row r="391" s="1" customFormat="1" ht="15" x14ac:dyDescent="0.4"/>
    <row r="392" s="1" customFormat="1" ht="15" x14ac:dyDescent="0.4"/>
    <row r="393" s="1" customFormat="1" ht="15" x14ac:dyDescent="0.4"/>
    <row r="394" s="1" customFormat="1" ht="15" x14ac:dyDescent="0.4"/>
    <row r="395" s="1" customFormat="1" ht="15" x14ac:dyDescent="0.4"/>
    <row r="396" s="1" customFormat="1" ht="15" x14ac:dyDescent="0.4"/>
    <row r="397" s="1" customFormat="1" ht="15" x14ac:dyDescent="0.4"/>
    <row r="398" s="1" customFormat="1" ht="15" x14ac:dyDescent="0.4"/>
    <row r="399" s="1" customFormat="1" ht="15" x14ac:dyDescent="0.4"/>
    <row r="400" s="1" customFormat="1" ht="15" x14ac:dyDescent="0.4"/>
    <row r="401" s="1" customFormat="1" ht="15" x14ac:dyDescent="0.4"/>
    <row r="402" s="1" customFormat="1" ht="15" x14ac:dyDescent="0.4"/>
    <row r="403" s="1" customFormat="1" ht="15" x14ac:dyDescent="0.4"/>
    <row r="404" s="1" customFormat="1" ht="15" x14ac:dyDescent="0.4"/>
    <row r="405" s="1" customFormat="1" ht="15" x14ac:dyDescent="0.4"/>
    <row r="406" s="1" customFormat="1" ht="15" x14ac:dyDescent="0.4"/>
    <row r="407" s="1" customFormat="1" ht="15" x14ac:dyDescent="0.4"/>
    <row r="408" s="1" customFormat="1" ht="15" x14ac:dyDescent="0.4"/>
    <row r="409" s="1" customFormat="1" ht="15" x14ac:dyDescent="0.4"/>
    <row r="410" s="1" customFormat="1" ht="15" x14ac:dyDescent="0.4"/>
  </sheetData>
  <mergeCells count="119">
    <mergeCell ref="A125:L125"/>
    <mergeCell ref="A128:C128"/>
    <mergeCell ref="A41:D41"/>
    <mergeCell ref="A42:D42"/>
    <mergeCell ref="A61:K61"/>
    <mergeCell ref="I23:L24"/>
    <mergeCell ref="A25:D25"/>
    <mergeCell ref="A46:D46"/>
    <mergeCell ref="A37:D37"/>
    <mergeCell ref="A39:D39"/>
    <mergeCell ref="A40:D40"/>
    <mergeCell ref="A36:D36"/>
    <mergeCell ref="A38:D38"/>
    <mergeCell ref="A62:G62"/>
    <mergeCell ref="A94:G94"/>
    <mergeCell ref="F70:G70"/>
    <mergeCell ref="A72:E72"/>
    <mergeCell ref="F72:G72"/>
    <mergeCell ref="A71:E71"/>
    <mergeCell ref="A63:E63"/>
    <mergeCell ref="A79:E79"/>
    <mergeCell ref="F101:G101"/>
    <mergeCell ref="A80:E80"/>
    <mergeCell ref="A95:E96"/>
    <mergeCell ref="A81:E81"/>
    <mergeCell ref="F79:G79"/>
    <mergeCell ref="A64:E65"/>
    <mergeCell ref="G3:H3"/>
    <mergeCell ref="G4:H4"/>
    <mergeCell ref="A4:F5"/>
    <mergeCell ref="A3:F3"/>
    <mergeCell ref="A70:E70"/>
    <mergeCell ref="A73:G73"/>
    <mergeCell ref="A74:E74"/>
    <mergeCell ref="A7:F7"/>
    <mergeCell ref="G7:H7"/>
    <mergeCell ref="A102:E103"/>
    <mergeCell ref="A114:E114"/>
    <mergeCell ref="F114:G114"/>
    <mergeCell ref="D110:E110"/>
    <mergeCell ref="D111:E111"/>
    <mergeCell ref="D112:E112"/>
    <mergeCell ref="D113:E113"/>
    <mergeCell ref="A106:G106"/>
    <mergeCell ref="A107:E107"/>
    <mergeCell ref="A105:E105"/>
    <mergeCell ref="F105:G105"/>
    <mergeCell ref="A117:E117"/>
    <mergeCell ref="A13:F13"/>
    <mergeCell ref="H8:L8"/>
    <mergeCell ref="A31:F31"/>
    <mergeCell ref="A9:D9"/>
    <mergeCell ref="A10:D10"/>
    <mergeCell ref="A8:F8"/>
    <mergeCell ref="H9:K9"/>
    <mergeCell ref="H10:K10"/>
    <mergeCell ref="A32:D32"/>
    <mergeCell ref="A19:D19"/>
    <mergeCell ref="D77:E77"/>
    <mergeCell ref="D78:E78"/>
    <mergeCell ref="A97:C100"/>
    <mergeCell ref="A110:C113"/>
    <mergeCell ref="D97:E97"/>
    <mergeCell ref="D98:E98"/>
    <mergeCell ref="D99:E99"/>
    <mergeCell ref="D100:E100"/>
    <mergeCell ref="A115:E115"/>
    <mergeCell ref="A116:E116"/>
    <mergeCell ref="F116:G116"/>
    <mergeCell ref="A104:E104"/>
    <mergeCell ref="A101:E101"/>
    <mergeCell ref="A118:E118"/>
    <mergeCell ref="G5:I5"/>
    <mergeCell ref="A6:F6"/>
    <mergeCell ref="G6:H6"/>
    <mergeCell ref="A21:D21"/>
    <mergeCell ref="A22:D22"/>
    <mergeCell ref="A23:D23"/>
    <mergeCell ref="A14:D15"/>
    <mergeCell ref="A24:D24"/>
    <mergeCell ref="A45:D45"/>
    <mergeCell ref="A47:D47"/>
    <mergeCell ref="A48:D48"/>
    <mergeCell ref="A49:D49"/>
    <mergeCell ref="A50:D50"/>
    <mergeCell ref="A108:E108"/>
    <mergeCell ref="A109:E109"/>
    <mergeCell ref="A66:C69"/>
    <mergeCell ref="D66:E66"/>
    <mergeCell ref="D67:E67"/>
    <mergeCell ref="D68:E68"/>
    <mergeCell ref="D69:E69"/>
    <mergeCell ref="A75:C78"/>
    <mergeCell ref="D75:E75"/>
    <mergeCell ref="D76:E76"/>
    <mergeCell ref="A133:C133"/>
    <mergeCell ref="A126:C127"/>
    <mergeCell ref="A82:E83"/>
    <mergeCell ref="A84:E85"/>
    <mergeCell ref="A129:C130"/>
    <mergeCell ref="A131:C132"/>
    <mergeCell ref="A134:C134"/>
    <mergeCell ref="A1:L1"/>
    <mergeCell ref="A43:D43"/>
    <mergeCell ref="A44:D44"/>
    <mergeCell ref="A35:D35"/>
    <mergeCell ref="H11:L11"/>
    <mergeCell ref="H12:L12"/>
    <mergeCell ref="H15:L15"/>
    <mergeCell ref="H17:L17"/>
    <mergeCell ref="A34:D34"/>
    <mergeCell ref="A11:D11"/>
    <mergeCell ref="A20:D20"/>
    <mergeCell ref="A16:D16"/>
    <mergeCell ref="A17:D17"/>
    <mergeCell ref="A18:D18"/>
    <mergeCell ref="A33:D33"/>
    <mergeCell ref="G2:H2"/>
    <mergeCell ref="A2:F2"/>
  </mergeCells>
  <pageMargins left="0.7" right="0.7" top="0.75" bottom="0.75" header="0.3" footer="0.3"/>
  <pageSetup orientation="landscape" r:id="rId1"/>
  <headerFooter>
    <oddHeader xml:space="preserve">&amp;L&amp;"Franklin Gothic Book,Regular"City of Rochester
Climate Pollution Reduction Act Grant
&amp;R&amp;"Franklin Gothic Book,Italic"Program #2: Clean Heating and Cooling
</oddHeader>
    <oddFooter>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view="pageLayout" zoomScaleNormal="100" workbookViewId="0">
      <selection activeCell="A16" sqref="A16"/>
    </sheetView>
  </sheetViews>
  <sheetFormatPr defaultRowHeight="14.5" x14ac:dyDescent="0.35"/>
  <cols>
    <col min="1" max="1" width="28" customWidth="1"/>
    <col min="2" max="2" width="19.26953125" customWidth="1"/>
    <col min="3" max="3" width="12.453125" bestFit="1" customWidth="1"/>
    <col min="5" max="5" width="22.7265625" customWidth="1"/>
    <col min="6" max="6" width="25.453125" customWidth="1"/>
    <col min="7" max="7" width="10.1796875" customWidth="1"/>
  </cols>
  <sheetData>
    <row r="1" spans="1:8" s="1" customFormat="1" ht="15" x14ac:dyDescent="0.4">
      <c r="A1" s="12" t="s">
        <v>33</v>
      </c>
      <c r="B1" s="6"/>
      <c r="C1" s="6"/>
      <c r="D1" s="6"/>
      <c r="E1" s="6"/>
      <c r="F1" s="6"/>
      <c r="G1" s="6"/>
      <c r="H1" s="6"/>
    </row>
    <row r="2" spans="1:8" s="1" customFormat="1" ht="15" x14ac:dyDescent="0.4"/>
    <row r="3" spans="1:8" s="1" customFormat="1" ht="28.9" customHeight="1" x14ac:dyDescent="0.4">
      <c r="A3" s="520" t="s">
        <v>28</v>
      </c>
      <c r="B3" s="520"/>
      <c r="C3" s="518" t="s">
        <v>29</v>
      </c>
      <c r="D3" s="518"/>
      <c r="E3" s="31" t="s">
        <v>171</v>
      </c>
      <c r="F3" s="31" t="s">
        <v>44</v>
      </c>
    </row>
    <row r="4" spans="1:8" s="1" customFormat="1" ht="15" x14ac:dyDescent="0.4">
      <c r="A4" s="472" t="str">
        <f>B33</f>
        <v>Blue Cross Arena</v>
      </c>
      <c r="B4" s="472"/>
      <c r="C4" s="519">
        <f>B36</f>
        <v>2734375</v>
      </c>
      <c r="D4" s="519"/>
      <c r="E4" s="34">
        <f>B37</f>
        <v>368.6210317460318</v>
      </c>
      <c r="F4" s="38">
        <f>B38</f>
        <v>355468.75</v>
      </c>
    </row>
    <row r="5" spans="1:8" s="1" customFormat="1" ht="15" x14ac:dyDescent="0.4">
      <c r="A5" s="472" t="str">
        <f>B62</f>
        <v>Rochester Riverside Convention Center</v>
      </c>
      <c r="B5" s="472"/>
      <c r="C5" s="519">
        <f>B65</f>
        <v>946640.625</v>
      </c>
      <c r="D5" s="519"/>
      <c r="E5" s="34">
        <f>B66</f>
        <v>127.6166011904762</v>
      </c>
      <c r="F5" s="38">
        <f>B67</f>
        <v>132529.6875</v>
      </c>
    </row>
    <row r="6" spans="1:8" s="1" customFormat="1" ht="15.5" thickBot="1" x14ac:dyDescent="0.45">
      <c r="A6" s="472" t="str">
        <f>B91</f>
        <v>Public Safety Building</v>
      </c>
      <c r="B6" s="472"/>
      <c r="C6" s="519">
        <f>B94</f>
        <v>475781.25</v>
      </c>
      <c r="D6" s="519"/>
      <c r="E6" s="34">
        <f>B95</f>
        <v>64.140059523809526</v>
      </c>
      <c r="F6" s="38">
        <f>B96</f>
        <v>66609.375</v>
      </c>
    </row>
    <row r="7" spans="1:8" s="1" customFormat="1" ht="15.5" thickBot="1" x14ac:dyDescent="0.45">
      <c r="A7" s="521" t="s">
        <v>0</v>
      </c>
      <c r="B7" s="522"/>
      <c r="C7" s="517">
        <f>SUM(C4:D6)</f>
        <v>4156796.875</v>
      </c>
      <c r="D7" s="517"/>
      <c r="E7" s="68">
        <f>SUM(E4:E6)</f>
        <v>560.37769246031758</v>
      </c>
      <c r="F7" s="69">
        <f>SUM(F4:F6)</f>
        <v>554607.8125</v>
      </c>
    </row>
    <row r="8" spans="1:8" s="1" customFormat="1" ht="15" x14ac:dyDescent="0.4">
      <c r="A8" s="25"/>
      <c r="B8" s="33"/>
      <c r="C8" s="33"/>
    </row>
    <row r="9" spans="1:8" s="1" customFormat="1" ht="15" x14ac:dyDescent="0.4">
      <c r="A9" s="76"/>
      <c r="B9" s="76"/>
      <c r="C9" s="252"/>
      <c r="D9" s="252"/>
    </row>
    <row r="10" spans="1:8" s="1" customFormat="1" ht="15" x14ac:dyDescent="0.4">
      <c r="A10" s="250"/>
      <c r="B10" s="250"/>
      <c r="C10" s="252"/>
      <c r="D10" s="252"/>
    </row>
    <row r="11" spans="1:8" s="1" customFormat="1" ht="15" x14ac:dyDescent="0.4">
      <c r="A11" s="6"/>
      <c r="B11" s="6"/>
      <c r="C11" s="252"/>
      <c r="D11" s="252"/>
    </row>
    <row r="12" spans="1:8" s="1" customFormat="1" ht="15" x14ac:dyDescent="0.4">
      <c r="A12" s="6"/>
      <c r="B12" s="6"/>
      <c r="C12" s="252"/>
      <c r="D12" s="252"/>
    </row>
    <row r="13" spans="1:8" s="1" customFormat="1" ht="15" x14ac:dyDescent="0.4">
      <c r="A13" s="76"/>
      <c r="B13" s="76"/>
      <c r="C13" s="252"/>
      <c r="D13" s="252"/>
    </row>
    <row r="14" spans="1:8" s="1" customFormat="1" ht="15" x14ac:dyDescent="0.4">
      <c r="A14" s="2"/>
      <c r="B14" s="18"/>
    </row>
    <row r="15" spans="1:8" s="1" customFormat="1" ht="15" x14ac:dyDescent="0.4">
      <c r="A15" s="2"/>
      <c r="B15" s="18"/>
    </row>
    <row r="16" spans="1:8" s="1" customFormat="1" ht="15" x14ac:dyDescent="0.4">
      <c r="A16" s="300"/>
      <c r="B16" s="24"/>
    </row>
    <row r="17" s="1" customFormat="1" ht="15" x14ac:dyDescent="0.4"/>
    <row r="18" s="1" customFormat="1" ht="15" x14ac:dyDescent="0.4"/>
    <row r="19" s="1" customFormat="1" ht="15" x14ac:dyDescent="0.4"/>
    <row r="20" s="1" customFormat="1" ht="15" x14ac:dyDescent="0.4"/>
    <row r="21" s="1" customFormat="1" ht="15" x14ac:dyDescent="0.4"/>
    <row r="22" s="1" customFormat="1" ht="15" x14ac:dyDescent="0.4"/>
    <row r="23" s="1" customFormat="1" ht="15" x14ac:dyDescent="0.4"/>
    <row r="24" s="1" customFormat="1" ht="15" x14ac:dyDescent="0.4"/>
    <row r="25" s="1" customFormat="1" ht="15" x14ac:dyDescent="0.4"/>
    <row r="26" s="1" customFormat="1" ht="15" x14ac:dyDescent="0.4"/>
    <row r="27" s="1" customFormat="1" ht="15" x14ac:dyDescent="0.4"/>
    <row r="28" s="1" customFormat="1" ht="15" x14ac:dyDescent="0.4"/>
    <row r="29" s="1" customFormat="1" ht="15" x14ac:dyDescent="0.4"/>
    <row r="30" s="1" customFormat="1" ht="15" x14ac:dyDescent="0.4"/>
    <row r="31" s="1" customFormat="1" ht="15" x14ac:dyDescent="0.4"/>
    <row r="32" s="1" customFormat="1" ht="15" x14ac:dyDescent="0.4"/>
    <row r="33" spans="1:8" s="1" customFormat="1" ht="15" x14ac:dyDescent="0.4">
      <c r="A33" s="2" t="s">
        <v>3</v>
      </c>
      <c r="B33" s="6" t="s">
        <v>34</v>
      </c>
      <c r="C33" s="6"/>
      <c r="D33" s="6"/>
      <c r="E33" s="6"/>
      <c r="F33" s="6"/>
      <c r="G33" s="6"/>
      <c r="H33" s="6"/>
    </row>
    <row r="34" spans="1:8" s="1" customFormat="1" ht="15.5" thickBot="1" x14ac:dyDescent="0.45">
      <c r="A34" s="2" t="s">
        <v>38</v>
      </c>
      <c r="B34" s="6" t="s">
        <v>39</v>
      </c>
      <c r="C34" s="6"/>
      <c r="D34" s="6"/>
      <c r="E34" s="6"/>
      <c r="F34" s="6"/>
      <c r="G34" s="6"/>
      <c r="H34" s="6"/>
    </row>
    <row r="35" spans="1:8" s="1" customFormat="1" ht="15" x14ac:dyDescent="0.4">
      <c r="A35" s="116" t="s">
        <v>177</v>
      </c>
      <c r="B35" s="117">
        <f>(B42*B43*B44)/'Conv. Fact.'!$D$8</f>
        <v>2187.5</v>
      </c>
      <c r="C35" s="118" t="s">
        <v>178</v>
      </c>
    </row>
    <row r="36" spans="1:8" s="1" customFormat="1" ht="30.5" thickBot="1" x14ac:dyDescent="0.45">
      <c r="A36" s="119" t="s">
        <v>30</v>
      </c>
      <c r="B36" s="120">
        <f>(B42*B44*B45*'Conv. Fact.'!B113*B43)/'Conv. Fact.'!D8</f>
        <v>2734375</v>
      </c>
      <c r="C36" s="121" t="s">
        <v>13</v>
      </c>
    </row>
    <row r="37" spans="1:8" s="1" customFormat="1" ht="30.5" thickBot="1" x14ac:dyDescent="0.45">
      <c r="A37" s="124" t="s">
        <v>25</v>
      </c>
      <c r="B37" s="125">
        <f>B36*B49</f>
        <v>368.6210317460318</v>
      </c>
      <c r="C37" s="126" t="s">
        <v>170</v>
      </c>
    </row>
    <row r="38" spans="1:8" s="1" customFormat="1" ht="30.5" thickBot="1" x14ac:dyDescent="0.45">
      <c r="A38" s="239" t="s">
        <v>179</v>
      </c>
      <c r="B38" s="128">
        <f>B36*B50</f>
        <v>355468.75</v>
      </c>
      <c r="C38" s="129"/>
    </row>
    <row r="39" spans="1:8" s="1" customFormat="1" ht="15.5" thickBot="1" x14ac:dyDescent="0.45">
      <c r="A39" s="240" t="s">
        <v>328</v>
      </c>
      <c r="B39" s="123">
        <f>(2339*B35)+31350</f>
        <v>5147912.5</v>
      </c>
      <c r="C39" s="241"/>
    </row>
    <row r="40" spans="1:8" s="1" customFormat="1" ht="15.5" thickBot="1" x14ac:dyDescent="0.45">
      <c r="A40" s="127" t="s">
        <v>327</v>
      </c>
      <c r="B40" s="130">
        <f>(1387.3*B35)+21945</f>
        <v>3056663.75</v>
      </c>
      <c r="C40" s="131"/>
      <c r="F40" s="17"/>
    </row>
    <row r="41" spans="1:8" s="1" customFormat="1" ht="15" x14ac:dyDescent="0.4">
      <c r="A41" s="523" t="s">
        <v>243</v>
      </c>
      <c r="B41" s="523"/>
      <c r="C41" s="523"/>
    </row>
    <row r="42" spans="1:8" s="1" customFormat="1" ht="17.5" x14ac:dyDescent="0.4">
      <c r="A42" s="200" t="s">
        <v>239</v>
      </c>
      <c r="B42" s="209">
        <v>125000</v>
      </c>
      <c r="C42" s="213" t="s">
        <v>8</v>
      </c>
    </row>
    <row r="43" spans="1:8" s="1" customFormat="1" ht="17.5" x14ac:dyDescent="0.4">
      <c r="A43" s="200" t="s">
        <v>244</v>
      </c>
      <c r="B43" s="210">
        <v>1</v>
      </c>
      <c r="C43" s="4"/>
    </row>
    <row r="44" spans="1:8" s="1" customFormat="1" ht="17.5" x14ac:dyDescent="0.4">
      <c r="A44" s="199" t="s">
        <v>245</v>
      </c>
      <c r="B44" s="211">
        <f>'Conv. Fact.'!A34</f>
        <v>17.5</v>
      </c>
      <c r="C44" s="4" t="s">
        <v>148</v>
      </c>
    </row>
    <row r="45" spans="1:8" s="1" customFormat="1" ht="17.5" x14ac:dyDescent="0.4">
      <c r="A45" s="199" t="s">
        <v>246</v>
      </c>
      <c r="B45" s="45">
        <f>'Conv. Fact.'!A35</f>
        <v>3.4246575342465753</v>
      </c>
      <c r="C45" s="4" t="s">
        <v>151</v>
      </c>
    </row>
    <row r="46" spans="1:8" s="1" customFormat="1" ht="17" x14ac:dyDescent="0.5">
      <c r="A46" s="481" t="s">
        <v>45</v>
      </c>
      <c r="B46" s="4">
        <f>'Conv. Fact.'!$D$2</f>
        <v>0.29470000000000002</v>
      </c>
      <c r="C46" s="4" t="s">
        <v>288</v>
      </c>
    </row>
    <row r="47" spans="1:8" s="1" customFormat="1" ht="17" x14ac:dyDescent="0.5">
      <c r="A47" s="515"/>
      <c r="B47" s="4">
        <f>'Conv. Fact.'!$D$19</f>
        <v>2.0999999999999999E-5</v>
      </c>
      <c r="C47" s="4" t="s">
        <v>289</v>
      </c>
    </row>
    <row r="48" spans="1:8" s="1" customFormat="1" ht="17" x14ac:dyDescent="0.5">
      <c r="A48" s="515"/>
      <c r="B48" s="4">
        <f>'Conv. Fact.'!$D$20</f>
        <v>3.0000000000000001E-6</v>
      </c>
      <c r="C48" s="4" t="s">
        <v>290</v>
      </c>
    </row>
    <row r="49" spans="1:8" s="1" customFormat="1" ht="17" x14ac:dyDescent="0.5">
      <c r="A49" s="516"/>
      <c r="B49" s="4">
        <f>(B46+(B47*'Conv. Fact.'!H4)+('Conv. Fact.'!H5*'3-Muni. Fac. Solar'!B48))/'Conv. Fact.'!$D$3</f>
        <v>1.3480997732426305E-4</v>
      </c>
      <c r="C49" s="4" t="s">
        <v>248</v>
      </c>
    </row>
    <row r="50" spans="1:8" s="1" customFormat="1" ht="15" x14ac:dyDescent="0.4">
      <c r="A50" s="199" t="s">
        <v>46</v>
      </c>
      <c r="B50" s="115">
        <f>'Conv. Fact.'!$D$16</f>
        <v>0.13</v>
      </c>
      <c r="C50" s="4" t="s">
        <v>15</v>
      </c>
    </row>
    <row r="51" spans="1:8" s="1" customFormat="1" ht="15" x14ac:dyDescent="0.4"/>
    <row r="52" spans="1:8" s="1" customFormat="1" ht="15" x14ac:dyDescent="0.4">
      <c r="D52" s="21"/>
      <c r="E52" s="1" t="s">
        <v>142</v>
      </c>
    </row>
    <row r="53" spans="1:8" s="1" customFormat="1" ht="15" customHeight="1" x14ac:dyDescent="0.4">
      <c r="D53" s="86"/>
      <c r="E53" s="28" t="s">
        <v>143</v>
      </c>
      <c r="F53" s="194"/>
      <c r="G53" s="194"/>
      <c r="H53" s="194"/>
    </row>
    <row r="54" spans="1:8" s="1" customFormat="1" ht="15" x14ac:dyDescent="0.4">
      <c r="E54" s="194"/>
      <c r="F54" s="194"/>
      <c r="G54" s="194"/>
      <c r="H54" s="194"/>
    </row>
    <row r="55" spans="1:8" s="1" customFormat="1" ht="15" x14ac:dyDescent="0.4"/>
    <row r="56" spans="1:8" s="1" customFormat="1" ht="15" x14ac:dyDescent="0.4"/>
    <row r="57" spans="1:8" s="1" customFormat="1" ht="15" x14ac:dyDescent="0.4"/>
    <row r="58" spans="1:8" s="1" customFormat="1" ht="15" x14ac:dyDescent="0.4"/>
    <row r="59" spans="1:8" s="1" customFormat="1" ht="15" x14ac:dyDescent="0.4"/>
    <row r="60" spans="1:8" s="1" customFormat="1" ht="15" x14ac:dyDescent="0.4"/>
    <row r="61" spans="1:8" s="1" customFormat="1" ht="15" x14ac:dyDescent="0.4"/>
    <row r="62" spans="1:8" s="1" customFormat="1" ht="15" x14ac:dyDescent="0.4">
      <c r="A62" s="2" t="s">
        <v>26</v>
      </c>
      <c r="B62" s="6" t="s">
        <v>36</v>
      </c>
      <c r="C62" s="6"/>
      <c r="D62" s="6"/>
      <c r="E62" s="6"/>
      <c r="F62" s="6"/>
      <c r="G62" s="6"/>
      <c r="H62" s="6"/>
    </row>
    <row r="63" spans="1:8" s="1" customFormat="1" ht="15.5" thickBot="1" x14ac:dyDescent="0.45">
      <c r="A63" s="2" t="s">
        <v>38</v>
      </c>
      <c r="B63" s="6" t="s">
        <v>40</v>
      </c>
      <c r="C63" s="6"/>
      <c r="D63" s="6"/>
      <c r="E63" s="6"/>
      <c r="F63" s="6"/>
      <c r="G63" s="6"/>
      <c r="H63" s="6"/>
    </row>
    <row r="64" spans="1:8" s="1" customFormat="1" ht="15" x14ac:dyDescent="0.4">
      <c r="A64" s="116" t="s">
        <v>177</v>
      </c>
      <c r="B64" s="117">
        <f>(B71*B72*B73)/'Conv. Fact.'!$D$8</f>
        <v>757.3125</v>
      </c>
      <c r="C64" s="118" t="s">
        <v>178</v>
      </c>
    </row>
    <row r="65" spans="1:8" s="1" customFormat="1" ht="30.5" thickBot="1" x14ac:dyDescent="0.45">
      <c r="A65" s="119" t="s">
        <v>30</v>
      </c>
      <c r="B65" s="120">
        <f>(B71*B73*B74*'Conv. Fact.'!B113*B72)/'Conv. Fact.'!D8</f>
        <v>946640.625</v>
      </c>
      <c r="C65" s="121" t="s">
        <v>13</v>
      </c>
    </row>
    <row r="66" spans="1:8" s="1" customFormat="1" ht="30.5" thickBot="1" x14ac:dyDescent="0.45">
      <c r="A66" s="39" t="s">
        <v>25</v>
      </c>
      <c r="B66" s="40">
        <f>B65*B78</f>
        <v>127.6166011904762</v>
      </c>
      <c r="C66" s="41" t="s">
        <v>170</v>
      </c>
    </row>
    <row r="67" spans="1:8" s="1" customFormat="1" ht="30.5" thickBot="1" x14ac:dyDescent="0.45">
      <c r="A67" s="122" t="s">
        <v>179</v>
      </c>
      <c r="B67" s="123">
        <f>B65*B79</f>
        <v>132529.6875</v>
      </c>
      <c r="C67" s="92"/>
    </row>
    <row r="68" spans="1:8" s="1" customFormat="1" ht="15.5" thickBot="1" x14ac:dyDescent="0.45">
      <c r="A68" s="240" t="s">
        <v>328</v>
      </c>
      <c r="B68" s="123">
        <f>(2339*B64)+31350</f>
        <v>1802703.9375</v>
      </c>
      <c r="C68" s="131"/>
    </row>
    <row r="69" spans="1:8" s="1" customFormat="1" ht="15.5" thickBot="1" x14ac:dyDescent="0.45">
      <c r="A69" s="127" t="s">
        <v>327</v>
      </c>
      <c r="B69" s="130">
        <f>(1387.3*B64)+21945</f>
        <v>1072564.6312499999</v>
      </c>
      <c r="C69" s="131"/>
    </row>
    <row r="70" spans="1:8" s="1" customFormat="1" ht="15" x14ac:dyDescent="0.4">
      <c r="A70" s="523" t="s">
        <v>243</v>
      </c>
      <c r="B70" s="523"/>
      <c r="C70" s="523"/>
    </row>
    <row r="71" spans="1:8" s="1" customFormat="1" ht="17.5" x14ac:dyDescent="0.4">
      <c r="A71" s="200" t="s">
        <v>239</v>
      </c>
      <c r="B71" s="212">
        <v>57700</v>
      </c>
      <c r="C71" s="213" t="s">
        <v>8</v>
      </c>
    </row>
    <row r="72" spans="1:8" s="1" customFormat="1" ht="17.5" x14ac:dyDescent="0.4">
      <c r="A72" s="200" t="s">
        <v>244</v>
      </c>
      <c r="B72" s="210">
        <v>0.75</v>
      </c>
      <c r="C72" s="4"/>
    </row>
    <row r="73" spans="1:8" s="1" customFormat="1" ht="17.5" x14ac:dyDescent="0.4">
      <c r="A73" s="199" t="s">
        <v>245</v>
      </c>
      <c r="B73" s="211">
        <f>'Conv. Fact.'!A34</f>
        <v>17.5</v>
      </c>
      <c r="C73" s="4" t="s">
        <v>148</v>
      </c>
    </row>
    <row r="74" spans="1:8" s="1" customFormat="1" ht="17.5" x14ac:dyDescent="0.4">
      <c r="A74" s="199" t="s">
        <v>246</v>
      </c>
      <c r="B74" s="45">
        <f>1250/365</f>
        <v>3.4246575342465753</v>
      </c>
      <c r="C74" s="4" t="s">
        <v>151</v>
      </c>
    </row>
    <row r="75" spans="1:8" s="1" customFormat="1" ht="17" x14ac:dyDescent="0.5">
      <c r="A75" s="481" t="s">
        <v>45</v>
      </c>
      <c r="B75" s="4">
        <f>'Conv. Fact.'!$D$2</f>
        <v>0.29470000000000002</v>
      </c>
      <c r="C75" s="4" t="s">
        <v>288</v>
      </c>
    </row>
    <row r="76" spans="1:8" s="1" customFormat="1" ht="17" x14ac:dyDescent="0.5">
      <c r="A76" s="515"/>
      <c r="B76" s="4">
        <f>'Conv. Fact.'!$D$19</f>
        <v>2.0999999999999999E-5</v>
      </c>
      <c r="C76" s="4" t="s">
        <v>289</v>
      </c>
    </row>
    <row r="77" spans="1:8" s="1" customFormat="1" ht="17" x14ac:dyDescent="0.5">
      <c r="A77" s="515"/>
      <c r="B77" s="4">
        <f>'Conv. Fact.'!$D$20</f>
        <v>3.0000000000000001E-6</v>
      </c>
      <c r="C77" s="4" t="s">
        <v>290</v>
      </c>
    </row>
    <row r="78" spans="1:8" s="1" customFormat="1" ht="17" x14ac:dyDescent="0.5">
      <c r="A78" s="516"/>
      <c r="B78" s="4">
        <f>(B75+(B76*'Conv. Fact.'!$H$4)+('Conv. Fact.'!$H$5*'3-Muni. Fac. Solar'!B77))/'Conv. Fact.'!$D$3</f>
        <v>1.3480997732426305E-4</v>
      </c>
      <c r="C78" s="4" t="s">
        <v>248</v>
      </c>
    </row>
    <row r="79" spans="1:8" s="1" customFormat="1" ht="15" x14ac:dyDescent="0.4">
      <c r="A79" s="199" t="s">
        <v>46</v>
      </c>
      <c r="B79" s="115">
        <f>'Conv. Fact.'!$D$15</f>
        <v>0.14000000000000001</v>
      </c>
      <c r="C79" s="4" t="s">
        <v>15</v>
      </c>
    </row>
    <row r="80" spans="1:8" s="1" customFormat="1" ht="15" x14ac:dyDescent="0.4">
      <c r="A80" s="2"/>
      <c r="B80" s="6"/>
      <c r="C80" s="6"/>
      <c r="D80" s="6"/>
      <c r="E80" s="6"/>
      <c r="F80" s="6"/>
      <c r="G80" s="6"/>
      <c r="H80" s="6"/>
    </row>
    <row r="81" spans="1:8" s="1" customFormat="1" ht="15" x14ac:dyDescent="0.4">
      <c r="D81" s="21"/>
      <c r="E81" s="1" t="s">
        <v>142</v>
      </c>
    </row>
    <row r="82" spans="1:8" s="1" customFormat="1" ht="15" x14ac:dyDescent="0.4">
      <c r="D82" s="86"/>
      <c r="E82" s="28" t="s">
        <v>143</v>
      </c>
    </row>
    <row r="83" spans="1:8" s="1" customFormat="1" ht="15" x14ac:dyDescent="0.4"/>
    <row r="84" spans="1:8" s="1" customFormat="1" ht="15" x14ac:dyDescent="0.4"/>
    <row r="85" spans="1:8" s="1" customFormat="1" ht="15" x14ac:dyDescent="0.4"/>
    <row r="86" spans="1:8" s="1" customFormat="1" ht="15" x14ac:dyDescent="0.4"/>
    <row r="87" spans="1:8" s="1" customFormat="1" ht="15" x14ac:dyDescent="0.4"/>
    <row r="88" spans="1:8" s="1" customFormat="1" ht="15" x14ac:dyDescent="0.4"/>
    <row r="89" spans="1:8" s="1" customFormat="1" ht="15" x14ac:dyDescent="0.4"/>
    <row r="90" spans="1:8" s="1" customFormat="1" ht="15" x14ac:dyDescent="0.4">
      <c r="A90" s="25"/>
      <c r="B90" s="24"/>
      <c r="E90" s="29"/>
      <c r="F90" s="26"/>
      <c r="G90" s="27"/>
    </row>
    <row r="91" spans="1:8" s="1" customFormat="1" ht="15" x14ac:dyDescent="0.4">
      <c r="A91" s="2" t="s">
        <v>27</v>
      </c>
      <c r="B91" s="6" t="s">
        <v>37</v>
      </c>
      <c r="C91" s="6"/>
      <c r="D91" s="6"/>
      <c r="E91" s="6"/>
      <c r="F91" s="6"/>
      <c r="G91" s="6"/>
      <c r="H91" s="6"/>
    </row>
    <row r="92" spans="1:8" s="1" customFormat="1" ht="15.5" thickBot="1" x14ac:dyDescent="0.45">
      <c r="A92" s="2" t="s">
        <v>38</v>
      </c>
      <c r="B92" s="6" t="s">
        <v>41</v>
      </c>
      <c r="C92" s="6"/>
      <c r="D92" s="6"/>
      <c r="E92" s="6"/>
      <c r="F92" s="6"/>
      <c r="G92" s="6"/>
      <c r="H92" s="6"/>
    </row>
    <row r="93" spans="1:8" s="1" customFormat="1" ht="15" x14ac:dyDescent="0.4">
      <c r="A93" s="116" t="s">
        <v>177</v>
      </c>
      <c r="B93" s="117">
        <f>(B100*B101*B102)/'Conv. Fact.'!$D$8</f>
        <v>380.625</v>
      </c>
      <c r="C93" s="118" t="s">
        <v>178</v>
      </c>
    </row>
    <row r="94" spans="1:8" s="1" customFormat="1" ht="30.5" thickBot="1" x14ac:dyDescent="0.45">
      <c r="A94" s="119" t="s">
        <v>30</v>
      </c>
      <c r="B94" s="120">
        <f>(B100*B102*B103*'Conv. Fact.'!B113*B101)/'Conv. Fact.'!D8</f>
        <v>475781.25</v>
      </c>
      <c r="C94" s="121" t="s">
        <v>13</v>
      </c>
    </row>
    <row r="95" spans="1:8" s="1" customFormat="1" ht="30.5" thickBot="1" x14ac:dyDescent="0.45">
      <c r="A95" s="39" t="s">
        <v>25</v>
      </c>
      <c r="B95" s="40">
        <f>B94*B107</f>
        <v>64.140059523809526</v>
      </c>
      <c r="C95" s="41" t="s">
        <v>170</v>
      </c>
    </row>
    <row r="96" spans="1:8" s="1" customFormat="1" ht="30.5" thickBot="1" x14ac:dyDescent="0.45">
      <c r="A96" s="122" t="s">
        <v>179</v>
      </c>
      <c r="B96" s="123">
        <f>B94*B108</f>
        <v>66609.375</v>
      </c>
      <c r="C96" s="92"/>
    </row>
    <row r="97" spans="1:5" s="1" customFormat="1" ht="15.5" thickBot="1" x14ac:dyDescent="0.45">
      <c r="A97" s="240" t="s">
        <v>328</v>
      </c>
      <c r="B97" s="123">
        <f>(2339*B93)+31350</f>
        <v>921631.875</v>
      </c>
      <c r="C97" s="131"/>
    </row>
    <row r="98" spans="1:5" s="1" customFormat="1" ht="15.5" thickBot="1" x14ac:dyDescent="0.45">
      <c r="A98" s="127" t="s">
        <v>327</v>
      </c>
      <c r="B98" s="130">
        <f>(1387.3*B93)+21945</f>
        <v>549986.0625</v>
      </c>
      <c r="C98" s="131"/>
    </row>
    <row r="99" spans="1:5" s="1" customFormat="1" ht="15" x14ac:dyDescent="0.4">
      <c r="A99" s="523" t="s">
        <v>243</v>
      </c>
      <c r="B99" s="523"/>
      <c r="C99" s="523"/>
    </row>
    <row r="100" spans="1:5" s="1" customFormat="1" ht="17.5" x14ac:dyDescent="0.4">
      <c r="A100" s="200" t="s">
        <v>239</v>
      </c>
      <c r="B100" s="214">
        <v>29000</v>
      </c>
      <c r="C100" s="213" t="s">
        <v>8</v>
      </c>
    </row>
    <row r="101" spans="1:5" s="1" customFormat="1" ht="17.5" x14ac:dyDescent="0.4">
      <c r="A101" s="200" t="s">
        <v>244</v>
      </c>
      <c r="B101" s="210">
        <v>0.75</v>
      </c>
      <c r="C101" s="4"/>
    </row>
    <row r="102" spans="1:5" s="1" customFormat="1" ht="17.5" x14ac:dyDescent="0.4">
      <c r="A102" s="199" t="s">
        <v>245</v>
      </c>
      <c r="B102" s="211">
        <f>'Conv. Fact.'!A34</f>
        <v>17.5</v>
      </c>
      <c r="C102" s="4" t="s">
        <v>148</v>
      </c>
    </row>
    <row r="103" spans="1:5" s="1" customFormat="1" ht="17.5" x14ac:dyDescent="0.4">
      <c r="A103" s="199" t="s">
        <v>246</v>
      </c>
      <c r="B103" s="45">
        <f>1250/365</f>
        <v>3.4246575342465753</v>
      </c>
      <c r="C103" s="4" t="s">
        <v>151</v>
      </c>
    </row>
    <row r="104" spans="1:5" s="1" customFormat="1" ht="17" x14ac:dyDescent="0.5">
      <c r="A104" s="481" t="s">
        <v>45</v>
      </c>
      <c r="B104" s="4">
        <f>'Conv. Fact.'!$D$2</f>
        <v>0.29470000000000002</v>
      </c>
      <c r="C104" s="4" t="s">
        <v>288</v>
      </c>
    </row>
    <row r="105" spans="1:5" s="1" customFormat="1" ht="17" x14ac:dyDescent="0.5">
      <c r="A105" s="515"/>
      <c r="B105" s="4">
        <f>'Conv. Fact.'!$D$19</f>
        <v>2.0999999999999999E-5</v>
      </c>
      <c r="C105" s="4" t="s">
        <v>289</v>
      </c>
    </row>
    <row r="106" spans="1:5" s="1" customFormat="1" ht="17" x14ac:dyDescent="0.5">
      <c r="A106" s="515"/>
      <c r="B106" s="4">
        <f>'Conv. Fact.'!$D$20</f>
        <v>3.0000000000000001E-6</v>
      </c>
      <c r="C106" s="4" t="s">
        <v>290</v>
      </c>
    </row>
    <row r="107" spans="1:5" s="1" customFormat="1" ht="17" x14ac:dyDescent="0.5">
      <c r="A107" s="516"/>
      <c r="B107" s="4">
        <f>(B104+(B105*'Conv. Fact.'!$H$4)+('Conv. Fact.'!$H$5*'3-Muni. Fac. Solar'!B106))/'Conv. Fact.'!$D$3</f>
        <v>1.3480997732426305E-4</v>
      </c>
      <c r="C107" s="4" t="s">
        <v>248</v>
      </c>
    </row>
    <row r="108" spans="1:5" s="1" customFormat="1" ht="15" x14ac:dyDescent="0.4">
      <c r="A108" s="199" t="s">
        <v>46</v>
      </c>
      <c r="B108" s="115">
        <f>'Conv. Fact.'!$D$15</f>
        <v>0.14000000000000001</v>
      </c>
      <c r="C108" s="4" t="s">
        <v>15</v>
      </c>
    </row>
    <row r="109" spans="1:5" s="1" customFormat="1" ht="15" x14ac:dyDescent="0.4"/>
    <row r="110" spans="1:5" s="1" customFormat="1" ht="15" x14ac:dyDescent="0.4">
      <c r="D110" s="21"/>
      <c r="E110" s="1" t="s">
        <v>142</v>
      </c>
    </row>
    <row r="111" spans="1:5" s="1" customFormat="1" ht="15" x14ac:dyDescent="0.4">
      <c r="D111" s="86"/>
      <c r="E111" s="28" t="s">
        <v>143</v>
      </c>
    </row>
    <row r="112" spans="1:5" s="1" customFormat="1" ht="15" x14ac:dyDescent="0.4"/>
    <row r="113" spans="1:8" s="1" customFormat="1" ht="15" x14ac:dyDescent="0.4"/>
    <row r="114" spans="1:8" s="1" customFormat="1" ht="15" x14ac:dyDescent="0.4"/>
    <row r="115" spans="1:8" s="1" customFormat="1" ht="15" x14ac:dyDescent="0.4"/>
    <row r="116" spans="1:8" s="1" customFormat="1" ht="15" x14ac:dyDescent="0.4"/>
    <row r="117" spans="1:8" s="281" customFormat="1" ht="15" x14ac:dyDescent="0.4"/>
    <row r="118" spans="1:8" s="281" customFormat="1" ht="15" x14ac:dyDescent="0.4"/>
    <row r="119" spans="1:8" s="281" customFormat="1" ht="15" x14ac:dyDescent="0.4"/>
    <row r="120" spans="1:8" s="281" customFormat="1" ht="15" x14ac:dyDescent="0.4">
      <c r="A120" s="282"/>
      <c r="B120" s="283"/>
      <c r="C120" s="283"/>
      <c r="D120" s="283"/>
      <c r="E120" s="283"/>
      <c r="F120" s="283"/>
      <c r="G120" s="283"/>
      <c r="H120" s="283"/>
    </row>
    <row r="121" spans="1:8" s="281" customFormat="1" ht="15" x14ac:dyDescent="0.4">
      <c r="A121" s="282"/>
      <c r="B121" s="283"/>
      <c r="C121" s="283"/>
      <c r="D121" s="283"/>
      <c r="E121" s="283"/>
      <c r="F121" s="283"/>
      <c r="G121" s="283"/>
      <c r="H121" s="283"/>
    </row>
    <row r="122" spans="1:8" s="281" customFormat="1" ht="15" x14ac:dyDescent="0.4">
      <c r="A122" s="284"/>
      <c r="B122" s="285"/>
      <c r="C122" s="286"/>
    </row>
    <row r="123" spans="1:8" s="281" customFormat="1" ht="15" x14ac:dyDescent="0.4">
      <c r="A123" s="284"/>
      <c r="B123" s="285"/>
      <c r="C123" s="286"/>
    </row>
    <row r="124" spans="1:8" s="281" customFormat="1" ht="15" x14ac:dyDescent="0.4">
      <c r="A124" s="284"/>
      <c r="B124" s="287"/>
      <c r="C124" s="286"/>
    </row>
    <row r="125" spans="1:8" s="281" customFormat="1" ht="15" x14ac:dyDescent="0.4">
      <c r="A125" s="288"/>
      <c r="B125" s="289"/>
      <c r="C125" s="290"/>
    </row>
    <row r="126" spans="1:8" s="281" customFormat="1" ht="15" x14ac:dyDescent="0.4">
      <c r="A126" s="291"/>
      <c r="B126" s="289"/>
      <c r="C126" s="289"/>
    </row>
    <row r="127" spans="1:8" s="281" customFormat="1" ht="15" x14ac:dyDescent="0.4">
      <c r="A127" s="291"/>
      <c r="B127" s="289"/>
      <c r="C127" s="289"/>
    </row>
    <row r="128" spans="1:8" s="281" customFormat="1" ht="15" x14ac:dyDescent="0.4">
      <c r="A128" s="298"/>
      <c r="B128" s="298"/>
      <c r="C128" s="298"/>
    </row>
    <row r="129" spans="1:5" s="281" customFormat="1" ht="15" x14ac:dyDescent="0.4">
      <c r="A129" s="292"/>
      <c r="B129" s="293"/>
      <c r="C129" s="294"/>
    </row>
    <row r="130" spans="1:5" s="281" customFormat="1" ht="15" x14ac:dyDescent="0.4">
      <c r="A130" s="292"/>
      <c r="B130" s="295"/>
    </row>
    <row r="131" spans="1:5" s="281" customFormat="1" ht="15" x14ac:dyDescent="0.4">
      <c r="A131" s="282"/>
      <c r="B131" s="296"/>
    </row>
    <row r="132" spans="1:5" s="281" customFormat="1" ht="15" x14ac:dyDescent="0.4">
      <c r="A132" s="282"/>
      <c r="B132" s="296"/>
    </row>
    <row r="133" spans="1:5" s="281" customFormat="1" ht="15" x14ac:dyDescent="0.4">
      <c r="A133" s="299"/>
    </row>
    <row r="134" spans="1:5" s="281" customFormat="1" ht="15" x14ac:dyDescent="0.4">
      <c r="A134" s="299"/>
    </row>
    <row r="135" spans="1:5" s="281" customFormat="1" ht="15" x14ac:dyDescent="0.4">
      <c r="A135" s="299"/>
    </row>
    <row r="136" spans="1:5" s="281" customFormat="1" ht="15" x14ac:dyDescent="0.4">
      <c r="A136" s="299"/>
    </row>
    <row r="137" spans="1:5" s="281" customFormat="1" ht="15" x14ac:dyDescent="0.4">
      <c r="A137" s="282"/>
      <c r="B137" s="258"/>
    </row>
    <row r="138" spans="1:5" s="281" customFormat="1" ht="15" x14ac:dyDescent="0.4"/>
    <row r="139" spans="1:5" s="281" customFormat="1" ht="15" x14ac:dyDescent="0.4"/>
    <row r="140" spans="1:5" s="281" customFormat="1" ht="15" x14ac:dyDescent="0.4">
      <c r="E140" s="294"/>
    </row>
    <row r="141" spans="1:5" s="281" customFormat="1" ht="15" x14ac:dyDescent="0.4"/>
    <row r="142" spans="1:5" s="1" customFormat="1" ht="15" x14ac:dyDescent="0.4"/>
    <row r="143" spans="1:5" s="1" customFormat="1" ht="15" x14ac:dyDescent="0.4"/>
    <row r="144" spans="1:5" s="1" customFormat="1" ht="15" x14ac:dyDescent="0.4"/>
    <row r="145" spans="1:8" s="1" customFormat="1" ht="15" x14ac:dyDescent="0.4"/>
    <row r="146" spans="1:8" s="1" customFormat="1" ht="15" x14ac:dyDescent="0.4"/>
    <row r="147" spans="1:8" s="1" customFormat="1" ht="15" x14ac:dyDescent="0.4"/>
    <row r="148" spans="1:8" s="1" customFormat="1" ht="15" x14ac:dyDescent="0.4"/>
    <row r="149" spans="1:8" s="281" customFormat="1" ht="15" x14ac:dyDescent="0.4">
      <c r="A149" s="282"/>
      <c r="B149" s="283"/>
      <c r="C149" s="283"/>
      <c r="D149" s="283"/>
      <c r="E149" s="283"/>
      <c r="F149" s="283"/>
      <c r="G149" s="283"/>
      <c r="H149" s="283"/>
    </row>
    <row r="150" spans="1:8" s="281" customFormat="1" ht="15" x14ac:dyDescent="0.4">
      <c r="A150" s="282"/>
      <c r="B150" s="283"/>
      <c r="C150" s="283"/>
      <c r="D150" s="283"/>
      <c r="E150" s="283"/>
      <c r="F150" s="283"/>
      <c r="G150" s="283"/>
      <c r="H150" s="283"/>
    </row>
    <row r="151" spans="1:8" s="281" customFormat="1" ht="15" x14ac:dyDescent="0.4">
      <c r="A151" s="284"/>
      <c r="B151" s="285"/>
      <c r="C151" s="286"/>
    </row>
    <row r="152" spans="1:8" s="281" customFormat="1" ht="15" x14ac:dyDescent="0.4">
      <c r="A152" s="284"/>
      <c r="B152" s="285"/>
      <c r="C152" s="286"/>
    </row>
    <row r="153" spans="1:8" s="281" customFormat="1" ht="15" x14ac:dyDescent="0.4">
      <c r="A153" s="284"/>
      <c r="B153" s="287"/>
      <c r="C153" s="286"/>
    </row>
    <row r="154" spans="1:8" s="281" customFormat="1" ht="15" x14ac:dyDescent="0.4">
      <c r="A154" s="297"/>
      <c r="B154" s="290"/>
      <c r="C154" s="290"/>
    </row>
    <row r="155" spans="1:8" s="281" customFormat="1" ht="15" x14ac:dyDescent="0.4">
      <c r="A155" s="291"/>
      <c r="B155" s="289"/>
      <c r="C155" s="289"/>
    </row>
    <row r="156" spans="1:8" s="281" customFormat="1" ht="15" x14ac:dyDescent="0.4">
      <c r="A156" s="291"/>
      <c r="B156" s="289"/>
      <c r="C156" s="289"/>
    </row>
    <row r="157" spans="1:8" s="281" customFormat="1" ht="15" x14ac:dyDescent="0.4">
      <c r="A157" s="298"/>
      <c r="B157" s="298"/>
      <c r="C157" s="298"/>
    </row>
    <row r="158" spans="1:8" s="281" customFormat="1" ht="15" x14ac:dyDescent="0.4">
      <c r="A158" s="292"/>
      <c r="B158" s="293"/>
      <c r="C158" s="294"/>
    </row>
    <row r="159" spans="1:8" s="281" customFormat="1" ht="15" x14ac:dyDescent="0.4">
      <c r="A159" s="292"/>
      <c r="B159" s="295"/>
    </row>
    <row r="160" spans="1:8" s="281" customFormat="1" ht="15" x14ac:dyDescent="0.4">
      <c r="A160" s="282"/>
      <c r="B160" s="296"/>
    </row>
    <row r="161" spans="1:5" s="281" customFormat="1" ht="15" x14ac:dyDescent="0.4">
      <c r="A161" s="282"/>
      <c r="B161" s="296"/>
    </row>
    <row r="162" spans="1:5" s="281" customFormat="1" ht="15" x14ac:dyDescent="0.4">
      <c r="A162" s="299"/>
    </row>
    <row r="163" spans="1:5" s="281" customFormat="1" ht="15" x14ac:dyDescent="0.4">
      <c r="A163" s="299"/>
    </row>
    <row r="164" spans="1:5" s="281" customFormat="1" ht="15" x14ac:dyDescent="0.4">
      <c r="A164" s="299"/>
    </row>
    <row r="165" spans="1:5" s="281" customFormat="1" ht="15" x14ac:dyDescent="0.4">
      <c r="A165" s="299"/>
    </row>
    <row r="166" spans="1:5" s="281" customFormat="1" ht="15" x14ac:dyDescent="0.4">
      <c r="A166" s="282"/>
      <c r="B166" s="258"/>
    </row>
    <row r="167" spans="1:5" s="281" customFormat="1" ht="15" x14ac:dyDescent="0.4"/>
    <row r="168" spans="1:5" s="281" customFormat="1" ht="15" x14ac:dyDescent="0.4"/>
    <row r="169" spans="1:5" s="281" customFormat="1" ht="15" x14ac:dyDescent="0.4">
      <c r="E169" s="294"/>
    </row>
    <row r="170" spans="1:5" s="281" customFormat="1" ht="15" x14ac:dyDescent="0.4"/>
    <row r="171" spans="1:5" s="281" customFormat="1" ht="15" x14ac:dyDescent="0.4"/>
    <row r="172" spans="1:5" s="281" customFormat="1" ht="15" x14ac:dyDescent="0.4"/>
    <row r="173" spans="1:5" s="281" customFormat="1" ht="15" x14ac:dyDescent="0.4"/>
    <row r="174" spans="1:5" s="1" customFormat="1" ht="15" x14ac:dyDescent="0.4"/>
    <row r="175" spans="1:5" s="1" customFormat="1" ht="15" x14ac:dyDescent="0.4"/>
    <row r="176" spans="1:5" s="1" customFormat="1" ht="15" x14ac:dyDescent="0.4"/>
    <row r="177" s="1" customFormat="1" ht="15" x14ac:dyDescent="0.4"/>
    <row r="178" s="1" customFormat="1" ht="15" x14ac:dyDescent="0.4"/>
    <row r="179" s="1" customFormat="1" ht="15" x14ac:dyDescent="0.4"/>
    <row r="180" s="1" customFormat="1" ht="15" x14ac:dyDescent="0.4"/>
    <row r="181" s="1" customFormat="1" ht="15" x14ac:dyDescent="0.4"/>
    <row r="182" s="1" customFormat="1" ht="15" x14ac:dyDescent="0.4"/>
    <row r="183" s="1" customFormat="1" ht="15" x14ac:dyDescent="0.4"/>
    <row r="184" s="1" customFormat="1" ht="15" x14ac:dyDescent="0.4"/>
    <row r="185" s="1" customFormat="1" ht="15" x14ac:dyDescent="0.4"/>
    <row r="186" s="1" customFormat="1" ht="15" x14ac:dyDescent="0.4"/>
    <row r="187" s="1" customFormat="1" ht="15" x14ac:dyDescent="0.4"/>
    <row r="188" s="1" customFormat="1" ht="15" x14ac:dyDescent="0.4"/>
    <row r="189" s="1" customFormat="1" ht="15" x14ac:dyDescent="0.4"/>
    <row r="190" s="1" customFormat="1" ht="15" x14ac:dyDescent="0.4"/>
    <row r="191" s="1" customFormat="1" ht="15" x14ac:dyDescent="0.4"/>
    <row r="192" s="1" customFormat="1" ht="15" x14ac:dyDescent="0.4"/>
    <row r="193" s="1" customFormat="1" ht="15" x14ac:dyDescent="0.4"/>
    <row r="194" s="1" customFormat="1" ht="15" x14ac:dyDescent="0.4"/>
    <row r="195" s="1" customFormat="1" ht="15" x14ac:dyDescent="0.4"/>
    <row r="196" s="1" customFormat="1" ht="15" x14ac:dyDescent="0.4"/>
    <row r="197" s="1" customFormat="1" ht="15" x14ac:dyDescent="0.4"/>
    <row r="198" s="1" customFormat="1" ht="15" x14ac:dyDescent="0.4"/>
    <row r="199" s="1" customFormat="1" ht="15" x14ac:dyDescent="0.4"/>
    <row r="200" s="1" customFormat="1" ht="15" x14ac:dyDescent="0.4"/>
    <row r="201" s="1" customFormat="1" ht="15" x14ac:dyDescent="0.4"/>
    <row r="202" s="1" customFormat="1" ht="15" x14ac:dyDescent="0.4"/>
    <row r="203" s="1" customFormat="1" ht="15" x14ac:dyDescent="0.4"/>
    <row r="204" s="1" customFormat="1" ht="15" x14ac:dyDescent="0.4"/>
    <row r="205" s="1" customFormat="1" ht="15" x14ac:dyDescent="0.4"/>
    <row r="206" s="1" customFormat="1" ht="15" x14ac:dyDescent="0.4"/>
    <row r="207" s="1" customFormat="1" ht="15" x14ac:dyDescent="0.4"/>
    <row r="208" s="1" customFormat="1" ht="15" x14ac:dyDescent="0.4"/>
    <row r="209" s="1" customFormat="1" ht="15" x14ac:dyDescent="0.4"/>
    <row r="210" s="1" customFormat="1" ht="15" x14ac:dyDescent="0.4"/>
    <row r="211" s="1" customFormat="1" ht="15" x14ac:dyDescent="0.4"/>
    <row r="212" s="1" customFormat="1" ht="15" x14ac:dyDescent="0.4"/>
    <row r="213" s="1" customFormat="1" ht="15" x14ac:dyDescent="0.4"/>
    <row r="214" s="1" customFormat="1" ht="15" x14ac:dyDescent="0.4"/>
    <row r="215" s="1" customFormat="1" ht="15" x14ac:dyDescent="0.4"/>
    <row r="216" s="1" customFormat="1" ht="15" x14ac:dyDescent="0.4"/>
    <row r="217" s="1" customFormat="1" ht="15" x14ac:dyDescent="0.4"/>
    <row r="218" s="1" customFormat="1" ht="15" x14ac:dyDescent="0.4"/>
    <row r="219" s="1" customFormat="1" ht="15" x14ac:dyDescent="0.4"/>
    <row r="220" s="1" customFormat="1" ht="15" x14ac:dyDescent="0.4"/>
    <row r="221" s="1" customFormat="1" ht="15" x14ac:dyDescent="0.4"/>
    <row r="222" s="1" customFormat="1" ht="15" x14ac:dyDescent="0.4"/>
    <row r="223" s="1" customFormat="1" ht="15" x14ac:dyDescent="0.4"/>
    <row r="224" s="1" customFormat="1" ht="15" x14ac:dyDescent="0.4"/>
    <row r="225" s="1" customFormat="1" ht="15" x14ac:dyDescent="0.4"/>
    <row r="226" s="1" customFormat="1" ht="15" x14ac:dyDescent="0.4"/>
    <row r="227" s="1" customFormat="1" ht="15" x14ac:dyDescent="0.4"/>
    <row r="228" s="1" customFormat="1" ht="15" x14ac:dyDescent="0.4"/>
    <row r="229" s="1" customFormat="1" ht="15" x14ac:dyDescent="0.4"/>
    <row r="230" s="1" customFormat="1" ht="15" x14ac:dyDescent="0.4"/>
    <row r="231" s="1" customFormat="1" ht="15" x14ac:dyDescent="0.4"/>
    <row r="232" s="1" customFormat="1" ht="15" x14ac:dyDescent="0.4"/>
    <row r="233" s="1" customFormat="1" ht="15" x14ac:dyDescent="0.4"/>
    <row r="234" s="1" customFormat="1" ht="15" x14ac:dyDescent="0.4"/>
    <row r="235" s="1" customFormat="1" ht="15" x14ac:dyDescent="0.4"/>
    <row r="236" s="1" customFormat="1" ht="15" x14ac:dyDescent="0.4"/>
    <row r="237" s="1" customFormat="1" ht="15" x14ac:dyDescent="0.4"/>
    <row r="238" s="1" customFormat="1" ht="15" x14ac:dyDescent="0.4"/>
    <row r="239" s="1" customFormat="1" ht="15" x14ac:dyDescent="0.4"/>
    <row r="240" s="1" customFormat="1" ht="15" x14ac:dyDescent="0.4"/>
    <row r="241" s="1" customFormat="1" ht="15" x14ac:dyDescent="0.4"/>
    <row r="242" s="1" customFormat="1" ht="15" x14ac:dyDescent="0.4"/>
    <row r="243" s="1" customFormat="1" ht="15" x14ac:dyDescent="0.4"/>
    <row r="244" s="1" customFormat="1" ht="15" x14ac:dyDescent="0.4"/>
    <row r="245" s="1" customFormat="1" ht="15" x14ac:dyDescent="0.4"/>
    <row r="246" s="1" customFormat="1" ht="15" x14ac:dyDescent="0.4"/>
    <row r="247" s="1" customFormat="1" ht="15" x14ac:dyDescent="0.4"/>
    <row r="248" s="1" customFormat="1" ht="15" x14ac:dyDescent="0.4"/>
    <row r="249" s="1" customFormat="1" ht="15" x14ac:dyDescent="0.4"/>
    <row r="250" s="1" customFormat="1" ht="15" x14ac:dyDescent="0.4"/>
    <row r="251" s="1" customFormat="1" ht="15" x14ac:dyDescent="0.4"/>
    <row r="252" s="1" customFormat="1" ht="15" x14ac:dyDescent="0.4"/>
    <row r="253" s="1" customFormat="1" ht="15" x14ac:dyDescent="0.4"/>
    <row r="254" s="1" customFormat="1" ht="15" x14ac:dyDescent="0.4"/>
    <row r="255" s="1" customFormat="1" ht="15" x14ac:dyDescent="0.4"/>
    <row r="256" s="1" customFormat="1" ht="15" x14ac:dyDescent="0.4"/>
    <row r="257" s="1" customFormat="1" ht="15" x14ac:dyDescent="0.4"/>
    <row r="258" s="1" customFormat="1" ht="15" x14ac:dyDescent="0.4"/>
    <row r="259" s="1" customFormat="1" ht="15" x14ac:dyDescent="0.4"/>
    <row r="260" s="1" customFormat="1" ht="15" x14ac:dyDescent="0.4"/>
    <row r="261" s="1" customFormat="1" ht="15" x14ac:dyDescent="0.4"/>
    <row r="262" s="1" customFormat="1" ht="15" x14ac:dyDescent="0.4"/>
    <row r="263" s="1" customFormat="1" ht="15" x14ac:dyDescent="0.4"/>
    <row r="264" s="1" customFormat="1" ht="15" x14ac:dyDescent="0.4"/>
    <row r="265" s="1" customFormat="1" ht="15" x14ac:dyDescent="0.4"/>
    <row r="266" s="1" customFormat="1" ht="15" x14ac:dyDescent="0.4"/>
    <row r="267" s="1" customFormat="1" ht="15" x14ac:dyDescent="0.4"/>
    <row r="268" s="1" customFormat="1" ht="15" x14ac:dyDescent="0.4"/>
    <row r="269" s="1" customFormat="1" ht="15" x14ac:dyDescent="0.4"/>
    <row r="270" s="1" customFormat="1" ht="15" x14ac:dyDescent="0.4"/>
    <row r="271" s="1" customFormat="1" ht="15" x14ac:dyDescent="0.4"/>
  </sheetData>
  <mergeCells count="16">
    <mergeCell ref="A104:A107"/>
    <mergeCell ref="C7:D7"/>
    <mergeCell ref="C3:D3"/>
    <mergeCell ref="C4:D4"/>
    <mergeCell ref="C5:D5"/>
    <mergeCell ref="A3:B3"/>
    <mergeCell ref="A4:B4"/>
    <mergeCell ref="A5:B5"/>
    <mergeCell ref="C6:D6"/>
    <mergeCell ref="A6:B6"/>
    <mergeCell ref="A46:A49"/>
    <mergeCell ref="A7:B7"/>
    <mergeCell ref="A41:C41"/>
    <mergeCell ref="A70:C70"/>
    <mergeCell ref="A99:C99"/>
    <mergeCell ref="A75:A78"/>
  </mergeCells>
  <pageMargins left="0.7" right="0.7" top="0.75" bottom="0.75" header="0.3" footer="0.3"/>
  <pageSetup orientation="landscape" r:id="rId1"/>
  <headerFooter>
    <oddHeader>&amp;L&amp;"Franklin Gothic Book,Regular"City of Rochester
Climate Pollution Reduction Act Grant
&amp;R&amp;"Franklin Gothic Book,Italic"Program #3&amp;"Franklin Gothic Book,Regular": Municipal Rooftop Solar</oddHeader>
    <oddFooter>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2"/>
  <sheetViews>
    <sheetView view="pageLayout" zoomScaleNormal="100" workbookViewId="0">
      <selection activeCell="E109" sqref="E109"/>
    </sheetView>
  </sheetViews>
  <sheetFormatPr defaultRowHeight="14.5" x14ac:dyDescent="0.35"/>
  <cols>
    <col min="1" max="1" width="29.26953125" customWidth="1"/>
    <col min="2" max="2" width="17" customWidth="1"/>
    <col min="3" max="3" width="16.26953125" bestFit="1" customWidth="1"/>
    <col min="4" max="4" width="9.81640625" customWidth="1"/>
    <col min="5" max="5" width="22" customWidth="1"/>
    <col min="6" max="6" width="16.54296875" customWidth="1"/>
    <col min="7" max="7" width="10.7265625" customWidth="1"/>
  </cols>
  <sheetData>
    <row r="1" spans="1:6" s="1" customFormat="1" ht="31.15" customHeight="1" x14ac:dyDescent="0.4">
      <c r="C1" s="534" t="s">
        <v>257</v>
      </c>
      <c r="D1" s="535"/>
      <c r="E1" s="31" t="s">
        <v>171</v>
      </c>
      <c r="F1" s="31" t="s">
        <v>44</v>
      </c>
    </row>
    <row r="2" spans="1:6" s="1" customFormat="1" ht="15" x14ac:dyDescent="0.4">
      <c r="A2" s="472" t="s">
        <v>255</v>
      </c>
      <c r="B2" s="472"/>
      <c r="C2" s="519">
        <f>'4-Muni Upgrades'!B36</f>
        <v>794500</v>
      </c>
      <c r="D2" s="519"/>
      <c r="E2" s="35">
        <f>'4-Muni Upgrades'!B37</f>
        <v>117.069575</v>
      </c>
      <c r="F2" s="275">
        <f>C2*'Conv. Fact.'!$D$16</f>
        <v>103285</v>
      </c>
    </row>
    <row r="3" spans="1:6" s="1" customFormat="1" ht="15" x14ac:dyDescent="0.4">
      <c r="A3" s="378" t="s">
        <v>256</v>
      </c>
      <c r="B3" s="378"/>
      <c r="C3" s="519">
        <f>(-1)*C88</f>
        <v>-473772.50815898663</v>
      </c>
      <c r="D3" s="519"/>
      <c r="E3" s="55">
        <f>F68</f>
        <v>823.41305072843784</v>
      </c>
      <c r="F3" s="215">
        <f>(-1)*F73</f>
        <v>-37176.711234021459</v>
      </c>
    </row>
    <row r="4" spans="1:6" s="1" customFormat="1" ht="15.5" thickBot="1" x14ac:dyDescent="0.45">
      <c r="A4" s="539" t="s">
        <v>308</v>
      </c>
      <c r="B4" s="539"/>
      <c r="C4" s="536">
        <f>F100</f>
        <v>63423.360000000001</v>
      </c>
      <c r="D4" s="536"/>
      <c r="E4" s="304">
        <f>G100</f>
        <v>8.5501017234285719</v>
      </c>
      <c r="F4" s="305">
        <f>C4*'Conv. Fact.'!$D$16</f>
        <v>8245.0367999999999</v>
      </c>
    </row>
    <row r="5" spans="1:6" s="1" customFormat="1" ht="15.5" thickBot="1" x14ac:dyDescent="0.45">
      <c r="A5" s="521" t="s">
        <v>0</v>
      </c>
      <c r="B5" s="522"/>
      <c r="C5" s="537">
        <f>SUM(C2:D3)</f>
        <v>320727.49184101337</v>
      </c>
      <c r="D5" s="538"/>
      <c r="E5" s="306">
        <f>SUM(E2:E4)</f>
        <v>949.03272745186644</v>
      </c>
      <c r="F5" s="307">
        <f>SUM(F2:F3)</f>
        <v>66108.288765978534</v>
      </c>
    </row>
    <row r="6" spans="1:6" s="1" customFormat="1" ht="15" x14ac:dyDescent="0.4"/>
    <row r="7" spans="1:6" s="1" customFormat="1" ht="15" x14ac:dyDescent="0.4">
      <c r="A7" s="76"/>
      <c r="B7" s="76"/>
      <c r="C7" s="252"/>
      <c r="D7" s="252"/>
    </row>
    <row r="8" spans="1:6" s="1" customFormat="1" ht="15" x14ac:dyDescent="0.4">
      <c r="A8" s="10"/>
      <c r="B8" s="10"/>
      <c r="C8" s="251"/>
      <c r="D8" s="251"/>
    </row>
    <row r="9" spans="1:6" s="1" customFormat="1" ht="15" x14ac:dyDescent="0.4">
      <c r="A9" s="6"/>
      <c r="B9" s="6"/>
      <c r="C9" s="252"/>
      <c r="D9" s="21"/>
      <c r="E9" s="1" t="s">
        <v>142</v>
      </c>
    </row>
    <row r="10" spans="1:6" s="1" customFormat="1" ht="15" x14ac:dyDescent="0.4">
      <c r="A10" s="76"/>
      <c r="B10" s="76"/>
      <c r="C10" s="76"/>
      <c r="D10" s="86"/>
      <c r="E10" s="28" t="s">
        <v>143</v>
      </c>
    </row>
    <row r="11" spans="1:6" s="1" customFormat="1" ht="15" x14ac:dyDescent="0.4">
      <c r="A11" s="76"/>
      <c r="B11" s="76"/>
      <c r="C11" s="252"/>
      <c r="D11" s="252"/>
    </row>
    <row r="12" spans="1:6" s="1" customFormat="1" ht="15" x14ac:dyDescent="0.4"/>
    <row r="13" spans="1:6" s="1" customFormat="1" ht="15" x14ac:dyDescent="0.4"/>
    <row r="14" spans="1:6" s="1" customFormat="1" ht="15" x14ac:dyDescent="0.4">
      <c r="B14" s="36"/>
    </row>
    <row r="15" spans="1:6" s="1" customFormat="1" ht="15" x14ac:dyDescent="0.4"/>
    <row r="16" spans="1:6" s="1" customFormat="1" ht="15" x14ac:dyDescent="0.4"/>
    <row r="17" s="1" customFormat="1" ht="15" x14ac:dyDescent="0.4"/>
    <row r="18" s="1" customFormat="1" ht="15" x14ac:dyDescent="0.4"/>
    <row r="19" s="1" customFormat="1" ht="15" x14ac:dyDescent="0.4"/>
    <row r="20" s="1" customFormat="1" ht="15" x14ac:dyDescent="0.4"/>
    <row r="21" s="1" customFormat="1" ht="15" x14ac:dyDescent="0.4"/>
    <row r="22" s="1" customFormat="1" ht="15" x14ac:dyDescent="0.4"/>
    <row r="23" s="1" customFormat="1" ht="15" x14ac:dyDescent="0.4"/>
    <row r="24" s="1" customFormat="1" ht="15" x14ac:dyDescent="0.4"/>
    <row r="25" s="1" customFormat="1" ht="15" x14ac:dyDescent="0.4"/>
    <row r="26" s="1" customFormat="1" ht="15" x14ac:dyDescent="0.4"/>
    <row r="27" s="1" customFormat="1" ht="15" x14ac:dyDescent="0.4"/>
    <row r="28" s="1" customFormat="1" ht="15" x14ac:dyDescent="0.4"/>
    <row r="29" s="1" customFormat="1" ht="15" x14ac:dyDescent="0.4"/>
    <row r="30" s="1" customFormat="1" ht="15" x14ac:dyDescent="0.4"/>
    <row r="31" s="1" customFormat="1" ht="15" x14ac:dyDescent="0.4"/>
    <row r="32" s="1" customFormat="1" ht="15" x14ac:dyDescent="0.4"/>
    <row r="33" spans="1:8" s="1" customFormat="1" ht="15" x14ac:dyDescent="0.4">
      <c r="A33" s="2" t="s">
        <v>249</v>
      </c>
      <c r="B33" s="6" t="s">
        <v>43</v>
      </c>
      <c r="C33" s="6"/>
      <c r="D33" s="6"/>
      <c r="E33" s="6"/>
      <c r="F33" s="6"/>
      <c r="G33" s="6"/>
      <c r="H33" s="6"/>
    </row>
    <row r="34" spans="1:8" s="1" customFormat="1" ht="15.5" thickBot="1" x14ac:dyDescent="0.45">
      <c r="A34" s="2" t="s">
        <v>38</v>
      </c>
      <c r="B34" s="6" t="s">
        <v>42</v>
      </c>
      <c r="C34" s="6"/>
      <c r="D34" s="6"/>
      <c r="E34" s="6"/>
      <c r="F34" s="6"/>
      <c r="G34" s="6"/>
      <c r="H34" s="6"/>
    </row>
    <row r="35" spans="1:8" s="1" customFormat="1" ht="15" x14ac:dyDescent="0.4">
      <c r="A35" s="116" t="s">
        <v>177</v>
      </c>
      <c r="B35" s="117">
        <f>(B39*B40*B41)/'Conv. Fact.'!$D$8</f>
        <v>635.6</v>
      </c>
      <c r="C35" s="118" t="s">
        <v>178</v>
      </c>
    </row>
    <row r="36" spans="1:8" s="1" customFormat="1" ht="15.5" thickBot="1" x14ac:dyDescent="0.45">
      <c r="A36" s="119" t="s">
        <v>30</v>
      </c>
      <c r="B36" s="120">
        <f>(B39*B40*B41*B42*'Conv. Fact.'!B113)/'Conv. Fact.'!D8</f>
        <v>794500</v>
      </c>
      <c r="C36" s="121" t="s">
        <v>13</v>
      </c>
    </row>
    <row r="37" spans="1:8" s="1" customFormat="1" ht="30.5" thickBot="1" x14ac:dyDescent="0.45">
      <c r="A37" s="39" t="s">
        <v>25</v>
      </c>
      <c r="B37" s="40">
        <f>B36*B44</f>
        <v>117.069575</v>
      </c>
      <c r="C37" s="41" t="s">
        <v>170</v>
      </c>
    </row>
    <row r="38" spans="1:8" s="1" customFormat="1" ht="15" x14ac:dyDescent="0.4">
      <c r="A38" s="523" t="s">
        <v>243</v>
      </c>
      <c r="B38" s="523"/>
      <c r="C38" s="523"/>
    </row>
    <row r="39" spans="1:8" s="1" customFormat="1" ht="17.5" x14ac:dyDescent="0.4">
      <c r="A39" s="200" t="s">
        <v>422</v>
      </c>
      <c r="B39" s="212">
        <v>45400</v>
      </c>
      <c r="C39" s="213" t="s">
        <v>8</v>
      </c>
    </row>
    <row r="40" spans="1:8" s="1" customFormat="1" ht="17.5" x14ac:dyDescent="0.4">
      <c r="A40" s="200" t="s">
        <v>244</v>
      </c>
      <c r="B40" s="210">
        <v>0.8</v>
      </c>
      <c r="C40" s="4"/>
    </row>
    <row r="41" spans="1:8" s="1" customFormat="1" ht="17.5" x14ac:dyDescent="0.4">
      <c r="A41" s="199" t="s">
        <v>245</v>
      </c>
      <c r="B41" s="211">
        <f>'Conv. Fact.'!A34</f>
        <v>17.5</v>
      </c>
      <c r="C41" s="4" t="s">
        <v>148</v>
      </c>
    </row>
    <row r="42" spans="1:8" s="1" customFormat="1" ht="17.5" x14ac:dyDescent="0.4">
      <c r="A42" s="199" t="s">
        <v>246</v>
      </c>
      <c r="B42" s="45">
        <f>'Conv. Fact.'!A35</f>
        <v>3.4246575342465753</v>
      </c>
      <c r="C42" s="4" t="s">
        <v>151</v>
      </c>
    </row>
    <row r="43" spans="1:8" s="1" customFormat="1" ht="17" x14ac:dyDescent="0.5">
      <c r="A43" s="472" t="s">
        <v>45</v>
      </c>
      <c r="B43" s="4">
        <f>'Conv. Fact.'!$D$2</f>
        <v>0.29470000000000002</v>
      </c>
      <c r="C43" s="4" t="s">
        <v>247</v>
      </c>
    </row>
    <row r="44" spans="1:8" s="1" customFormat="1" ht="17" x14ac:dyDescent="0.5">
      <c r="A44" s="472"/>
      <c r="B44" s="4">
        <f>B43/2000</f>
        <v>1.4735E-4</v>
      </c>
      <c r="C44" s="4" t="s">
        <v>248</v>
      </c>
    </row>
    <row r="45" spans="1:8" s="1" customFormat="1" ht="15" x14ac:dyDescent="0.4">
      <c r="A45" s="199" t="s">
        <v>46</v>
      </c>
      <c r="B45" s="115">
        <f>'Conv. Fact.'!$D$16</f>
        <v>0.13</v>
      </c>
      <c r="C45" s="4" t="s">
        <v>15</v>
      </c>
    </row>
    <row r="46" spans="1:8" s="1" customFormat="1" ht="15" x14ac:dyDescent="0.4"/>
    <row r="47" spans="1:8" s="1" customFormat="1" ht="15" x14ac:dyDescent="0.4"/>
    <row r="48" spans="1:8" s="1" customFormat="1" ht="15" x14ac:dyDescent="0.4"/>
    <row r="49" spans="1:6" s="1" customFormat="1" ht="15" x14ac:dyDescent="0.4"/>
    <row r="50" spans="1:6" s="1" customFormat="1" ht="15" x14ac:dyDescent="0.4"/>
    <row r="51" spans="1:6" s="1" customFormat="1" ht="15" x14ac:dyDescent="0.4"/>
    <row r="52" spans="1:6" s="1" customFormat="1" ht="15" x14ac:dyDescent="0.4"/>
    <row r="53" spans="1:6" s="1" customFormat="1" ht="15" x14ac:dyDescent="0.4"/>
    <row r="54" spans="1:6" s="1" customFormat="1" ht="15" x14ac:dyDescent="0.4"/>
    <row r="55" spans="1:6" s="1" customFormat="1" ht="15" x14ac:dyDescent="0.4"/>
    <row r="56" spans="1:6" s="1" customFormat="1" ht="15" x14ac:dyDescent="0.4"/>
    <row r="57" spans="1:6" s="1" customFormat="1" ht="15" x14ac:dyDescent="0.4"/>
    <row r="58" spans="1:6" s="1" customFormat="1" ht="15" x14ac:dyDescent="0.4"/>
    <row r="59" spans="1:6" s="1" customFormat="1" ht="15" x14ac:dyDescent="0.4"/>
    <row r="60" spans="1:6" s="1" customFormat="1" ht="15" x14ac:dyDescent="0.4"/>
    <row r="61" spans="1:6" s="1" customFormat="1" ht="15" x14ac:dyDescent="0.4"/>
    <row r="62" spans="1:6" s="1" customFormat="1" ht="15" x14ac:dyDescent="0.4"/>
    <row r="63" spans="1:6" s="1" customFormat="1" ht="15" x14ac:dyDescent="0.4">
      <c r="A63" s="525" t="s">
        <v>309</v>
      </c>
      <c r="B63" s="525"/>
      <c r="C63" s="525"/>
      <c r="D63" s="525"/>
      <c r="E63" s="525"/>
      <c r="F63" s="525"/>
    </row>
    <row r="64" spans="1:6" s="1" customFormat="1" ht="15.5" thickBot="1" x14ac:dyDescent="0.45">
      <c r="A64" s="529" t="s">
        <v>319</v>
      </c>
      <c r="B64" s="529"/>
      <c r="C64" s="529"/>
      <c r="D64" s="529"/>
      <c r="E64" s="529"/>
      <c r="F64" s="529"/>
    </row>
    <row r="65" spans="1:7" s="1" customFormat="1" ht="18.5" x14ac:dyDescent="0.5">
      <c r="A65" s="207" t="s">
        <v>410</v>
      </c>
      <c r="B65" s="220">
        <f>('Conv. Fact.'!D143/'Conv. Fact.'!D10)*(C82/B39)</f>
        <v>5424.468713656388</v>
      </c>
      <c r="C65" s="264" t="s">
        <v>52</v>
      </c>
      <c r="D65" s="378" t="s">
        <v>417</v>
      </c>
      <c r="E65" s="378"/>
      <c r="F65" s="263">
        <f>B69</f>
        <v>885.33233590506165</v>
      </c>
      <c r="G65" s="20" t="s">
        <v>167</v>
      </c>
    </row>
    <row r="66" spans="1:7" s="1" customFormat="1" ht="17" x14ac:dyDescent="0.5">
      <c r="A66" s="96" t="s">
        <v>271</v>
      </c>
      <c r="B66" s="230">
        <f>B65*'Conv. Fact.'!D5</f>
        <v>634662.83949779742</v>
      </c>
      <c r="C66" s="19" t="s">
        <v>258</v>
      </c>
      <c r="D66" s="405" t="s">
        <v>416</v>
      </c>
      <c r="E66" s="505"/>
      <c r="F66" s="263">
        <f>((C84*'Conv. Fact.'!D2)+(C84*'Conv. Fact.'!D19*'Conv. Fact.'!H4)+('Conv. Fact.'!D20*'Conv. Fact.'!H5*C84))/'Conv. Fact.'!D3</f>
        <v>1.9499759051484313</v>
      </c>
      <c r="G66" s="20" t="s">
        <v>167</v>
      </c>
    </row>
    <row r="67" spans="1:7" s="1" customFormat="1" ht="17.5" thickBot="1" x14ac:dyDescent="0.55000000000000004">
      <c r="A67" s="96" t="s">
        <v>277</v>
      </c>
      <c r="B67" s="230">
        <f>B65*'Conv. Fact.'!D21</f>
        <v>11933.831170044055</v>
      </c>
      <c r="C67" s="19" t="s">
        <v>261</v>
      </c>
      <c r="D67" s="474" t="s">
        <v>322</v>
      </c>
      <c r="E67" s="474"/>
      <c r="F67" s="265">
        <f>C92</f>
        <v>63.869261081772208</v>
      </c>
      <c r="G67" s="266" t="s">
        <v>167</v>
      </c>
    </row>
    <row r="68" spans="1:7" s="1" customFormat="1" ht="17" x14ac:dyDescent="0.5">
      <c r="A68" s="96" t="s">
        <v>272</v>
      </c>
      <c r="B68" s="230">
        <f>B65*'Conv. Fact.'!D22</f>
        <v>1193.3831170044054</v>
      </c>
      <c r="C68" s="19" t="s">
        <v>262</v>
      </c>
      <c r="D68" s="385" t="s">
        <v>323</v>
      </c>
      <c r="E68" s="387"/>
      <c r="F68" s="267">
        <f>(F65+F66)-F67</f>
        <v>823.41305072843784</v>
      </c>
      <c r="G68" s="268" t="s">
        <v>167</v>
      </c>
    </row>
    <row r="69" spans="1:7" s="1" customFormat="1" ht="17.5" thickBot="1" x14ac:dyDescent="0.55000000000000004">
      <c r="A69" s="231" t="s">
        <v>320</v>
      </c>
      <c r="B69" s="232">
        <f>(B66+(B67*'Conv. Fact.'!H4)+('Conv. Fact.'!H5*'4-Muni Upgrades'!B68))/'Conv. Fact.'!D3</f>
        <v>885.33233590506165</v>
      </c>
      <c r="C69" s="233" t="s">
        <v>170</v>
      </c>
      <c r="D69" s="391"/>
      <c r="E69" s="393"/>
      <c r="F69" s="269">
        <f>F68/(F65+F66)</f>
        <v>0.92801697922787629</v>
      </c>
      <c r="G69" s="160"/>
    </row>
    <row r="70" spans="1:7" s="1" customFormat="1" ht="17.5" x14ac:dyDescent="0.4">
      <c r="A70" s="207" t="s">
        <v>411</v>
      </c>
      <c r="B70" s="220">
        <f>'Conv. Fact.'!F143*(C82/B39)</f>
        <v>729997.29091674369</v>
      </c>
      <c r="C70" s="49" t="s">
        <v>24</v>
      </c>
    </row>
    <row r="71" spans="1:7" s="1" customFormat="1" ht="17" x14ac:dyDescent="0.5">
      <c r="A71" s="96" t="s">
        <v>271</v>
      </c>
      <c r="B71" s="230">
        <f>B70*'Conv. Fact.'!D2</f>
        <v>215130.20163316437</v>
      </c>
      <c r="C71" s="50" t="s">
        <v>258</v>
      </c>
      <c r="D71" s="527" t="s">
        <v>407</v>
      </c>
      <c r="E71" s="423"/>
      <c r="F71" s="259">
        <f>B65*'Conv. Fact.'!D10*'Conv. Fact.'!D17</f>
        <v>23432.294481130048</v>
      </c>
    </row>
    <row r="72" spans="1:7" s="1" customFormat="1" ht="17" x14ac:dyDescent="0.5">
      <c r="A72" s="96" t="s">
        <v>277</v>
      </c>
      <c r="B72" s="230">
        <f>B70*'Conv. Fact.'!D19</f>
        <v>15.329943109251616</v>
      </c>
      <c r="C72" s="50" t="s">
        <v>261</v>
      </c>
      <c r="D72" s="527" t="s">
        <v>408</v>
      </c>
      <c r="E72" s="423"/>
      <c r="F72" s="36">
        <f>C87*'Conv. Fact.'!D16</f>
        <v>60609.005715151507</v>
      </c>
    </row>
    <row r="73" spans="1:7" s="1" customFormat="1" ht="17" x14ac:dyDescent="0.5">
      <c r="A73" s="96" t="s">
        <v>272</v>
      </c>
      <c r="B73" s="230">
        <f>B70*'Conv. Fact.'!D20</f>
        <v>2.1899918727502312</v>
      </c>
      <c r="C73" s="50" t="s">
        <v>262</v>
      </c>
      <c r="D73" s="527" t="s">
        <v>409</v>
      </c>
      <c r="E73" s="423"/>
      <c r="F73" s="259">
        <f>F72-F71</f>
        <v>37176.711234021459</v>
      </c>
    </row>
    <row r="74" spans="1:7" s="1" customFormat="1" ht="17.5" thickBot="1" x14ac:dyDescent="0.55000000000000004">
      <c r="A74" s="234" t="s">
        <v>320</v>
      </c>
      <c r="B74" s="235">
        <f>(B71+(B72*'Conv. Fact.'!H4)+('Conv. Fact.'!H5*'4-Muni Upgrades'!B73))/'Conv. Fact.'!D3</f>
        <v>98.410918235259672</v>
      </c>
      <c r="C74" s="233" t="s">
        <v>170</v>
      </c>
    </row>
    <row r="75" spans="1:7" s="1" customFormat="1" ht="15" x14ac:dyDescent="0.4">
      <c r="A75" s="530" t="s">
        <v>321</v>
      </c>
      <c r="B75" s="530"/>
      <c r="C75" s="530"/>
      <c r="D75" s="530"/>
      <c r="E75" s="530"/>
      <c r="F75" s="530"/>
    </row>
    <row r="76" spans="1:7" s="1" customFormat="1" ht="15" x14ac:dyDescent="0.4">
      <c r="A76" s="526" t="s">
        <v>334</v>
      </c>
      <c r="B76" s="526"/>
      <c r="C76" s="246" t="s">
        <v>336</v>
      </c>
      <c r="D76" s="247" t="s">
        <v>337</v>
      </c>
    </row>
    <row r="77" spans="1:7" s="1" customFormat="1" ht="17.5" x14ac:dyDescent="0.4">
      <c r="A77" s="405" t="s">
        <v>412</v>
      </c>
      <c r="B77" s="504"/>
      <c r="C77" s="262">
        <f>'Conv. Fact.'!E164</f>
        <v>480000</v>
      </c>
      <c r="D77" s="245" t="str">
        <f>'Conv. Fact.'!F164</f>
        <v>BTU/hr</v>
      </c>
    </row>
    <row r="78" spans="1:7" s="1" customFormat="1" ht="17.5" x14ac:dyDescent="0.4">
      <c r="A78" s="405" t="s">
        <v>413</v>
      </c>
      <c r="B78" s="504"/>
      <c r="C78" s="276">
        <f>'Conv. Fact.'!B145</f>
        <v>3.41</v>
      </c>
      <c r="D78" s="245"/>
    </row>
    <row r="79" spans="1:7" s="1" customFormat="1" ht="17.5" x14ac:dyDescent="0.4">
      <c r="A79" s="405" t="s">
        <v>414</v>
      </c>
      <c r="B79" s="504"/>
      <c r="C79" s="276">
        <f>'Conv. Fact.'!B146</f>
        <v>4.79</v>
      </c>
      <c r="D79" s="245"/>
    </row>
    <row r="80" spans="1:7" s="1" customFormat="1" ht="17.5" x14ac:dyDescent="0.4">
      <c r="A80" s="405" t="s">
        <v>418</v>
      </c>
      <c r="B80" s="504"/>
      <c r="C80" s="276">
        <f>'Conv. Fact.'!B147</f>
        <v>2.5</v>
      </c>
      <c r="D80" s="245"/>
    </row>
    <row r="81" spans="1:7" s="1" customFormat="1" ht="17.5" x14ac:dyDescent="0.4">
      <c r="A81" s="405" t="s">
        <v>420</v>
      </c>
      <c r="B81" s="504"/>
      <c r="C81" s="261">
        <f>'Conv. Fact.'!E168</f>
        <v>778</v>
      </c>
      <c r="D81" s="245" t="str">
        <f>'Conv. Fact.'!F168</f>
        <v>hr</v>
      </c>
    </row>
    <row r="82" spans="1:7" s="1" customFormat="1" ht="17.5" x14ac:dyDescent="0.4">
      <c r="A82" s="405" t="s">
        <v>421</v>
      </c>
      <c r="B82" s="504"/>
      <c r="C82" s="262">
        <v>15000</v>
      </c>
      <c r="D82" s="245" t="s">
        <v>8</v>
      </c>
    </row>
    <row r="83" spans="1:7" s="1" customFormat="1" ht="15.5" thickBot="1" x14ac:dyDescent="0.45">
      <c r="A83" s="533" t="s">
        <v>366</v>
      </c>
      <c r="B83" s="533"/>
      <c r="C83" s="533"/>
      <c r="D83" s="533"/>
      <c r="E83" s="533"/>
      <c r="F83" s="533"/>
    </row>
    <row r="84" spans="1:7" s="1" customFormat="1" ht="15" x14ac:dyDescent="0.4">
      <c r="A84" s="465" t="s">
        <v>405</v>
      </c>
      <c r="B84" s="466"/>
      <c r="C84" s="273">
        <f>(((C77*C81)/'Conv. Fact.'!D12)*(C82/B39))/C80</f>
        <v>14464.6260154624</v>
      </c>
      <c r="D84" s="268" t="s">
        <v>24</v>
      </c>
    </row>
    <row r="85" spans="1:7" s="1" customFormat="1" ht="15" x14ac:dyDescent="0.4">
      <c r="A85" s="395" t="s">
        <v>406</v>
      </c>
      <c r="B85" s="378"/>
      <c r="C85" s="263">
        <f>(((C77*C81)/'Conv. Fact.'!D12)*(C82/B39))/C79</f>
        <v>7549.3872732058453</v>
      </c>
      <c r="D85" s="158" t="s">
        <v>24</v>
      </c>
    </row>
    <row r="86" spans="1:7" s="1" customFormat="1" ht="15" x14ac:dyDescent="0.4">
      <c r="A86" s="395" t="s">
        <v>403</v>
      </c>
      <c r="B86" s="378"/>
      <c r="C86" s="270">
        <f>B65</f>
        <v>5424.468713656388</v>
      </c>
      <c r="D86" s="158" t="s">
        <v>52</v>
      </c>
    </row>
    <row r="87" spans="1:7" s="1" customFormat="1" ht="15" x14ac:dyDescent="0.4">
      <c r="A87" s="395" t="s">
        <v>404</v>
      </c>
      <c r="B87" s="378"/>
      <c r="C87" s="263">
        <f>((C86*'Conv. Fact.'!D6)/'Conv. Fact.'!D12)/'Conv. Fact.'!B145</f>
        <v>466223.12088578078</v>
      </c>
      <c r="D87" s="158" t="s">
        <v>24</v>
      </c>
    </row>
    <row r="88" spans="1:7" s="1" customFormat="1" ht="15.5" thickBot="1" x14ac:dyDescent="0.45">
      <c r="A88" s="402" t="s">
        <v>367</v>
      </c>
      <c r="B88" s="403"/>
      <c r="C88" s="274">
        <f>SUM(C85,C87)</f>
        <v>473772.50815898663</v>
      </c>
      <c r="D88" s="160" t="s">
        <v>24</v>
      </c>
    </row>
    <row r="89" spans="1:7" s="1" customFormat="1" ht="17" x14ac:dyDescent="0.5">
      <c r="A89" s="469" t="s">
        <v>271</v>
      </c>
      <c r="B89" s="470"/>
      <c r="C89" s="267">
        <f>ABS(C88)*'Conv. Fact.'!D2</f>
        <v>139620.75815445336</v>
      </c>
      <c r="D89" s="268" t="s">
        <v>258</v>
      </c>
    </row>
    <row r="90" spans="1:7" s="1" customFormat="1" ht="17" x14ac:dyDescent="0.5">
      <c r="A90" s="471" t="s">
        <v>277</v>
      </c>
      <c r="B90" s="472"/>
      <c r="C90" s="263">
        <f>ABS(C88)*'Conv. Fact.'!D19</f>
        <v>9.9492226713387186</v>
      </c>
      <c r="D90" s="158" t="s">
        <v>261</v>
      </c>
    </row>
    <row r="91" spans="1:7" s="1" customFormat="1" ht="17" x14ac:dyDescent="0.5">
      <c r="A91" s="471" t="s">
        <v>272</v>
      </c>
      <c r="B91" s="472"/>
      <c r="C91" s="263">
        <f>ABS(C88)*'Conv. Fact.'!D20</f>
        <v>1.42131752447696</v>
      </c>
      <c r="D91" s="158" t="s">
        <v>262</v>
      </c>
    </row>
    <row r="92" spans="1:7" s="1" customFormat="1" ht="17.5" thickBot="1" x14ac:dyDescent="0.55000000000000004">
      <c r="A92" s="531" t="s">
        <v>320</v>
      </c>
      <c r="B92" s="532"/>
      <c r="C92" s="271">
        <f>(C89+(C90*'Conv. Fact.'!H4)+('Conv. Fact.'!H5*'4-Muni Upgrades'!C91))/'Conv. Fact.'!D3</f>
        <v>63.869261081772208</v>
      </c>
      <c r="D92" s="272" t="s">
        <v>170</v>
      </c>
    </row>
    <row r="93" spans="1:7" s="1" customFormat="1" ht="15" x14ac:dyDescent="0.4"/>
    <row r="94" spans="1:7" s="1" customFormat="1" ht="15.5" thickBot="1" x14ac:dyDescent="0.45">
      <c r="A94" s="528" t="s">
        <v>308</v>
      </c>
      <c r="B94" s="528"/>
      <c r="C94" s="528"/>
      <c r="D94" s="528"/>
      <c r="E94" s="528"/>
      <c r="F94" s="528"/>
    </row>
    <row r="95" spans="1:7" s="1" customFormat="1" ht="62" x14ac:dyDescent="0.4">
      <c r="A95" s="253" t="s">
        <v>16</v>
      </c>
      <c r="B95" s="254" t="s">
        <v>1</v>
      </c>
      <c r="C95" s="66" t="s">
        <v>14</v>
      </c>
      <c r="D95" s="66" t="s">
        <v>423</v>
      </c>
      <c r="E95" s="66" t="s">
        <v>296</v>
      </c>
      <c r="F95" s="66" t="s">
        <v>2</v>
      </c>
      <c r="G95" s="67" t="s">
        <v>168</v>
      </c>
    </row>
    <row r="96" spans="1:7" s="1" customFormat="1" ht="15" x14ac:dyDescent="0.4">
      <c r="A96" s="4" t="s">
        <v>427</v>
      </c>
      <c r="B96" s="308">
        <f>2*2</f>
        <v>4</v>
      </c>
      <c r="C96" s="308">
        <v>400</v>
      </c>
      <c r="D96" s="4">
        <v>165</v>
      </c>
      <c r="E96" s="9">
        <f>12*6*52</f>
        <v>3744</v>
      </c>
      <c r="F96" s="55">
        <f>(((C96-D96)*E96)/'Conv. Fact.'!$D$8)*'4-Muni Upgrades'!B96</f>
        <v>3519.36</v>
      </c>
      <c r="G96" s="55">
        <f>(F96*('Conv. Fact.'!$D$2+('Conv. Fact.'!$D$19*'Conv. Fact.'!$H$4)+('Conv. Fact.'!$D$20*'Conv. Fact.'!$H$5)))/'Conv. Fact.'!$D$3</f>
        <v>0.47444484179591839</v>
      </c>
    </row>
    <row r="97" spans="1:7" s="1" customFormat="1" ht="15" x14ac:dyDescent="0.4">
      <c r="A97" s="4" t="s">
        <v>428</v>
      </c>
      <c r="B97" s="308">
        <f>72*2</f>
        <v>144</v>
      </c>
      <c r="C97" s="308">
        <v>100</v>
      </c>
      <c r="D97" s="4">
        <v>75</v>
      </c>
      <c r="E97" s="9">
        <f t="shared" ref="E97:E99" si="0">12*6*52</f>
        <v>3744</v>
      </c>
      <c r="F97" s="55">
        <f>(((C97-D97)*E97)/'Conv. Fact.'!$D$8)*'4-Muni Upgrades'!B97</f>
        <v>13478.4</v>
      </c>
      <c r="G97" s="55">
        <f>(F97*('Conv. Fact.'!$D$2+('Conv. Fact.'!$D$19*'Conv. Fact.'!$H$4)+('Conv. Fact.'!$D$20*'Conv. Fact.'!$H$5)))/'Conv. Fact.'!$D$3</f>
        <v>1.817022798367347</v>
      </c>
    </row>
    <row r="98" spans="1:7" s="1" customFormat="1" ht="15" x14ac:dyDescent="0.4">
      <c r="A98" s="4" t="s">
        <v>429</v>
      </c>
      <c r="B98" s="308">
        <f>14+14+10</f>
        <v>38</v>
      </c>
      <c r="C98" s="308">
        <v>250</v>
      </c>
      <c r="D98" s="4">
        <v>50</v>
      </c>
      <c r="E98" s="9">
        <f t="shared" si="0"/>
        <v>3744</v>
      </c>
      <c r="F98" s="55">
        <f>(((C98-D98)*E98)/'Conv. Fact.'!$D$8)*'4-Muni Upgrades'!B98</f>
        <v>28454.399999999998</v>
      </c>
      <c r="G98" s="55">
        <f>(F98*('Conv. Fact.'!$D$2+('Conv. Fact.'!$D$19*'Conv. Fact.'!$H$4)+('Conv. Fact.'!$D$20*'Conv. Fact.'!$H$5)))/'Conv. Fact.'!$D$3</f>
        <v>3.8359370187755104</v>
      </c>
    </row>
    <row r="99" spans="1:7" s="1" customFormat="1" ht="15" x14ac:dyDescent="0.4">
      <c r="A99" s="4" t="s">
        <v>430</v>
      </c>
      <c r="B99" s="308">
        <v>300</v>
      </c>
      <c r="C99" s="308">
        <v>32</v>
      </c>
      <c r="D99" s="4">
        <v>16</v>
      </c>
      <c r="E99" s="9">
        <f t="shared" si="0"/>
        <v>3744</v>
      </c>
      <c r="F99" s="55">
        <f>(((C99-D99)*E99)/'Conv. Fact.'!$D$8)*'4-Muni Upgrades'!B99</f>
        <v>17971.2</v>
      </c>
      <c r="G99" s="55">
        <f>(F99*('Conv. Fact.'!$D$2+('Conv. Fact.'!$D$19*'Conv. Fact.'!$H$4)+('Conv. Fact.'!$D$20*'Conv. Fact.'!$H$5)))/'Conv. Fact.'!$D$3</f>
        <v>2.422697064489796</v>
      </c>
    </row>
    <row r="100" spans="1:7" s="1" customFormat="1" ht="15" x14ac:dyDescent="0.4">
      <c r="A100" s="524" t="s">
        <v>0</v>
      </c>
      <c r="B100" s="524"/>
      <c r="C100" s="524"/>
      <c r="D100" s="524"/>
      <c r="E100" s="524"/>
      <c r="F100" s="278">
        <f>SUM(F96:F99)</f>
        <v>63423.360000000001</v>
      </c>
      <c r="G100" s="278">
        <f>SUM(G96:G99)</f>
        <v>8.5501017234285719</v>
      </c>
    </row>
    <row r="101" spans="1:7" s="1" customFormat="1" ht="15" x14ac:dyDescent="0.4"/>
    <row r="102" spans="1:7" s="1" customFormat="1" ht="15" x14ac:dyDescent="0.4"/>
    <row r="103" spans="1:7" s="1" customFormat="1" ht="15" x14ac:dyDescent="0.4"/>
    <row r="104" spans="1:7" s="1" customFormat="1" ht="15" x14ac:dyDescent="0.4"/>
    <row r="105" spans="1:7" s="1" customFormat="1" ht="15" x14ac:dyDescent="0.4"/>
    <row r="106" spans="1:7" s="1" customFormat="1" ht="15" x14ac:dyDescent="0.4"/>
    <row r="107" spans="1:7" s="1" customFormat="1" ht="15" x14ac:dyDescent="0.4"/>
    <row r="108" spans="1:7" s="1" customFormat="1" ht="15" x14ac:dyDescent="0.4"/>
    <row r="109" spans="1:7" s="1" customFormat="1" ht="15" x14ac:dyDescent="0.4"/>
    <row r="110" spans="1:7" s="1" customFormat="1" ht="15" x14ac:dyDescent="0.4"/>
    <row r="111" spans="1:7" s="1" customFormat="1" ht="15" x14ac:dyDescent="0.4"/>
    <row r="112" spans="1:7" s="1" customFormat="1" ht="15" x14ac:dyDescent="0.4"/>
    <row r="113" s="1" customFormat="1" ht="15" x14ac:dyDescent="0.4"/>
    <row r="114" s="1" customFormat="1" ht="15" x14ac:dyDescent="0.4"/>
    <row r="115" s="1" customFormat="1" ht="15" x14ac:dyDescent="0.4"/>
    <row r="116" s="1" customFormat="1" ht="15" x14ac:dyDescent="0.4"/>
    <row r="117" s="1" customFormat="1" ht="15" x14ac:dyDescent="0.4"/>
    <row r="118" s="1" customFormat="1" ht="15" x14ac:dyDescent="0.4"/>
    <row r="119" s="1" customFormat="1" ht="15" x14ac:dyDescent="0.4"/>
    <row r="120" s="1" customFormat="1" ht="15" x14ac:dyDescent="0.4"/>
    <row r="121" s="1" customFormat="1" ht="15" x14ac:dyDescent="0.4"/>
    <row r="122" s="1" customFormat="1" ht="15" x14ac:dyDescent="0.4"/>
    <row r="123" s="1" customFormat="1" ht="15" x14ac:dyDescent="0.4"/>
    <row r="124" s="1" customFormat="1" ht="15" x14ac:dyDescent="0.4"/>
    <row r="125" s="1" customFormat="1" ht="15" x14ac:dyDescent="0.4"/>
    <row r="126" s="1" customFormat="1" ht="15" x14ac:dyDescent="0.4"/>
    <row r="127" s="1" customFormat="1" ht="15" x14ac:dyDescent="0.4"/>
    <row r="128" s="1" customFormat="1" ht="15" x14ac:dyDescent="0.4"/>
    <row r="129" s="1" customFormat="1" ht="15" x14ac:dyDescent="0.4"/>
    <row r="130" s="1" customFormat="1" ht="15" x14ac:dyDescent="0.4"/>
    <row r="131" s="1" customFormat="1" ht="15" x14ac:dyDescent="0.4"/>
    <row r="132" s="1" customFormat="1" ht="15" x14ac:dyDescent="0.4"/>
    <row r="133" s="1" customFormat="1" ht="15" x14ac:dyDescent="0.4"/>
    <row r="134" s="1" customFormat="1" ht="15" x14ac:dyDescent="0.4"/>
    <row r="135" s="1" customFormat="1" ht="15" x14ac:dyDescent="0.4"/>
    <row r="136" s="1" customFormat="1" ht="15" x14ac:dyDescent="0.4"/>
    <row r="137" s="1" customFormat="1" ht="15" x14ac:dyDescent="0.4"/>
    <row r="138" s="1" customFormat="1" ht="15" x14ac:dyDescent="0.4"/>
    <row r="139" s="1" customFormat="1" ht="15" x14ac:dyDescent="0.4"/>
    <row r="140" s="1" customFormat="1" ht="15" x14ac:dyDescent="0.4"/>
    <row r="141" s="1" customFormat="1" ht="15" x14ac:dyDescent="0.4"/>
    <row r="142" s="1" customFormat="1" ht="15" x14ac:dyDescent="0.4"/>
    <row r="143" s="1" customFormat="1" ht="15" x14ac:dyDescent="0.4"/>
    <row r="144" s="1" customFormat="1" ht="15" x14ac:dyDescent="0.4"/>
    <row r="145" s="1" customFormat="1" ht="15" x14ac:dyDescent="0.4"/>
    <row r="146" s="1" customFormat="1" ht="15" x14ac:dyDescent="0.4"/>
    <row r="147" s="1" customFormat="1" ht="15" x14ac:dyDescent="0.4"/>
    <row r="148" s="1" customFormat="1" ht="15" x14ac:dyDescent="0.4"/>
    <row r="149" s="1" customFormat="1" ht="15" x14ac:dyDescent="0.4"/>
    <row r="150" s="1" customFormat="1" ht="15" x14ac:dyDescent="0.4"/>
    <row r="151" s="1" customFormat="1" ht="15" x14ac:dyDescent="0.4"/>
    <row r="152" s="1" customFormat="1" ht="15" x14ac:dyDescent="0.4"/>
    <row r="153" s="1" customFormat="1" ht="15" x14ac:dyDescent="0.4"/>
    <row r="154" s="1" customFormat="1" ht="15" x14ac:dyDescent="0.4"/>
    <row r="155" s="1" customFormat="1" ht="15" x14ac:dyDescent="0.4"/>
    <row r="156" s="1" customFormat="1" ht="15" x14ac:dyDescent="0.4"/>
    <row r="157" s="1" customFormat="1" ht="15" x14ac:dyDescent="0.4"/>
    <row r="158" s="1" customFormat="1" ht="15" x14ac:dyDescent="0.4"/>
    <row r="159" s="1" customFormat="1" ht="15" x14ac:dyDescent="0.4"/>
    <row r="160" s="1" customFormat="1" ht="15" x14ac:dyDescent="0.4"/>
    <row r="161" s="1" customFormat="1" ht="15" x14ac:dyDescent="0.4"/>
    <row r="162" s="1" customFormat="1" ht="15" x14ac:dyDescent="0.4"/>
    <row r="163" s="1" customFormat="1" ht="15" x14ac:dyDescent="0.4"/>
    <row r="164" s="1" customFormat="1" ht="15" x14ac:dyDescent="0.4"/>
    <row r="165" s="1" customFormat="1" ht="15" x14ac:dyDescent="0.4"/>
    <row r="166" s="1" customFormat="1" ht="15" x14ac:dyDescent="0.4"/>
    <row r="167" s="1" customFormat="1" ht="15" x14ac:dyDescent="0.4"/>
    <row r="168" s="1" customFormat="1" ht="15" x14ac:dyDescent="0.4"/>
    <row r="169" s="1" customFormat="1" ht="15" x14ac:dyDescent="0.4"/>
    <row r="170" s="1" customFormat="1" ht="15" x14ac:dyDescent="0.4"/>
    <row r="171" s="1" customFormat="1" ht="15" x14ac:dyDescent="0.4"/>
    <row r="172" s="1" customFormat="1" ht="15" x14ac:dyDescent="0.4"/>
    <row r="173" s="1" customFormat="1" ht="15" x14ac:dyDescent="0.4"/>
    <row r="174" s="1" customFormat="1" ht="15" x14ac:dyDescent="0.4"/>
    <row r="175" s="1" customFormat="1" ht="15" x14ac:dyDescent="0.4"/>
    <row r="176" s="1" customFormat="1" ht="15" x14ac:dyDescent="0.4"/>
    <row r="177" s="1" customFormat="1" ht="15" x14ac:dyDescent="0.4"/>
    <row r="178" s="1" customFormat="1" ht="15" x14ac:dyDescent="0.4"/>
    <row r="179" s="1" customFormat="1" ht="15" x14ac:dyDescent="0.4"/>
    <row r="180" s="1" customFormat="1" ht="15" x14ac:dyDescent="0.4"/>
    <row r="181" s="1" customFormat="1" ht="15" x14ac:dyDescent="0.4"/>
    <row r="182" s="1" customFormat="1" ht="15" x14ac:dyDescent="0.4"/>
    <row r="183" s="1" customFormat="1" ht="15" x14ac:dyDescent="0.4"/>
    <row r="184" s="1" customFormat="1" ht="15" x14ac:dyDescent="0.4"/>
    <row r="185" s="1" customFormat="1" ht="15" x14ac:dyDescent="0.4"/>
    <row r="186" s="1" customFormat="1" ht="15" x14ac:dyDescent="0.4"/>
    <row r="187" s="1" customFormat="1" ht="15" x14ac:dyDescent="0.4"/>
    <row r="188" s="1" customFormat="1" ht="15" x14ac:dyDescent="0.4"/>
    <row r="189" s="1" customFormat="1" ht="15" x14ac:dyDescent="0.4"/>
    <row r="190" s="1" customFormat="1" ht="15" x14ac:dyDescent="0.4"/>
    <row r="191" s="1" customFormat="1" ht="15" x14ac:dyDescent="0.4"/>
    <row r="192" s="1" customFormat="1" ht="15" x14ac:dyDescent="0.4"/>
    <row r="193" s="1" customFormat="1" ht="15" x14ac:dyDescent="0.4"/>
    <row r="194" s="1" customFormat="1" ht="15" x14ac:dyDescent="0.4"/>
    <row r="195" s="1" customFormat="1" ht="15" x14ac:dyDescent="0.4"/>
    <row r="196" s="1" customFormat="1" ht="15" x14ac:dyDescent="0.4"/>
    <row r="197" s="1" customFormat="1" ht="15" x14ac:dyDescent="0.4"/>
    <row r="198" s="1" customFormat="1" ht="15" x14ac:dyDescent="0.4"/>
    <row r="199" s="1" customFormat="1" ht="15" x14ac:dyDescent="0.4"/>
    <row r="200" s="1" customFormat="1" ht="15" x14ac:dyDescent="0.4"/>
    <row r="201" s="1" customFormat="1" ht="15" x14ac:dyDescent="0.4"/>
    <row r="202" s="1" customFormat="1" ht="15" x14ac:dyDescent="0.4"/>
    <row r="203" s="1" customFormat="1" ht="15" x14ac:dyDescent="0.4"/>
    <row r="204" s="1" customFormat="1" ht="15" x14ac:dyDescent="0.4"/>
    <row r="205" s="1" customFormat="1" ht="15" x14ac:dyDescent="0.4"/>
    <row r="206" s="1" customFormat="1" ht="15" x14ac:dyDescent="0.4"/>
    <row r="207" s="1" customFormat="1" ht="15" x14ac:dyDescent="0.4"/>
    <row r="208" s="1" customFormat="1" ht="15" x14ac:dyDescent="0.4"/>
    <row r="209" s="1" customFormat="1" ht="15" x14ac:dyDescent="0.4"/>
    <row r="210" s="1" customFormat="1" ht="15" x14ac:dyDescent="0.4"/>
    <row r="211" s="1" customFormat="1" ht="15" x14ac:dyDescent="0.4"/>
    <row r="212" s="1" customFormat="1" ht="15" x14ac:dyDescent="0.4"/>
    <row r="213" s="1" customFormat="1" ht="15" x14ac:dyDescent="0.4"/>
    <row r="214" s="1" customFormat="1" ht="15" x14ac:dyDescent="0.4"/>
    <row r="215" s="1" customFormat="1" ht="15" x14ac:dyDescent="0.4"/>
    <row r="216" s="1" customFormat="1" ht="15" x14ac:dyDescent="0.4"/>
    <row r="217" s="1" customFormat="1" ht="15" x14ac:dyDescent="0.4"/>
    <row r="218" s="1" customFormat="1" ht="15" x14ac:dyDescent="0.4"/>
    <row r="219" s="1" customFormat="1" ht="15" x14ac:dyDescent="0.4"/>
    <row r="220" s="1" customFormat="1" ht="15" x14ac:dyDescent="0.4"/>
    <row r="221" s="1" customFormat="1" ht="15" x14ac:dyDescent="0.4"/>
    <row r="222" s="1" customFormat="1" ht="15" x14ac:dyDescent="0.4"/>
    <row r="223" s="1" customFormat="1" ht="15" x14ac:dyDescent="0.4"/>
    <row r="224" s="1" customFormat="1" ht="15" x14ac:dyDescent="0.4"/>
    <row r="225" s="1" customFormat="1" ht="15" x14ac:dyDescent="0.4"/>
    <row r="226" s="1" customFormat="1" ht="15" x14ac:dyDescent="0.4"/>
    <row r="227" s="1" customFormat="1" ht="15" x14ac:dyDescent="0.4"/>
    <row r="228" s="1" customFormat="1" ht="15" x14ac:dyDescent="0.4"/>
    <row r="229" s="1" customFormat="1" ht="15" x14ac:dyDescent="0.4"/>
    <row r="230" s="1" customFormat="1" ht="15" x14ac:dyDescent="0.4"/>
    <row r="231" s="1" customFormat="1" ht="15" x14ac:dyDescent="0.4"/>
    <row r="232" s="1" customFormat="1" ht="15" x14ac:dyDescent="0.4"/>
    <row r="233" s="1" customFormat="1" ht="15" x14ac:dyDescent="0.4"/>
    <row r="234" s="1" customFormat="1" ht="15" x14ac:dyDescent="0.4"/>
    <row r="235" s="1" customFormat="1" ht="15" x14ac:dyDescent="0.4"/>
    <row r="236" s="1" customFormat="1" ht="15" x14ac:dyDescent="0.4"/>
    <row r="237" s="1" customFormat="1" ht="15" x14ac:dyDescent="0.4"/>
    <row r="238" s="1" customFormat="1" ht="15" x14ac:dyDescent="0.4"/>
    <row r="239" s="1" customFormat="1" ht="15" x14ac:dyDescent="0.4"/>
    <row r="240" s="1" customFormat="1" ht="15" x14ac:dyDescent="0.4"/>
    <row r="241" s="1" customFormat="1" ht="15" x14ac:dyDescent="0.4"/>
    <row r="242" s="1" customFormat="1" ht="15" x14ac:dyDescent="0.4"/>
    <row r="243" s="1" customFormat="1" ht="15" x14ac:dyDescent="0.4"/>
    <row r="244" s="1" customFormat="1" ht="15" x14ac:dyDescent="0.4"/>
    <row r="245" s="1" customFormat="1" ht="15" x14ac:dyDescent="0.4"/>
    <row r="246" s="1" customFormat="1" ht="15" x14ac:dyDescent="0.4"/>
    <row r="247" s="1" customFormat="1" ht="15" x14ac:dyDescent="0.4"/>
    <row r="248" s="1" customFormat="1" ht="15" x14ac:dyDescent="0.4"/>
    <row r="249" s="1" customFormat="1" ht="15" x14ac:dyDescent="0.4"/>
    <row r="250" s="1" customFormat="1" ht="15" x14ac:dyDescent="0.4"/>
    <row r="251" s="1" customFormat="1" ht="15" x14ac:dyDescent="0.4"/>
    <row r="252" s="1" customFormat="1" ht="15" x14ac:dyDescent="0.4"/>
    <row r="253" s="1" customFormat="1" ht="15" x14ac:dyDescent="0.4"/>
    <row r="254" s="1" customFormat="1" ht="15" x14ac:dyDescent="0.4"/>
    <row r="255" s="1" customFormat="1" ht="15" x14ac:dyDescent="0.4"/>
    <row r="256" s="1" customFormat="1" ht="15" x14ac:dyDescent="0.4"/>
    <row r="257" s="1" customFormat="1" ht="15" x14ac:dyDescent="0.4"/>
    <row r="258" s="1" customFormat="1" ht="15" x14ac:dyDescent="0.4"/>
    <row r="259" s="1" customFormat="1" ht="15" x14ac:dyDescent="0.4"/>
    <row r="260" s="1" customFormat="1" ht="15" x14ac:dyDescent="0.4"/>
    <row r="261" s="1" customFormat="1" ht="15" x14ac:dyDescent="0.4"/>
    <row r="262" s="1" customFormat="1" ht="15" x14ac:dyDescent="0.4"/>
    <row r="263" s="1" customFormat="1" ht="15" x14ac:dyDescent="0.4"/>
    <row r="264" s="1" customFormat="1" ht="15" x14ac:dyDescent="0.4"/>
    <row r="265" s="1" customFormat="1" ht="15" x14ac:dyDescent="0.4"/>
    <row r="266" s="1" customFormat="1" ht="15" x14ac:dyDescent="0.4"/>
    <row r="267" s="1" customFormat="1" ht="15" x14ac:dyDescent="0.4"/>
    <row r="268" s="1" customFormat="1" ht="15" x14ac:dyDescent="0.4"/>
    <row r="269" s="1" customFormat="1" ht="15" x14ac:dyDescent="0.4"/>
    <row r="270" s="1" customFormat="1" ht="15" x14ac:dyDescent="0.4"/>
    <row r="271" s="1" customFormat="1" ht="15" x14ac:dyDescent="0.4"/>
    <row r="272" s="1" customFormat="1" ht="15" x14ac:dyDescent="0.4"/>
    <row r="273" s="1" customFormat="1" ht="15" x14ac:dyDescent="0.4"/>
    <row r="274" s="1" customFormat="1" ht="15" x14ac:dyDescent="0.4"/>
    <row r="275" s="1" customFormat="1" ht="15" x14ac:dyDescent="0.4"/>
    <row r="276" s="1" customFormat="1" ht="15" x14ac:dyDescent="0.4"/>
    <row r="277" s="1" customFormat="1" ht="15" x14ac:dyDescent="0.4"/>
    <row r="278" s="1" customFormat="1" ht="15" x14ac:dyDescent="0.4"/>
    <row r="279" s="1" customFormat="1" ht="15" x14ac:dyDescent="0.4"/>
    <row r="280" s="1" customFormat="1" ht="15" x14ac:dyDescent="0.4"/>
    <row r="281" s="1" customFormat="1" ht="15" x14ac:dyDescent="0.4"/>
    <row r="282" s="1" customFormat="1" ht="15" x14ac:dyDescent="0.4"/>
    <row r="283" s="1" customFormat="1" ht="15" x14ac:dyDescent="0.4"/>
    <row r="284" s="1" customFormat="1" ht="15" x14ac:dyDescent="0.4"/>
    <row r="285" s="1" customFormat="1" ht="15" x14ac:dyDescent="0.4"/>
    <row r="286" s="1" customFormat="1" ht="15" x14ac:dyDescent="0.4"/>
    <row r="287" s="1" customFormat="1" ht="15" x14ac:dyDescent="0.4"/>
    <row r="288" s="1" customFormat="1" ht="15" x14ac:dyDescent="0.4"/>
    <row r="289" s="1" customFormat="1" ht="15" x14ac:dyDescent="0.4"/>
    <row r="290" s="1" customFormat="1" ht="15" x14ac:dyDescent="0.4"/>
    <row r="291" s="1" customFormat="1" ht="15" x14ac:dyDescent="0.4"/>
    <row r="292" s="1" customFormat="1" ht="15" x14ac:dyDescent="0.4"/>
    <row r="293" s="1" customFormat="1" ht="15" x14ac:dyDescent="0.4"/>
    <row r="294" s="1" customFormat="1" ht="15" x14ac:dyDescent="0.4"/>
    <row r="295" s="1" customFormat="1" ht="15" x14ac:dyDescent="0.4"/>
    <row r="296" s="1" customFormat="1" ht="15" x14ac:dyDescent="0.4"/>
    <row r="297" s="1" customFormat="1" ht="15" x14ac:dyDescent="0.4"/>
    <row r="298" s="1" customFormat="1" ht="15" x14ac:dyDescent="0.4"/>
    <row r="299" s="1" customFormat="1" ht="15" x14ac:dyDescent="0.4"/>
    <row r="300" s="1" customFormat="1" ht="15" x14ac:dyDescent="0.4"/>
    <row r="301" s="1" customFormat="1" ht="15" x14ac:dyDescent="0.4"/>
    <row r="302" s="1" customFormat="1" ht="15" x14ac:dyDescent="0.4"/>
    <row r="303" s="1" customFormat="1" ht="15" x14ac:dyDescent="0.4"/>
    <row r="304" s="1" customFormat="1" ht="15" x14ac:dyDescent="0.4"/>
    <row r="305" s="1" customFormat="1" ht="15" x14ac:dyDescent="0.4"/>
    <row r="306" s="1" customFormat="1" ht="15" x14ac:dyDescent="0.4"/>
    <row r="307" s="1" customFormat="1" ht="15" x14ac:dyDescent="0.4"/>
    <row r="308" s="1" customFormat="1" ht="15" x14ac:dyDescent="0.4"/>
    <row r="309" s="1" customFormat="1" ht="15" x14ac:dyDescent="0.4"/>
    <row r="310" s="1" customFormat="1" ht="15" x14ac:dyDescent="0.4"/>
    <row r="311" s="1" customFormat="1" ht="15" x14ac:dyDescent="0.4"/>
    <row r="312" s="1" customFormat="1" ht="15" x14ac:dyDescent="0.4"/>
    <row r="313" s="1" customFormat="1" ht="15" x14ac:dyDescent="0.4"/>
    <row r="314" s="1" customFormat="1" ht="15" x14ac:dyDescent="0.4"/>
    <row r="315" s="1" customFormat="1" ht="15" x14ac:dyDescent="0.4"/>
    <row r="316" s="1" customFormat="1" ht="15" x14ac:dyDescent="0.4"/>
    <row r="317" s="1" customFormat="1" ht="15" x14ac:dyDescent="0.4"/>
    <row r="318" s="1" customFormat="1" ht="15" x14ac:dyDescent="0.4"/>
    <row r="319" s="1" customFormat="1" ht="15" x14ac:dyDescent="0.4"/>
    <row r="320" s="1" customFormat="1" ht="15" x14ac:dyDescent="0.4"/>
    <row r="321" s="1" customFormat="1" ht="15" x14ac:dyDescent="0.4"/>
    <row r="322" s="1" customFormat="1" ht="15" x14ac:dyDescent="0.4"/>
    <row r="323" s="1" customFormat="1" ht="15" x14ac:dyDescent="0.4"/>
    <row r="324" s="1" customFormat="1" ht="15" x14ac:dyDescent="0.4"/>
    <row r="325" s="1" customFormat="1" ht="15" x14ac:dyDescent="0.4"/>
    <row r="326" s="1" customFormat="1" ht="15" x14ac:dyDescent="0.4"/>
    <row r="327" s="1" customFormat="1" ht="15" x14ac:dyDescent="0.4"/>
    <row r="328" s="1" customFormat="1" ht="15" x14ac:dyDescent="0.4"/>
    <row r="329" s="1" customFormat="1" ht="15" x14ac:dyDescent="0.4"/>
    <row r="330" s="1" customFormat="1" ht="15" x14ac:dyDescent="0.4"/>
    <row r="331" s="1" customFormat="1" ht="15" x14ac:dyDescent="0.4"/>
    <row r="332" s="1" customFormat="1" ht="15" x14ac:dyDescent="0.4"/>
  </sheetData>
  <mergeCells count="40">
    <mergeCell ref="C1:D1"/>
    <mergeCell ref="A43:A44"/>
    <mergeCell ref="A38:C38"/>
    <mergeCell ref="A3:B3"/>
    <mergeCell ref="C3:D3"/>
    <mergeCell ref="C4:D4"/>
    <mergeCell ref="C2:D2"/>
    <mergeCell ref="A2:B2"/>
    <mergeCell ref="A5:B5"/>
    <mergeCell ref="C5:D5"/>
    <mergeCell ref="A4:B4"/>
    <mergeCell ref="A86:B86"/>
    <mergeCell ref="A80:B80"/>
    <mergeCell ref="A92:B92"/>
    <mergeCell ref="A89:B89"/>
    <mergeCell ref="A90:B90"/>
    <mergeCell ref="A91:B91"/>
    <mergeCell ref="A88:B88"/>
    <mergeCell ref="A83:F83"/>
    <mergeCell ref="A84:B84"/>
    <mergeCell ref="A81:B81"/>
    <mergeCell ref="A87:B87"/>
    <mergeCell ref="A85:B85"/>
    <mergeCell ref="A82:B82"/>
    <mergeCell ref="A100:E100"/>
    <mergeCell ref="A63:F63"/>
    <mergeCell ref="A76:B76"/>
    <mergeCell ref="A77:B77"/>
    <mergeCell ref="A78:B78"/>
    <mergeCell ref="A79:B79"/>
    <mergeCell ref="D66:E66"/>
    <mergeCell ref="D68:E69"/>
    <mergeCell ref="D71:E71"/>
    <mergeCell ref="D72:E72"/>
    <mergeCell ref="D73:E73"/>
    <mergeCell ref="D67:E67"/>
    <mergeCell ref="A94:F94"/>
    <mergeCell ref="A64:F64"/>
    <mergeCell ref="A75:F75"/>
    <mergeCell ref="D65:E65"/>
  </mergeCells>
  <pageMargins left="0.7" right="0.7" top="0.75" bottom="0.75" header="0.3" footer="0.3"/>
  <pageSetup orientation="landscape" r:id="rId1"/>
  <headerFooter>
    <oddHeader>&amp;L&amp;"Franklin Gothic Book,Regular"City of Rochester
Climate Pollution Reduction Act Grant
&amp;R&amp;"Franklin Gothic Book,Italic"Program #4&amp;"Franklin Gothic Book,Regular": Sustainable Municipal Upgrades</oddHeader>
    <oddFooter>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1"/>
  <sheetViews>
    <sheetView view="pageLayout" zoomScaleNormal="100" workbookViewId="0">
      <selection activeCell="E17" sqref="E17"/>
    </sheetView>
  </sheetViews>
  <sheetFormatPr defaultRowHeight="14.5" x14ac:dyDescent="0.35"/>
  <cols>
    <col min="1" max="1" width="7.26953125" customWidth="1"/>
  </cols>
  <sheetData>
    <row r="1" spans="1:2" s="1" customFormat="1" ht="15" x14ac:dyDescent="0.4">
      <c r="A1" s="6" t="s">
        <v>4</v>
      </c>
      <c r="B1" s="6"/>
    </row>
    <row r="2" spans="1:2" s="1" customFormat="1" ht="15" x14ac:dyDescent="0.4">
      <c r="A2" s="14" t="s">
        <v>7</v>
      </c>
      <c r="B2" s="13" t="s">
        <v>18</v>
      </c>
    </row>
    <row r="3" spans="1:2" s="1" customFormat="1" ht="15" x14ac:dyDescent="0.4">
      <c r="A3" s="2"/>
      <c r="B3" s="1" t="s">
        <v>19</v>
      </c>
    </row>
    <row r="4" spans="1:2" s="1" customFormat="1" ht="15" x14ac:dyDescent="0.4">
      <c r="A4" s="2"/>
    </row>
    <row r="5" spans="1:2" s="1" customFormat="1" ht="15" x14ac:dyDescent="0.4">
      <c r="A5" s="12" t="s">
        <v>5</v>
      </c>
      <c r="B5" s="11"/>
    </row>
    <row r="6" spans="1:2" s="1" customFormat="1" ht="15" x14ac:dyDescent="0.4">
      <c r="A6" s="14" t="s">
        <v>7</v>
      </c>
      <c r="B6" s="13" t="s">
        <v>6</v>
      </c>
    </row>
    <row r="7" spans="1:2" s="1" customFormat="1" ht="15" x14ac:dyDescent="0.4">
      <c r="B7" s="1" t="s">
        <v>17</v>
      </c>
    </row>
    <row r="8" spans="1:2" s="1" customFormat="1" ht="15" x14ac:dyDescent="0.4">
      <c r="A8" s="14" t="s">
        <v>20</v>
      </c>
      <c r="B8" s="13" t="s">
        <v>21</v>
      </c>
    </row>
    <row r="9" spans="1:2" s="1" customFormat="1" ht="15" x14ac:dyDescent="0.4"/>
    <row r="10" spans="1:2" s="1" customFormat="1" ht="15" x14ac:dyDescent="0.4"/>
    <row r="11" spans="1:2" s="1" customFormat="1" ht="15" x14ac:dyDescent="0.4"/>
    <row r="12" spans="1:2" s="1" customFormat="1" ht="15" x14ac:dyDescent="0.4">
      <c r="A12" s="44" t="s">
        <v>7</v>
      </c>
      <c r="B12" s="13" t="s">
        <v>270</v>
      </c>
    </row>
    <row r="13" spans="1:2" s="1" customFormat="1" ht="15" x14ac:dyDescent="0.4"/>
    <row r="14" spans="1:2" s="1" customFormat="1" ht="15" x14ac:dyDescent="0.4"/>
    <row r="15" spans="1:2" s="1" customFormat="1" ht="15" x14ac:dyDescent="0.4"/>
    <row r="16" spans="1:2" s="1" customFormat="1" ht="15" x14ac:dyDescent="0.4"/>
    <row r="17" spans="1:2" s="1" customFormat="1" ht="15" x14ac:dyDescent="0.4">
      <c r="A17" s="1" t="s">
        <v>331</v>
      </c>
    </row>
    <row r="18" spans="1:2" s="1" customFormat="1" ht="15" x14ac:dyDescent="0.4">
      <c r="A18" s="44" t="s">
        <v>7</v>
      </c>
      <c r="B18" s="13" t="s">
        <v>332</v>
      </c>
    </row>
    <row r="19" spans="1:2" s="1" customFormat="1" ht="15" x14ac:dyDescent="0.4"/>
    <row r="20" spans="1:2" s="1" customFormat="1" ht="15" x14ac:dyDescent="0.4"/>
    <row r="21" spans="1:2" s="1" customFormat="1" ht="15" x14ac:dyDescent="0.4">
      <c r="A21" s="6" t="s">
        <v>54</v>
      </c>
    </row>
    <row r="22" spans="1:2" s="1" customFormat="1" ht="15" x14ac:dyDescent="0.4">
      <c r="A22" s="14" t="s">
        <v>47</v>
      </c>
      <c r="B22" s="13" t="s">
        <v>48</v>
      </c>
    </row>
    <row r="23" spans="1:2" s="1" customFormat="1" ht="15" x14ac:dyDescent="0.4">
      <c r="B23" s="1" t="s">
        <v>49</v>
      </c>
    </row>
    <row r="24" spans="1:2" s="1" customFormat="1" ht="15" x14ac:dyDescent="0.4">
      <c r="A24" s="14" t="s">
        <v>20</v>
      </c>
      <c r="B24" s="13" t="s">
        <v>55</v>
      </c>
    </row>
    <row r="25" spans="1:2" s="1" customFormat="1" ht="15" x14ac:dyDescent="0.4">
      <c r="B25" s="1" t="s">
        <v>56</v>
      </c>
    </row>
    <row r="26" spans="1:2" s="1" customFormat="1" ht="15" x14ac:dyDescent="0.4">
      <c r="A26" s="14" t="s">
        <v>61</v>
      </c>
      <c r="B26" s="13" t="s">
        <v>62</v>
      </c>
    </row>
    <row r="27" spans="1:2" s="1" customFormat="1" ht="15" x14ac:dyDescent="0.4">
      <c r="A27" s="5"/>
      <c r="B27" s="1" t="s">
        <v>63</v>
      </c>
    </row>
    <row r="28" spans="1:2" s="1" customFormat="1" ht="15" x14ac:dyDescent="0.4">
      <c r="A28" s="14" t="s">
        <v>91</v>
      </c>
      <c r="B28" s="13" t="s">
        <v>93</v>
      </c>
    </row>
    <row r="29" spans="1:2" s="1" customFormat="1" ht="15" x14ac:dyDescent="0.4">
      <c r="B29" s="1" t="s">
        <v>92</v>
      </c>
    </row>
    <row r="30" spans="1:2" s="1" customFormat="1" ht="15" x14ac:dyDescent="0.4">
      <c r="A30" s="44" t="s">
        <v>108</v>
      </c>
      <c r="B30" s="13" t="s">
        <v>109</v>
      </c>
    </row>
    <row r="31" spans="1:2" s="1" customFormat="1" ht="15" x14ac:dyDescent="0.4"/>
    <row r="32" spans="1:2" s="1" customFormat="1" ht="15" x14ac:dyDescent="0.4">
      <c r="B32" s="1" t="s">
        <v>110</v>
      </c>
    </row>
    <row r="33" s="1" customFormat="1" ht="15" x14ac:dyDescent="0.4"/>
    <row r="34" s="1" customFormat="1" ht="15" x14ac:dyDescent="0.4"/>
    <row r="35" s="1" customFormat="1" ht="15" x14ac:dyDescent="0.4"/>
    <row r="36" s="1" customFormat="1" ht="15" x14ac:dyDescent="0.4"/>
    <row r="37" s="1" customFormat="1" ht="15" x14ac:dyDescent="0.4"/>
    <row r="38" s="1" customFormat="1" ht="15" x14ac:dyDescent="0.4"/>
    <row r="39" s="1" customFormat="1" ht="15" x14ac:dyDescent="0.4"/>
    <row r="40" s="1" customFormat="1" ht="15" x14ac:dyDescent="0.4"/>
    <row r="41" s="1" customFormat="1" ht="15" x14ac:dyDescent="0.4"/>
    <row r="42" s="1" customFormat="1" ht="15" x14ac:dyDescent="0.4"/>
    <row r="43" s="1" customFormat="1" ht="15" x14ac:dyDescent="0.4"/>
    <row r="44" s="1" customFormat="1" ht="15" x14ac:dyDescent="0.4"/>
    <row r="45" s="1" customFormat="1" ht="15" x14ac:dyDescent="0.4"/>
    <row r="46" s="1" customFormat="1" ht="15" x14ac:dyDescent="0.4"/>
    <row r="47" s="1" customFormat="1" ht="15" x14ac:dyDescent="0.4"/>
    <row r="48" s="1" customFormat="1" ht="15" x14ac:dyDescent="0.4"/>
    <row r="49" s="1" customFormat="1" ht="15" x14ac:dyDescent="0.4"/>
    <row r="50" s="1" customFormat="1" ht="15" x14ac:dyDescent="0.4"/>
    <row r="51" s="1" customFormat="1" ht="15" x14ac:dyDescent="0.4"/>
    <row r="52" s="1" customFormat="1" ht="15" x14ac:dyDescent="0.4"/>
    <row r="53" s="1" customFormat="1" ht="15" x14ac:dyDescent="0.4"/>
    <row r="54" s="1" customFormat="1" ht="15" x14ac:dyDescent="0.4"/>
    <row r="55" s="1" customFormat="1" ht="15" x14ac:dyDescent="0.4"/>
    <row r="56" s="1" customFormat="1" ht="15" x14ac:dyDescent="0.4"/>
    <row r="57" s="1" customFormat="1" ht="15" x14ac:dyDescent="0.4"/>
    <row r="58" s="1" customFormat="1" ht="15" x14ac:dyDescent="0.4"/>
    <row r="59" s="1" customFormat="1" ht="15" x14ac:dyDescent="0.4"/>
    <row r="60" s="1" customFormat="1" ht="15" x14ac:dyDescent="0.4"/>
    <row r="61" s="1" customFormat="1" ht="15" x14ac:dyDescent="0.4"/>
    <row r="62" s="1" customFormat="1" ht="15" x14ac:dyDescent="0.4"/>
    <row r="63" s="1" customFormat="1" ht="15" x14ac:dyDescent="0.4"/>
    <row r="64" s="1" customFormat="1" ht="15" x14ac:dyDescent="0.4"/>
    <row r="65" s="1" customFormat="1" ht="15" x14ac:dyDescent="0.4"/>
    <row r="66" s="1" customFormat="1" ht="15" x14ac:dyDescent="0.4"/>
    <row r="67" s="1" customFormat="1" ht="15" x14ac:dyDescent="0.4"/>
    <row r="68" s="1" customFormat="1" ht="15" x14ac:dyDescent="0.4"/>
    <row r="69" s="1" customFormat="1" ht="15" x14ac:dyDescent="0.4"/>
    <row r="70" s="1" customFormat="1" ht="15" x14ac:dyDescent="0.4"/>
    <row r="71" s="1" customFormat="1" ht="15" x14ac:dyDescent="0.4"/>
    <row r="72" s="1" customFormat="1" ht="15" x14ac:dyDescent="0.4"/>
    <row r="73" s="1" customFormat="1" ht="15" x14ac:dyDescent="0.4"/>
    <row r="74" s="1" customFormat="1" ht="15" x14ac:dyDescent="0.4"/>
    <row r="75" s="1" customFormat="1" ht="15" x14ac:dyDescent="0.4"/>
    <row r="76" s="1" customFormat="1" ht="15" x14ac:dyDescent="0.4"/>
    <row r="77" s="1" customFormat="1" ht="15" x14ac:dyDescent="0.4"/>
    <row r="78" s="1" customFormat="1" ht="15" x14ac:dyDescent="0.4"/>
    <row r="79" s="1" customFormat="1" ht="15" x14ac:dyDescent="0.4"/>
    <row r="80" s="1" customFormat="1" ht="15" x14ac:dyDescent="0.4"/>
    <row r="81" s="1" customFormat="1" ht="15" x14ac:dyDescent="0.4"/>
    <row r="82" s="1" customFormat="1" ht="15" x14ac:dyDescent="0.4"/>
    <row r="83" s="1" customFormat="1" ht="15" x14ac:dyDescent="0.4"/>
    <row r="84" s="1" customFormat="1" ht="15" x14ac:dyDescent="0.4"/>
    <row r="85" s="1" customFormat="1" ht="15" x14ac:dyDescent="0.4"/>
    <row r="86" s="1" customFormat="1" ht="15" x14ac:dyDescent="0.4"/>
    <row r="87" s="1" customFormat="1" ht="15" x14ac:dyDescent="0.4"/>
    <row r="88" s="1" customFormat="1" ht="15" x14ac:dyDescent="0.4"/>
    <row r="89" s="1" customFormat="1" ht="15" x14ac:dyDescent="0.4"/>
    <row r="90" s="1" customFormat="1" ht="15" x14ac:dyDescent="0.4"/>
    <row r="91" s="1" customFormat="1" ht="15" x14ac:dyDescent="0.4"/>
    <row r="92" s="1" customFormat="1" ht="15" x14ac:dyDescent="0.4"/>
    <row r="93" s="1" customFormat="1" ht="15" x14ac:dyDescent="0.4"/>
    <row r="94" s="1" customFormat="1" ht="15" x14ac:dyDescent="0.4"/>
    <row r="95" s="1" customFormat="1" ht="15" x14ac:dyDescent="0.4"/>
    <row r="96" s="1" customFormat="1" ht="15" x14ac:dyDescent="0.4"/>
    <row r="97" s="1" customFormat="1" ht="15" x14ac:dyDescent="0.4"/>
    <row r="98" s="1" customFormat="1" ht="15" x14ac:dyDescent="0.4"/>
    <row r="99" s="1" customFormat="1" ht="15" x14ac:dyDescent="0.4"/>
    <row r="100" s="1" customFormat="1" ht="15" x14ac:dyDescent="0.4"/>
    <row r="101" s="1" customFormat="1" ht="15" x14ac:dyDescent="0.4"/>
    <row r="102" s="1" customFormat="1" ht="15" x14ac:dyDescent="0.4"/>
    <row r="103" s="1" customFormat="1" ht="15" x14ac:dyDescent="0.4"/>
    <row r="104" s="1" customFormat="1" ht="15" x14ac:dyDescent="0.4"/>
    <row r="105" s="1" customFormat="1" ht="15" x14ac:dyDescent="0.4"/>
    <row r="106" s="1" customFormat="1" ht="15" x14ac:dyDescent="0.4"/>
    <row r="107" s="1" customFormat="1" ht="15" x14ac:dyDescent="0.4"/>
    <row r="108" s="1" customFormat="1" ht="15" x14ac:dyDescent="0.4"/>
    <row r="109" s="1" customFormat="1" ht="15" x14ac:dyDescent="0.4"/>
    <row r="110" s="1" customFormat="1" ht="15" x14ac:dyDescent="0.4"/>
    <row r="111" s="1" customFormat="1" ht="15" x14ac:dyDescent="0.4"/>
    <row r="112" s="1" customFormat="1" ht="15" x14ac:dyDescent="0.4"/>
    <row r="113" s="1" customFormat="1" ht="15" x14ac:dyDescent="0.4"/>
    <row r="114" s="1" customFormat="1" ht="15" x14ac:dyDescent="0.4"/>
    <row r="115" s="1" customFormat="1" ht="15" x14ac:dyDescent="0.4"/>
    <row r="116" s="1" customFormat="1" ht="15" x14ac:dyDescent="0.4"/>
    <row r="117" s="1" customFormat="1" ht="15" x14ac:dyDescent="0.4"/>
    <row r="118" s="1" customFormat="1" ht="15" x14ac:dyDescent="0.4"/>
    <row r="119" s="1" customFormat="1" ht="15" x14ac:dyDescent="0.4"/>
    <row r="120" s="1" customFormat="1" ht="15" x14ac:dyDescent="0.4"/>
    <row r="121" s="1" customFormat="1" ht="15" x14ac:dyDescent="0.4"/>
    <row r="122" s="1" customFormat="1" ht="15" x14ac:dyDescent="0.4"/>
    <row r="123" s="1" customFormat="1" ht="15" x14ac:dyDescent="0.4"/>
    <row r="124" s="1" customFormat="1" ht="15" x14ac:dyDescent="0.4"/>
    <row r="125" s="1" customFormat="1" ht="15" x14ac:dyDescent="0.4"/>
    <row r="126" s="1" customFormat="1" ht="15" x14ac:dyDescent="0.4"/>
    <row r="127" s="1" customFormat="1" ht="15" x14ac:dyDescent="0.4"/>
    <row r="128" s="1" customFormat="1" ht="15" x14ac:dyDescent="0.4"/>
    <row r="129" s="1" customFormat="1" ht="15" x14ac:dyDescent="0.4"/>
    <row r="130" s="1" customFormat="1" ht="15" x14ac:dyDescent="0.4"/>
    <row r="131" s="1" customFormat="1" ht="15" x14ac:dyDescent="0.4"/>
    <row r="132" s="1" customFormat="1" ht="15" x14ac:dyDescent="0.4"/>
    <row r="133" s="1" customFormat="1" ht="15" x14ac:dyDescent="0.4"/>
    <row r="134" s="1" customFormat="1" ht="15" x14ac:dyDescent="0.4"/>
    <row r="135" s="1" customFormat="1" ht="15" x14ac:dyDescent="0.4"/>
    <row r="136" s="1" customFormat="1" ht="15" x14ac:dyDescent="0.4"/>
    <row r="137" s="1" customFormat="1" ht="15" x14ac:dyDescent="0.4"/>
    <row r="138" s="1" customFormat="1" ht="15" x14ac:dyDescent="0.4"/>
    <row r="139" s="1" customFormat="1" ht="15" x14ac:dyDescent="0.4"/>
    <row r="140" s="1" customFormat="1" ht="15" x14ac:dyDescent="0.4"/>
    <row r="141" s="1" customFormat="1" ht="15" x14ac:dyDescent="0.4"/>
    <row r="142" s="1" customFormat="1" ht="15" x14ac:dyDescent="0.4"/>
    <row r="143" s="1" customFormat="1" ht="15" x14ac:dyDescent="0.4"/>
    <row r="144" s="1" customFormat="1" ht="15" x14ac:dyDescent="0.4"/>
    <row r="145" s="1" customFormat="1" ht="15" x14ac:dyDescent="0.4"/>
    <row r="146" s="1" customFormat="1" ht="15" x14ac:dyDescent="0.4"/>
    <row r="147" s="1" customFormat="1" ht="15" x14ac:dyDescent="0.4"/>
    <row r="148" s="1" customFormat="1" ht="15" x14ac:dyDescent="0.4"/>
    <row r="149" s="1" customFormat="1" ht="15" x14ac:dyDescent="0.4"/>
    <row r="150" s="1" customFormat="1" ht="15" x14ac:dyDescent="0.4"/>
    <row r="151" s="1" customFormat="1" ht="15" x14ac:dyDescent="0.4"/>
    <row r="152" s="1" customFormat="1" ht="15" x14ac:dyDescent="0.4"/>
    <row r="153" s="1" customFormat="1" ht="15" x14ac:dyDescent="0.4"/>
    <row r="154" s="1" customFormat="1" ht="15" x14ac:dyDescent="0.4"/>
    <row r="155" s="1" customFormat="1" ht="15" x14ac:dyDescent="0.4"/>
    <row r="156" s="1" customFormat="1" ht="15" x14ac:dyDescent="0.4"/>
    <row r="157" s="1" customFormat="1" ht="15" x14ac:dyDescent="0.4"/>
    <row r="158" s="1" customFormat="1" ht="15" x14ac:dyDescent="0.4"/>
    <row r="159" s="1" customFormat="1" ht="15" x14ac:dyDescent="0.4"/>
    <row r="160" s="1" customFormat="1" ht="15" x14ac:dyDescent="0.4"/>
    <row r="161" s="1" customFormat="1" ht="15" x14ac:dyDescent="0.4"/>
    <row r="162" s="1" customFormat="1" ht="15" x14ac:dyDescent="0.4"/>
    <row r="163" s="1" customFormat="1" ht="15" x14ac:dyDescent="0.4"/>
    <row r="164" s="1" customFormat="1" ht="15" x14ac:dyDescent="0.4"/>
    <row r="165" s="1" customFormat="1" ht="15" x14ac:dyDescent="0.4"/>
    <row r="166" s="1" customFormat="1" ht="15" x14ac:dyDescent="0.4"/>
    <row r="167" s="1" customFormat="1" ht="15" x14ac:dyDescent="0.4"/>
    <row r="168" s="1" customFormat="1" ht="15" x14ac:dyDescent="0.4"/>
    <row r="169" s="1" customFormat="1" ht="15" x14ac:dyDescent="0.4"/>
    <row r="170" s="1" customFormat="1" ht="15" x14ac:dyDescent="0.4"/>
    <row r="171" s="1" customFormat="1" ht="15" x14ac:dyDescent="0.4"/>
    <row r="172" s="1" customFormat="1" ht="15" x14ac:dyDescent="0.4"/>
    <row r="173" s="1" customFormat="1" ht="15" x14ac:dyDescent="0.4"/>
    <row r="174" s="1" customFormat="1" ht="15" x14ac:dyDescent="0.4"/>
    <row r="175" s="1" customFormat="1" ht="15" x14ac:dyDescent="0.4"/>
    <row r="176" s="1" customFormat="1" ht="15" x14ac:dyDescent="0.4"/>
    <row r="177" s="1" customFormat="1" ht="15" x14ac:dyDescent="0.4"/>
    <row r="178" s="1" customFormat="1" ht="15" x14ac:dyDescent="0.4"/>
    <row r="179" s="1" customFormat="1" ht="15" x14ac:dyDescent="0.4"/>
    <row r="180" s="1" customFormat="1" ht="15" x14ac:dyDescent="0.4"/>
    <row r="181" s="1" customFormat="1" ht="15" x14ac:dyDescent="0.4"/>
    <row r="182" s="1" customFormat="1" ht="15" x14ac:dyDescent="0.4"/>
    <row r="183" s="1" customFormat="1" ht="15" x14ac:dyDescent="0.4"/>
    <row r="184" s="1" customFormat="1" ht="15" x14ac:dyDescent="0.4"/>
    <row r="185" s="1" customFormat="1" ht="15" x14ac:dyDescent="0.4"/>
    <row r="186" s="1" customFormat="1" ht="15" x14ac:dyDescent="0.4"/>
    <row r="187" s="1" customFormat="1" ht="15" x14ac:dyDescent="0.4"/>
    <row r="188" s="1" customFormat="1" ht="15" x14ac:dyDescent="0.4"/>
    <row r="189" s="1" customFormat="1" ht="15" x14ac:dyDescent="0.4"/>
    <row r="190" s="1" customFormat="1" ht="15" x14ac:dyDescent="0.4"/>
    <row r="191" s="1" customFormat="1" ht="15" x14ac:dyDescent="0.4"/>
    <row r="192" s="1" customFormat="1" ht="15" x14ac:dyDescent="0.4"/>
    <row r="193" s="1" customFormat="1" ht="15" x14ac:dyDescent="0.4"/>
    <row r="194" s="1" customFormat="1" ht="15" x14ac:dyDescent="0.4"/>
    <row r="195" s="1" customFormat="1" ht="15" x14ac:dyDescent="0.4"/>
    <row r="196" s="1" customFormat="1" ht="15" x14ac:dyDescent="0.4"/>
    <row r="197" s="1" customFormat="1" ht="15" x14ac:dyDescent="0.4"/>
    <row r="198" s="1" customFormat="1" ht="15" x14ac:dyDescent="0.4"/>
    <row r="199" s="1" customFormat="1" ht="15" x14ac:dyDescent="0.4"/>
    <row r="200" s="1" customFormat="1" ht="15" x14ac:dyDescent="0.4"/>
    <row r="201" s="1" customFormat="1" ht="15" x14ac:dyDescent="0.4"/>
    <row r="202" s="1" customFormat="1" ht="15" x14ac:dyDescent="0.4"/>
    <row r="203" s="1" customFormat="1" ht="15" x14ac:dyDescent="0.4"/>
    <row r="204" s="1" customFormat="1" ht="15" x14ac:dyDescent="0.4"/>
    <row r="205" s="1" customFormat="1" ht="15" x14ac:dyDescent="0.4"/>
    <row r="206" s="1" customFormat="1" ht="15" x14ac:dyDescent="0.4"/>
    <row r="207" s="1" customFormat="1" ht="15" x14ac:dyDescent="0.4"/>
    <row r="208" s="1" customFormat="1" ht="15" x14ac:dyDescent="0.4"/>
    <row r="209" s="1" customFormat="1" ht="15" x14ac:dyDescent="0.4"/>
    <row r="210" s="1" customFormat="1" ht="15" x14ac:dyDescent="0.4"/>
    <row r="211" s="1" customFormat="1" ht="15" x14ac:dyDescent="0.4"/>
    <row r="212" s="1" customFormat="1" ht="15" x14ac:dyDescent="0.4"/>
    <row r="213" s="1" customFormat="1" ht="15" x14ac:dyDescent="0.4"/>
    <row r="214" s="1" customFormat="1" ht="15" x14ac:dyDescent="0.4"/>
    <row r="215" s="1" customFormat="1" ht="15" x14ac:dyDescent="0.4"/>
    <row r="216" s="1" customFormat="1" ht="15" x14ac:dyDescent="0.4"/>
    <row r="217" s="1" customFormat="1" ht="15" x14ac:dyDescent="0.4"/>
    <row r="218" s="1" customFormat="1" ht="15" x14ac:dyDescent="0.4"/>
    <row r="219" s="1" customFormat="1" ht="15" x14ac:dyDescent="0.4"/>
    <row r="220" s="1" customFormat="1" ht="15" x14ac:dyDescent="0.4"/>
    <row r="221" s="1" customFormat="1" ht="15" x14ac:dyDescent="0.4"/>
    <row r="222" s="1" customFormat="1" ht="15" x14ac:dyDescent="0.4"/>
    <row r="223" s="1" customFormat="1" ht="15" x14ac:dyDescent="0.4"/>
    <row r="224" s="1" customFormat="1" ht="15" x14ac:dyDescent="0.4"/>
    <row r="225" s="1" customFormat="1" ht="15" x14ac:dyDescent="0.4"/>
    <row r="226" s="1" customFormat="1" ht="15" x14ac:dyDescent="0.4"/>
    <row r="227" s="1" customFormat="1" ht="15" x14ac:dyDescent="0.4"/>
    <row r="228" s="1" customFormat="1" ht="15" x14ac:dyDescent="0.4"/>
    <row r="229" s="1" customFormat="1" ht="15" x14ac:dyDescent="0.4"/>
    <row r="230" s="1" customFormat="1" ht="15" x14ac:dyDescent="0.4"/>
    <row r="231" s="1" customFormat="1" ht="15" x14ac:dyDescent="0.4"/>
    <row r="232" s="1" customFormat="1" ht="15" x14ac:dyDescent="0.4"/>
    <row r="233" s="1" customFormat="1" ht="15" x14ac:dyDescent="0.4"/>
    <row r="234" s="1" customFormat="1" ht="15" x14ac:dyDescent="0.4"/>
    <row r="235" s="1" customFormat="1" ht="15" x14ac:dyDescent="0.4"/>
    <row r="236" s="1" customFormat="1" ht="15" x14ac:dyDescent="0.4"/>
    <row r="237" s="1" customFormat="1" ht="15" x14ac:dyDescent="0.4"/>
    <row r="238" s="1" customFormat="1" ht="15" x14ac:dyDescent="0.4"/>
    <row r="239" s="1" customFormat="1" ht="15" x14ac:dyDescent="0.4"/>
    <row r="240" s="1" customFormat="1" ht="15" x14ac:dyDescent="0.4"/>
    <row r="241" s="1" customFormat="1" ht="15" x14ac:dyDescent="0.4"/>
    <row r="242" s="1" customFormat="1" ht="15" x14ac:dyDescent="0.4"/>
    <row r="243" s="1" customFormat="1" ht="15" x14ac:dyDescent="0.4"/>
    <row r="244" s="1" customFormat="1" ht="15" x14ac:dyDescent="0.4"/>
    <row r="245" s="1" customFormat="1" ht="15" x14ac:dyDescent="0.4"/>
    <row r="246" s="1" customFormat="1" ht="15" x14ac:dyDescent="0.4"/>
    <row r="247" s="1" customFormat="1" ht="15" x14ac:dyDescent="0.4"/>
    <row r="248" s="1" customFormat="1" ht="15" x14ac:dyDescent="0.4"/>
    <row r="249" s="1" customFormat="1" ht="15" x14ac:dyDescent="0.4"/>
    <row r="250" s="1" customFormat="1" ht="15" x14ac:dyDescent="0.4"/>
    <row r="251" s="1" customFormat="1" ht="15" x14ac:dyDescent="0.4"/>
    <row r="252" s="1" customFormat="1" ht="15" x14ac:dyDescent="0.4"/>
    <row r="253" s="1" customFormat="1" ht="15" x14ac:dyDescent="0.4"/>
    <row r="254" s="1" customFormat="1" ht="15" x14ac:dyDescent="0.4"/>
    <row r="255" s="1" customFormat="1" ht="15" x14ac:dyDescent="0.4"/>
    <row r="256" s="1" customFormat="1" ht="15" x14ac:dyDescent="0.4"/>
    <row r="257" s="1" customFormat="1" ht="15" x14ac:dyDescent="0.4"/>
    <row r="258" s="1" customFormat="1" ht="15" x14ac:dyDescent="0.4"/>
    <row r="259" s="1" customFormat="1" ht="15" x14ac:dyDescent="0.4"/>
    <row r="260" s="1" customFormat="1" ht="15" x14ac:dyDescent="0.4"/>
    <row r="261" s="1" customFormat="1" ht="15" x14ac:dyDescent="0.4"/>
    <row r="262" s="1" customFormat="1" ht="15" x14ac:dyDescent="0.4"/>
    <row r="263" s="1" customFormat="1" ht="15" x14ac:dyDescent="0.4"/>
    <row r="264" s="1" customFormat="1" ht="15" x14ac:dyDescent="0.4"/>
    <row r="265" s="1" customFormat="1" ht="15" x14ac:dyDescent="0.4"/>
    <row r="266" s="1" customFormat="1" ht="15" x14ac:dyDescent="0.4"/>
    <row r="267" s="1" customFormat="1" ht="15" x14ac:dyDescent="0.4"/>
    <row r="268" s="1" customFormat="1" ht="15" x14ac:dyDescent="0.4"/>
    <row r="269" s="1" customFormat="1" ht="15" x14ac:dyDescent="0.4"/>
    <row r="270" s="1" customFormat="1" ht="15" x14ac:dyDescent="0.4"/>
    <row r="271" s="1" customFormat="1" ht="15" x14ac:dyDescent="0.4"/>
    <row r="272" s="1" customFormat="1" ht="15" x14ac:dyDescent="0.4"/>
    <row r="273" s="1" customFormat="1" ht="15" x14ac:dyDescent="0.4"/>
    <row r="274" s="1" customFormat="1" ht="15" x14ac:dyDescent="0.4"/>
    <row r="275" s="1" customFormat="1" ht="15" x14ac:dyDescent="0.4"/>
    <row r="276" s="1" customFormat="1" ht="15" x14ac:dyDescent="0.4"/>
    <row r="277" s="1" customFormat="1" ht="15" x14ac:dyDescent="0.4"/>
    <row r="278" s="1" customFormat="1" ht="15" x14ac:dyDescent="0.4"/>
    <row r="279" s="1" customFormat="1" ht="15" x14ac:dyDescent="0.4"/>
    <row r="280" s="1" customFormat="1" ht="15" x14ac:dyDescent="0.4"/>
    <row r="281" s="1" customFormat="1" ht="15" x14ac:dyDescent="0.4"/>
    <row r="282" s="1" customFormat="1" ht="15" x14ac:dyDescent="0.4"/>
    <row r="283" s="1" customFormat="1" ht="15" x14ac:dyDescent="0.4"/>
    <row r="284" s="1" customFormat="1" ht="15" x14ac:dyDescent="0.4"/>
    <row r="285" s="1" customFormat="1" ht="15" x14ac:dyDescent="0.4"/>
    <row r="286" s="1" customFormat="1" ht="15" x14ac:dyDescent="0.4"/>
    <row r="287" s="1" customFormat="1" ht="15" x14ac:dyDescent="0.4"/>
    <row r="288" s="1" customFormat="1" ht="15" x14ac:dyDescent="0.4"/>
    <row r="289" s="1" customFormat="1" ht="15" x14ac:dyDescent="0.4"/>
    <row r="290" s="1" customFormat="1" ht="15" x14ac:dyDescent="0.4"/>
    <row r="291" s="1" customFormat="1" ht="15" x14ac:dyDescent="0.4"/>
    <row r="292" s="1" customFormat="1" ht="15" x14ac:dyDescent="0.4"/>
    <row r="293" s="1" customFormat="1" ht="15" x14ac:dyDescent="0.4"/>
    <row r="294" s="1" customFormat="1" ht="15" x14ac:dyDescent="0.4"/>
    <row r="295" s="1" customFormat="1" ht="15" x14ac:dyDescent="0.4"/>
    <row r="296" s="1" customFormat="1" ht="15" x14ac:dyDescent="0.4"/>
    <row r="297" s="1" customFormat="1" ht="15" x14ac:dyDescent="0.4"/>
    <row r="298" s="1" customFormat="1" ht="15" x14ac:dyDescent="0.4"/>
    <row r="299" s="1" customFormat="1" ht="15" x14ac:dyDescent="0.4"/>
    <row r="300" s="1" customFormat="1" ht="15" x14ac:dyDescent="0.4"/>
    <row r="301" s="1" customFormat="1" ht="15" x14ac:dyDescent="0.4"/>
    <row r="302" s="1" customFormat="1" ht="15" x14ac:dyDescent="0.4"/>
    <row r="303" s="1" customFormat="1" ht="15" x14ac:dyDescent="0.4"/>
    <row r="304" s="1" customFormat="1" ht="15" x14ac:dyDescent="0.4"/>
    <row r="305" s="1" customFormat="1" ht="15" x14ac:dyDescent="0.4"/>
    <row r="306" s="1" customFormat="1" ht="15" x14ac:dyDescent="0.4"/>
    <row r="307" s="1" customFormat="1" ht="15" x14ac:dyDescent="0.4"/>
    <row r="308" s="1" customFormat="1" ht="15" x14ac:dyDescent="0.4"/>
    <row r="309" s="1" customFormat="1" ht="15" x14ac:dyDescent="0.4"/>
    <row r="310" s="1" customFormat="1" ht="15" x14ac:dyDescent="0.4"/>
    <row r="311" s="1" customFormat="1" ht="15" x14ac:dyDescent="0.4"/>
    <row r="312" s="1" customFormat="1" ht="15" x14ac:dyDescent="0.4"/>
    <row r="313" s="1" customFormat="1" ht="15" x14ac:dyDescent="0.4"/>
    <row r="314" s="1" customFormat="1" ht="15" x14ac:dyDescent="0.4"/>
    <row r="315" s="1" customFormat="1" ht="15" x14ac:dyDescent="0.4"/>
    <row r="316" s="1" customFormat="1" ht="15" x14ac:dyDescent="0.4"/>
    <row r="317" s="1" customFormat="1" ht="15" x14ac:dyDescent="0.4"/>
    <row r="318" s="1" customFormat="1" ht="15" x14ac:dyDescent="0.4"/>
    <row r="319" s="1" customFormat="1" ht="15" x14ac:dyDescent="0.4"/>
    <row r="320" s="1" customFormat="1" ht="15" x14ac:dyDescent="0.4"/>
    <row r="321" s="1" customFormat="1" ht="15" x14ac:dyDescent="0.4"/>
    <row r="322" s="1" customFormat="1" ht="15" x14ac:dyDescent="0.4"/>
    <row r="323" s="1" customFormat="1" ht="15" x14ac:dyDescent="0.4"/>
    <row r="324" s="1" customFormat="1" ht="15" x14ac:dyDescent="0.4"/>
    <row r="325" s="1" customFormat="1" ht="15" x14ac:dyDescent="0.4"/>
    <row r="326" s="1" customFormat="1" ht="15" x14ac:dyDescent="0.4"/>
    <row r="327" s="1" customFormat="1" ht="15" x14ac:dyDescent="0.4"/>
    <row r="328" s="1" customFormat="1" ht="15" x14ac:dyDescent="0.4"/>
    <row r="329" s="1" customFormat="1" ht="15" x14ac:dyDescent="0.4"/>
    <row r="330" s="1" customFormat="1" ht="15" x14ac:dyDescent="0.4"/>
    <row r="331" s="1" customFormat="1" ht="15" x14ac:dyDescent="0.4"/>
    <row r="332" s="1" customFormat="1" ht="15" x14ac:dyDescent="0.4"/>
    <row r="333" s="1" customFormat="1" ht="15" x14ac:dyDescent="0.4"/>
    <row r="334" s="1" customFormat="1" ht="15" x14ac:dyDescent="0.4"/>
    <row r="335" s="1" customFormat="1" ht="15" x14ac:dyDescent="0.4"/>
    <row r="336" s="1" customFormat="1" ht="15" x14ac:dyDescent="0.4"/>
    <row r="337" s="1" customFormat="1" ht="15" x14ac:dyDescent="0.4"/>
    <row r="338" s="1" customFormat="1" ht="15" x14ac:dyDescent="0.4"/>
    <row r="339" s="1" customFormat="1" ht="15" x14ac:dyDescent="0.4"/>
    <row r="340" s="1" customFormat="1" ht="15" x14ac:dyDescent="0.4"/>
    <row r="341" s="1" customFormat="1" ht="15" x14ac:dyDescent="0.4"/>
    <row r="342" s="1" customFormat="1" ht="15" x14ac:dyDescent="0.4"/>
    <row r="343" s="1" customFormat="1" ht="15" x14ac:dyDescent="0.4"/>
    <row r="344" s="1" customFormat="1" ht="15" x14ac:dyDescent="0.4"/>
    <row r="345" s="1" customFormat="1" ht="15" x14ac:dyDescent="0.4"/>
    <row r="346" s="1" customFormat="1" ht="15" x14ac:dyDescent="0.4"/>
    <row r="347" s="1" customFormat="1" ht="15" x14ac:dyDescent="0.4"/>
    <row r="348" s="1" customFormat="1" ht="15" x14ac:dyDescent="0.4"/>
    <row r="349" s="1" customFormat="1" ht="15" x14ac:dyDescent="0.4"/>
    <row r="350" s="1" customFormat="1" ht="15" x14ac:dyDescent="0.4"/>
    <row r="351" s="1" customFormat="1" ht="15" x14ac:dyDescent="0.4"/>
    <row r="352" s="1" customFormat="1" ht="15" x14ac:dyDescent="0.4"/>
    <row r="353" s="1" customFormat="1" ht="15" x14ac:dyDescent="0.4"/>
    <row r="354" s="1" customFormat="1" ht="15" x14ac:dyDescent="0.4"/>
    <row r="355" s="1" customFormat="1" ht="15" x14ac:dyDescent="0.4"/>
    <row r="356" s="1" customFormat="1" ht="15" x14ac:dyDescent="0.4"/>
    <row r="357" s="1" customFormat="1" ht="15" x14ac:dyDescent="0.4"/>
    <row r="358" s="1" customFormat="1" ht="15" x14ac:dyDescent="0.4"/>
    <row r="359" s="1" customFormat="1" ht="15" x14ac:dyDescent="0.4"/>
    <row r="360" s="1" customFormat="1" ht="15" x14ac:dyDescent="0.4"/>
    <row r="361" s="1" customFormat="1" ht="15" x14ac:dyDescent="0.4"/>
  </sheetData>
  <hyperlinks>
    <hyperlink ref="B6" r:id="rId1" display="https://www.solarenergylocal.com/states/new-york/rochester/"/>
    <hyperlink ref="B2" r:id="rId2"/>
    <hyperlink ref="B8" r:id="rId3" display="https://pvwatts.nrel.gov/pvwatts.php"/>
    <hyperlink ref="B22" r:id="rId4" display="https://modernize.com/hvac/heating-repair-installation/furnace/furnace-size-calculator"/>
    <hyperlink ref="B24" r:id="rId5" display="https://www.energystar.gov/productfinder/product/certified-central-heat-pumps/results"/>
    <hyperlink ref="B26" r:id="rId6" display="https://www.rge.com/documents/40137/2123683/2024-01-15+RGE+12-Month+Ave+Supply+Rates_01.15.24.pdf/803dead4-e831-7eae-3cad-db517fe152d9?t=1705324214041"/>
    <hyperlink ref="B28" r:id="rId7" display="https://www.energystar.gov/productfinder/product/certified-water-heaters/results"/>
    <hyperlink ref="B30" r:id="rId8" display="https://dps.ny.gov/system/files/documents/2023/12/nys-trm-v11_filing.pdf"/>
    <hyperlink ref="B12" r:id="rId9" display="https://www.ipcc.ch/site/assets/uploads/2018/05/SYR_AR5_FINAL_full_wcover.pdf"/>
    <hyperlink ref="B18" r:id="rId10" display="https://iwae.com/media/manuals/geocool/gcshp-brochure.pdf"/>
  </hyperlinks>
  <pageMargins left="0.7" right="0.7" top="0.75" bottom="0.75" header="0.3" footer="0.3"/>
  <pageSetup orientation="landscape" r:id="rId11"/>
  <headerFooter>
    <oddHeader xml:space="preserve">&amp;L&amp;"Franklin Gothic Book,Regular"City of Rochester
Climate Pollution Reduction Act Grant
&amp;R&amp;"Franklin Gothic Book,Italic"Resources List
</oddHeader>
    <oddFooter>&amp;R&amp;G</oddFooter>
  </headerFooter>
  <legacyDrawingHF r:id="rId1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4"/>
  <sheetViews>
    <sheetView view="pageLayout" zoomScaleNormal="100" workbookViewId="0">
      <selection activeCell="D15" sqref="D15"/>
    </sheetView>
  </sheetViews>
  <sheetFormatPr defaultRowHeight="14.5" x14ac:dyDescent="0.35"/>
  <cols>
    <col min="1" max="1" width="16" customWidth="1"/>
    <col min="2" max="2" width="9" bestFit="1" customWidth="1"/>
    <col min="3" max="3" width="14.26953125" bestFit="1" customWidth="1"/>
    <col min="4" max="6" width="16.1796875" bestFit="1" customWidth="1"/>
    <col min="8" max="8" width="8.26953125" customWidth="1"/>
    <col min="9" max="9" width="12.7265625" customWidth="1"/>
  </cols>
  <sheetData>
    <row r="1" spans="1:9" s="1" customFormat="1" ht="17.5" x14ac:dyDescent="0.4">
      <c r="A1" s="16">
        <v>1</v>
      </c>
      <c r="B1" s="16" t="s">
        <v>11</v>
      </c>
      <c r="C1" s="15" t="s">
        <v>12</v>
      </c>
      <c r="D1" s="3">
        <v>9.2902999999999999E-2</v>
      </c>
      <c r="E1" s="3" t="s">
        <v>9</v>
      </c>
      <c r="G1" s="1" t="s">
        <v>263</v>
      </c>
    </row>
    <row r="2" spans="1:9" s="1" customFormat="1" ht="17" x14ac:dyDescent="0.5">
      <c r="A2" s="16">
        <v>1</v>
      </c>
      <c r="B2" s="3" t="s">
        <v>24</v>
      </c>
      <c r="C2" s="3" t="s">
        <v>12</v>
      </c>
      <c r="D2" s="3">
        <v>0.29470000000000002</v>
      </c>
      <c r="E2" s="3" t="s">
        <v>258</v>
      </c>
      <c r="H2" s="3" t="s">
        <v>264</v>
      </c>
      <c r="I2" s="3" t="s">
        <v>265</v>
      </c>
    </row>
    <row r="3" spans="1:9" s="1" customFormat="1" ht="17" x14ac:dyDescent="0.5">
      <c r="A3" s="16">
        <v>1</v>
      </c>
      <c r="B3" s="3" t="s">
        <v>167</v>
      </c>
      <c r="C3" s="3" t="s">
        <v>12</v>
      </c>
      <c r="D3" s="30">
        <v>2205</v>
      </c>
      <c r="E3" s="3" t="s">
        <v>73</v>
      </c>
      <c r="G3" s="1" t="s">
        <v>266</v>
      </c>
    </row>
    <row r="4" spans="1:9" s="1" customFormat="1" ht="17" x14ac:dyDescent="0.5">
      <c r="A4" s="15">
        <v>1</v>
      </c>
      <c r="B4" s="3" t="s">
        <v>53</v>
      </c>
      <c r="C4" s="15" t="s">
        <v>12</v>
      </c>
      <c r="D4" s="30">
        <v>1000000</v>
      </c>
      <c r="E4" s="3" t="s">
        <v>51</v>
      </c>
      <c r="G4" s="1" t="s">
        <v>267</v>
      </c>
      <c r="H4" s="1">
        <v>84</v>
      </c>
      <c r="I4" s="1">
        <v>28</v>
      </c>
    </row>
    <row r="5" spans="1:9" s="1" customFormat="1" ht="17" x14ac:dyDescent="0.5">
      <c r="A5" s="16">
        <v>1</v>
      </c>
      <c r="B5" s="3" t="s">
        <v>52</v>
      </c>
      <c r="C5" s="3" t="s">
        <v>12</v>
      </c>
      <c r="D5" s="3">
        <v>117</v>
      </c>
      <c r="E5" s="3" t="s">
        <v>73</v>
      </c>
      <c r="G5" s="1" t="s">
        <v>268</v>
      </c>
      <c r="H5" s="1">
        <v>264</v>
      </c>
      <c r="I5" s="1">
        <v>265</v>
      </c>
    </row>
    <row r="6" spans="1:9" s="1" customFormat="1" ht="15" x14ac:dyDescent="0.4">
      <c r="A6" s="16">
        <v>1</v>
      </c>
      <c r="B6" s="30" t="s">
        <v>52</v>
      </c>
      <c r="C6" s="3" t="s">
        <v>12</v>
      </c>
      <c r="D6" s="30">
        <v>1000000</v>
      </c>
      <c r="E6" s="3" t="s">
        <v>59</v>
      </c>
    </row>
    <row r="7" spans="1:9" s="1" customFormat="1" ht="15" x14ac:dyDescent="0.4">
      <c r="D7" s="3">
        <v>11</v>
      </c>
      <c r="E7" s="3" t="s">
        <v>57</v>
      </c>
      <c r="G7" s="1" t="s">
        <v>269</v>
      </c>
    </row>
    <row r="8" spans="1:9" s="1" customFormat="1" ht="15" x14ac:dyDescent="0.4">
      <c r="A8" s="3">
        <v>1</v>
      </c>
      <c r="B8" s="3" t="s">
        <v>24</v>
      </c>
      <c r="C8" s="3" t="s">
        <v>12</v>
      </c>
      <c r="D8" s="30">
        <v>1000</v>
      </c>
      <c r="E8" s="3" t="s">
        <v>58</v>
      </c>
    </row>
    <row r="9" spans="1:9" s="1" customFormat="1" ht="15" x14ac:dyDescent="0.4">
      <c r="A9" s="3">
        <v>1</v>
      </c>
      <c r="B9" s="3" t="s">
        <v>60</v>
      </c>
      <c r="C9" s="3" t="s">
        <v>12</v>
      </c>
      <c r="D9" s="30">
        <v>100000</v>
      </c>
      <c r="E9" s="3" t="s">
        <v>59</v>
      </c>
    </row>
    <row r="10" spans="1:9" s="1" customFormat="1" ht="15" x14ac:dyDescent="0.4">
      <c r="A10" s="3">
        <v>1</v>
      </c>
      <c r="B10" s="3" t="s">
        <v>52</v>
      </c>
      <c r="C10" s="3" t="s">
        <v>12</v>
      </c>
      <c r="D10" s="3">
        <v>10</v>
      </c>
      <c r="E10" s="3" t="s">
        <v>60</v>
      </c>
    </row>
    <row r="11" spans="1:9" s="1" customFormat="1" ht="17.5" x14ac:dyDescent="0.4">
      <c r="D11" s="3">
        <v>25</v>
      </c>
      <c r="E11" s="1" t="s">
        <v>65</v>
      </c>
    </row>
    <row r="12" spans="1:9" s="1" customFormat="1" ht="15" x14ac:dyDescent="0.4">
      <c r="A12" s="46">
        <v>1</v>
      </c>
      <c r="B12" s="46" t="s">
        <v>24</v>
      </c>
      <c r="C12" s="46" t="s">
        <v>12</v>
      </c>
      <c r="D12" s="47">
        <v>3412</v>
      </c>
      <c r="E12" s="46" t="s">
        <v>59</v>
      </c>
    </row>
    <row r="13" spans="1:9" s="1" customFormat="1" ht="15" x14ac:dyDescent="0.4">
      <c r="A13" s="3"/>
      <c r="B13" s="3"/>
      <c r="C13" s="3"/>
      <c r="D13" s="3"/>
      <c r="E13" s="3"/>
    </row>
    <row r="14" spans="1:9" s="1" customFormat="1" ht="15" x14ac:dyDescent="0.4">
      <c r="A14" s="542" t="s">
        <v>172</v>
      </c>
      <c r="B14" s="542"/>
      <c r="C14" s="542"/>
      <c r="D14" s="542"/>
      <c r="E14" s="542"/>
    </row>
    <row r="15" spans="1:9" s="1" customFormat="1" ht="15" x14ac:dyDescent="0.4">
      <c r="A15" s="37"/>
      <c r="B15" s="3"/>
      <c r="C15" s="1" t="s">
        <v>431</v>
      </c>
      <c r="D15" s="279">
        <v>0.14000000000000001</v>
      </c>
      <c r="E15" s="1" t="s">
        <v>24</v>
      </c>
    </row>
    <row r="16" spans="1:9" s="1" customFormat="1" ht="15" x14ac:dyDescent="0.4">
      <c r="C16" s="1" t="s">
        <v>432</v>
      </c>
      <c r="D16" s="36">
        <v>0.13</v>
      </c>
      <c r="E16" s="1" t="s">
        <v>24</v>
      </c>
    </row>
    <row r="17" spans="1:5" s="1" customFormat="1" ht="15" x14ac:dyDescent="0.4">
      <c r="D17" s="36">
        <v>0.43197400000000002</v>
      </c>
      <c r="E17" s="1" t="s">
        <v>60</v>
      </c>
    </row>
    <row r="18" spans="1:5" s="1" customFormat="1" ht="15" x14ac:dyDescent="0.4"/>
    <row r="19" spans="1:5" s="1" customFormat="1" ht="17" x14ac:dyDescent="0.5">
      <c r="A19" s="16">
        <v>1</v>
      </c>
      <c r="B19" s="3" t="s">
        <v>24</v>
      </c>
      <c r="C19" s="3" t="s">
        <v>12</v>
      </c>
      <c r="D19" s="3">
        <v>2.0999999999999999E-5</v>
      </c>
      <c r="E19" s="1" t="s">
        <v>261</v>
      </c>
    </row>
    <row r="20" spans="1:5" s="1" customFormat="1" ht="17" x14ac:dyDescent="0.5">
      <c r="A20" s="16">
        <v>1</v>
      </c>
      <c r="B20" s="3" t="s">
        <v>24</v>
      </c>
      <c r="C20" s="3" t="s">
        <v>12</v>
      </c>
      <c r="D20" s="3">
        <v>3.0000000000000001E-6</v>
      </c>
      <c r="E20" s="1" t="s">
        <v>262</v>
      </c>
    </row>
    <row r="21" spans="1:5" s="1" customFormat="1" ht="17" x14ac:dyDescent="0.5">
      <c r="A21" s="3">
        <v>1</v>
      </c>
      <c r="B21" s="3" t="s">
        <v>72</v>
      </c>
      <c r="C21" s="3" t="s">
        <v>12</v>
      </c>
      <c r="D21" s="3">
        <v>2.2000000000000002</v>
      </c>
      <c r="E21" s="32" t="s">
        <v>261</v>
      </c>
    </row>
    <row r="22" spans="1:5" s="1" customFormat="1" ht="17" x14ac:dyDescent="0.5">
      <c r="A22" s="3">
        <v>1</v>
      </c>
      <c r="B22" s="3" t="s">
        <v>72</v>
      </c>
      <c r="C22" s="3" t="s">
        <v>12</v>
      </c>
      <c r="D22" s="3">
        <v>0.22</v>
      </c>
      <c r="E22" s="32" t="s">
        <v>262</v>
      </c>
    </row>
    <row r="23" spans="1:5" s="1" customFormat="1" ht="15" x14ac:dyDescent="0.4"/>
    <row r="24" spans="1:5" s="1" customFormat="1" ht="15" x14ac:dyDescent="0.4">
      <c r="A24" s="1" t="s">
        <v>285</v>
      </c>
      <c r="B24" s="224">
        <v>5.0000000000000001E-3</v>
      </c>
    </row>
    <row r="25" spans="1:5" s="1" customFormat="1" ht="15" x14ac:dyDescent="0.4"/>
    <row r="26" spans="1:5" s="1" customFormat="1" ht="15" x14ac:dyDescent="0.4"/>
    <row r="27" spans="1:5" s="1" customFormat="1" ht="15" x14ac:dyDescent="0.4"/>
    <row r="28" spans="1:5" s="1" customFormat="1" ht="15" x14ac:dyDescent="0.4"/>
    <row r="29" spans="1:5" s="1" customFormat="1" ht="15" x14ac:dyDescent="0.4"/>
    <row r="30" spans="1:5" s="1" customFormat="1" ht="15" x14ac:dyDescent="0.4"/>
    <row r="31" spans="1:5" s="1" customFormat="1" ht="15" x14ac:dyDescent="0.4"/>
    <row r="32" spans="1:5" s="1" customFormat="1" ht="15" x14ac:dyDescent="0.4"/>
    <row r="33" spans="1:8" s="1" customFormat="1" ht="15" x14ac:dyDescent="0.4">
      <c r="A33" s="102" t="s">
        <v>147</v>
      </c>
    </row>
    <row r="34" spans="1:8" s="1" customFormat="1" ht="17.5" x14ac:dyDescent="0.4">
      <c r="A34" s="3">
        <v>17.5</v>
      </c>
      <c r="B34" s="3" t="s">
        <v>148</v>
      </c>
      <c r="D34" s="1" t="s">
        <v>149</v>
      </c>
    </row>
    <row r="35" spans="1:8" s="1" customFormat="1" ht="15" x14ac:dyDescent="0.4">
      <c r="A35" s="3">
        <f>1250/365</f>
        <v>3.4246575342465753</v>
      </c>
      <c r="B35" s="32" t="s">
        <v>150</v>
      </c>
      <c r="D35" s="1" t="s">
        <v>149</v>
      </c>
    </row>
    <row r="36" spans="1:8" s="1" customFormat="1" ht="15" x14ac:dyDescent="0.4"/>
    <row r="37" spans="1:8" s="1" customFormat="1" ht="15" x14ac:dyDescent="0.4">
      <c r="A37" s="557"/>
      <c r="B37" s="557"/>
      <c r="C37" s="557"/>
      <c r="D37" s="557"/>
      <c r="E37" s="557"/>
      <c r="F37" s="557"/>
    </row>
    <row r="38" spans="1:8" s="1" customFormat="1" ht="15" x14ac:dyDescent="0.4">
      <c r="A38" s="236"/>
      <c r="B38" s="236"/>
      <c r="C38" s="236"/>
      <c r="D38" s="236"/>
      <c r="E38" s="236"/>
      <c r="F38" s="236"/>
      <c r="G38" s="394"/>
      <c r="H38" s="394"/>
    </row>
    <row r="39" spans="1:8" s="1" customFormat="1" ht="15" x14ac:dyDescent="0.4">
      <c r="B39" s="258"/>
      <c r="C39" s="258"/>
      <c r="D39" s="258"/>
      <c r="E39" s="259"/>
      <c r="F39" s="258"/>
      <c r="G39" s="541"/>
      <c r="H39" s="541"/>
    </row>
    <row r="40" spans="1:8" s="1" customFormat="1" ht="15" x14ac:dyDescent="0.4">
      <c r="B40" s="258"/>
      <c r="C40" s="258"/>
      <c r="D40" s="258"/>
      <c r="E40" s="259"/>
      <c r="F40" s="258"/>
      <c r="G40" s="541"/>
      <c r="H40" s="541"/>
    </row>
    <row r="41" spans="1:8" s="1" customFormat="1" ht="15" x14ac:dyDescent="0.4">
      <c r="B41" s="258"/>
      <c r="C41" s="258"/>
      <c r="D41" s="258"/>
      <c r="E41" s="259"/>
      <c r="F41" s="258"/>
      <c r="G41" s="541"/>
      <c r="H41" s="541"/>
    </row>
    <row r="42" spans="1:8" s="1" customFormat="1" ht="15" x14ac:dyDescent="0.4">
      <c r="B42" s="258"/>
      <c r="C42" s="258"/>
      <c r="D42" s="258"/>
      <c r="E42" s="259"/>
      <c r="F42" s="258"/>
      <c r="G42" s="541"/>
      <c r="H42" s="541"/>
    </row>
    <row r="43" spans="1:8" s="1" customFormat="1" ht="15" x14ac:dyDescent="0.4">
      <c r="B43" s="258"/>
      <c r="C43" s="258"/>
      <c r="D43" s="258"/>
      <c r="E43" s="259"/>
      <c r="F43" s="258"/>
      <c r="G43" s="541"/>
      <c r="H43" s="541"/>
    </row>
    <row r="44" spans="1:8" s="1" customFormat="1" ht="15" x14ac:dyDescent="0.4"/>
    <row r="45" spans="1:8" s="1" customFormat="1" ht="15" x14ac:dyDescent="0.4">
      <c r="A45" s="423"/>
      <c r="B45" s="423"/>
      <c r="C45" s="258"/>
      <c r="D45" s="259"/>
    </row>
    <row r="46" spans="1:8" s="1" customFormat="1" ht="15" x14ac:dyDescent="0.4">
      <c r="D46" s="259"/>
    </row>
    <row r="47" spans="1:8" s="1" customFormat="1" ht="15" x14ac:dyDescent="0.4">
      <c r="D47" s="259"/>
    </row>
    <row r="48" spans="1:8" s="1" customFormat="1" ht="15" x14ac:dyDescent="0.4"/>
    <row r="49" spans="1:1" s="1" customFormat="1" ht="15" x14ac:dyDescent="0.4"/>
    <row r="50" spans="1:1" s="1" customFormat="1" ht="15" x14ac:dyDescent="0.4"/>
    <row r="51" spans="1:1" s="1" customFormat="1" ht="15" x14ac:dyDescent="0.4">
      <c r="A51" s="258"/>
    </row>
    <row r="52" spans="1:1" s="1" customFormat="1" ht="15" x14ac:dyDescent="0.4"/>
    <row r="53" spans="1:1" s="1" customFormat="1" ht="15" x14ac:dyDescent="0.4"/>
    <row r="54" spans="1:1" s="1" customFormat="1" ht="15" x14ac:dyDescent="0.4"/>
    <row r="55" spans="1:1" s="1" customFormat="1" ht="15" x14ac:dyDescent="0.4"/>
    <row r="56" spans="1:1" s="1" customFormat="1" ht="15" x14ac:dyDescent="0.4"/>
    <row r="57" spans="1:1" s="1" customFormat="1" ht="15" x14ac:dyDescent="0.4"/>
    <row r="58" spans="1:1" s="1" customFormat="1" ht="15" x14ac:dyDescent="0.4"/>
    <row r="59" spans="1:1" s="1" customFormat="1" ht="15" x14ac:dyDescent="0.4"/>
    <row r="60" spans="1:1" s="1" customFormat="1" ht="15" x14ac:dyDescent="0.4"/>
    <row r="61" spans="1:1" s="1" customFormat="1" ht="15" x14ac:dyDescent="0.4"/>
    <row r="62" spans="1:1" s="1" customFormat="1" ht="15" x14ac:dyDescent="0.4"/>
    <row r="63" spans="1:1" s="1" customFormat="1" ht="15" x14ac:dyDescent="0.4"/>
    <row r="64" spans="1:1" s="1" customFormat="1" ht="15" x14ac:dyDescent="0.4"/>
    <row r="65" spans="1:10" s="1" customFormat="1" ht="15" x14ac:dyDescent="0.4"/>
    <row r="66" spans="1:10" s="1" customFormat="1" ht="15" x14ac:dyDescent="0.4"/>
    <row r="67" spans="1:10" s="1" customFormat="1" ht="15.5" thickBot="1" x14ac:dyDescent="0.45">
      <c r="A67" s="558" t="s">
        <v>173</v>
      </c>
      <c r="B67" s="558"/>
      <c r="C67" s="558"/>
      <c r="D67" s="558"/>
      <c r="E67" s="558"/>
      <c r="F67" s="558"/>
      <c r="G67" s="558"/>
      <c r="H67" s="558"/>
      <c r="I67" s="558"/>
      <c r="J67" s="102"/>
    </row>
    <row r="68" spans="1:10" s="1" customFormat="1" ht="15" x14ac:dyDescent="0.4">
      <c r="A68" s="552" t="s">
        <v>157</v>
      </c>
      <c r="B68" s="553"/>
      <c r="C68" s="553"/>
      <c r="D68" s="553"/>
      <c r="E68" s="553"/>
      <c r="F68" s="553"/>
      <c r="G68" s="553"/>
      <c r="H68" s="553"/>
      <c r="I68" s="553"/>
    </row>
    <row r="69" spans="1:10" s="1" customFormat="1" ht="15" x14ac:dyDescent="0.4">
      <c r="A69" s="183" t="s">
        <v>174</v>
      </c>
      <c r="B69" s="184" t="s">
        <v>175</v>
      </c>
      <c r="C69" s="185" t="s">
        <v>75</v>
      </c>
      <c r="D69" s="186" t="s">
        <v>176</v>
      </c>
      <c r="E69" s="554" t="s">
        <v>198</v>
      </c>
      <c r="F69" s="554"/>
      <c r="G69" s="554"/>
      <c r="H69" s="554"/>
      <c r="I69" s="554"/>
    </row>
    <row r="70" spans="1:10" s="1" customFormat="1" ht="17" x14ac:dyDescent="0.5">
      <c r="A70" s="93" t="s">
        <v>66</v>
      </c>
      <c r="B70" s="4">
        <v>1</v>
      </c>
      <c r="C70" s="107"/>
      <c r="D70" s="110"/>
      <c r="E70" s="547" t="str">
        <f>'2-Res_Heating_Cooling'!A16</f>
        <v>Fossil Fuel Heating Factor3:</v>
      </c>
      <c r="F70" s="547"/>
      <c r="G70" s="547"/>
      <c r="H70" s="547"/>
      <c r="I70" s="547"/>
    </row>
    <row r="71" spans="1:10" s="1" customFormat="1" ht="17" x14ac:dyDescent="0.5">
      <c r="A71" s="93" t="s">
        <v>67</v>
      </c>
      <c r="B71" s="4">
        <v>0.8</v>
      </c>
      <c r="C71" s="107"/>
      <c r="D71" s="110"/>
      <c r="E71" s="547" t="str">
        <f>'2-Res_Heating_Cooling'!A17</f>
        <v>Efficiency Rating of Fossil Fuel Heating Equip4:</v>
      </c>
      <c r="F71" s="547"/>
      <c r="G71" s="547"/>
      <c r="H71" s="547"/>
      <c r="I71" s="547"/>
    </row>
    <row r="72" spans="1:10" s="1" customFormat="1" ht="17" x14ac:dyDescent="0.5">
      <c r="A72" s="93" t="s">
        <v>68</v>
      </c>
      <c r="B72" s="9">
        <v>2016</v>
      </c>
      <c r="D72" s="110" t="s">
        <v>71</v>
      </c>
      <c r="E72" s="547" t="str">
        <f>'2-Res_Heating_Cooling'!A18</f>
        <v>Heating Equivalent Full-Load Hours5:</v>
      </c>
      <c r="F72" s="547"/>
      <c r="G72" s="547"/>
      <c r="H72" s="547"/>
      <c r="I72" s="547"/>
    </row>
    <row r="73" spans="1:10" s="1" customFormat="1" ht="17" x14ac:dyDescent="0.5">
      <c r="A73" s="93" t="s">
        <v>69</v>
      </c>
      <c r="B73" s="4">
        <v>1</v>
      </c>
      <c r="C73" s="107"/>
      <c r="D73" s="110"/>
      <c r="E73" s="547" t="str">
        <f>'2-Res_Heating_Cooling'!A19</f>
        <v>Adjustment Factor for Seasonal Heating Load6:</v>
      </c>
      <c r="F73" s="547"/>
      <c r="G73" s="547"/>
      <c r="H73" s="547"/>
      <c r="I73" s="547"/>
    </row>
    <row r="74" spans="1:10" s="1" customFormat="1" ht="17" x14ac:dyDescent="0.5">
      <c r="A74" s="93" t="s">
        <v>70</v>
      </c>
      <c r="B74" s="4">
        <v>1</v>
      </c>
      <c r="C74" s="4"/>
      <c r="D74" s="19"/>
      <c r="E74" s="547" t="str">
        <f>'2-Res_Heating_Cooling'!A20</f>
        <v>Heating Load Fraction Modification7:</v>
      </c>
      <c r="F74" s="547"/>
      <c r="G74" s="547"/>
      <c r="H74" s="547"/>
      <c r="I74" s="547"/>
    </row>
    <row r="75" spans="1:10" s="1" customFormat="1" ht="17" x14ac:dyDescent="0.5">
      <c r="A75" s="93" t="s">
        <v>146</v>
      </c>
      <c r="B75" s="4">
        <f>(B115*B116)/3.412</f>
        <v>1.7543962485345839</v>
      </c>
      <c r="C75" s="4"/>
      <c r="D75" s="19"/>
      <c r="E75" s="547" t="str">
        <f>'2-Res_Heating_Cooling'!A21</f>
        <v>Seaonally-Adj. Coefficient of Performance8:</v>
      </c>
      <c r="F75" s="547"/>
      <c r="G75" s="547"/>
      <c r="H75" s="547"/>
      <c r="I75" s="547"/>
    </row>
    <row r="76" spans="1:10" s="1" customFormat="1" ht="31" x14ac:dyDescent="0.5">
      <c r="A76" s="93" t="s">
        <v>152</v>
      </c>
      <c r="B76" s="4">
        <f>B77+B78*B115*(1/3.412)</f>
        <v>2.1862754982415002</v>
      </c>
      <c r="C76" s="4"/>
      <c r="D76" s="111" t="s">
        <v>155</v>
      </c>
      <c r="E76" s="547" t="str">
        <f>'2-Res_Heating_Cooling'!A22</f>
        <v>Coeff. of Performance of Energy-Efficient Equip.9:</v>
      </c>
      <c r="F76" s="547"/>
      <c r="G76" s="547"/>
      <c r="H76" s="547"/>
      <c r="I76" s="547"/>
    </row>
    <row r="77" spans="1:10" s="1" customFormat="1" ht="17" x14ac:dyDescent="0.5">
      <c r="A77" s="93" t="s">
        <v>153</v>
      </c>
      <c r="B77" s="4">
        <v>8.1000000000000003E-2</v>
      </c>
      <c r="C77" s="4"/>
      <c r="D77" s="19"/>
      <c r="E77" s="547" t="s">
        <v>199</v>
      </c>
      <c r="F77" s="547"/>
      <c r="G77" s="547"/>
      <c r="H77" s="547"/>
      <c r="I77" s="547"/>
    </row>
    <row r="78" spans="1:10" s="1" customFormat="1" ht="17" x14ac:dyDescent="0.5">
      <c r="A78" s="93" t="s">
        <v>154</v>
      </c>
      <c r="B78" s="4">
        <v>0.876</v>
      </c>
      <c r="C78" s="4"/>
      <c r="D78" s="19"/>
      <c r="E78" s="547" t="s">
        <v>199</v>
      </c>
      <c r="F78" s="547"/>
      <c r="G78" s="547"/>
      <c r="H78" s="547"/>
      <c r="I78" s="547"/>
    </row>
    <row r="79" spans="1:10" s="1" customFormat="1" ht="17" x14ac:dyDescent="0.5">
      <c r="A79" s="93" t="s">
        <v>156</v>
      </c>
      <c r="B79" s="4">
        <v>0</v>
      </c>
      <c r="C79" s="4"/>
      <c r="D79" s="19"/>
      <c r="E79" s="547" t="str">
        <f>'2-Res_Heating_Cooling'!A23</f>
        <v>Electric Heating Factor10:</v>
      </c>
      <c r="F79" s="547"/>
      <c r="G79" s="547"/>
      <c r="H79" s="547"/>
      <c r="I79" s="547"/>
    </row>
    <row r="80" spans="1:10" s="1" customFormat="1" ht="15" x14ac:dyDescent="0.4">
      <c r="A80" s="93" t="s">
        <v>158</v>
      </c>
      <c r="B80" s="9">
        <f>'2-Res_Heating_Cooling'!E11*'2-Res_Heating_Cooling'!E14</f>
        <v>30000</v>
      </c>
      <c r="C80" s="4" t="s">
        <v>32</v>
      </c>
      <c r="D80" s="19"/>
      <c r="E80" s="547" t="s">
        <v>200</v>
      </c>
      <c r="F80" s="547"/>
      <c r="G80" s="547"/>
      <c r="H80" s="547"/>
      <c r="I80" s="547"/>
    </row>
    <row r="81" spans="1:9" s="1" customFormat="1" ht="17.5" thickBot="1" x14ac:dyDescent="0.55000000000000004">
      <c r="A81" s="94" t="s">
        <v>159</v>
      </c>
      <c r="B81" s="109">
        <v>1</v>
      </c>
      <c r="C81" s="109"/>
      <c r="D81" s="112"/>
      <c r="E81" s="547" t="str">
        <f>'2-Res_Heating_Cooling'!A24</f>
        <v>New Electric Heating Factor11:</v>
      </c>
      <c r="F81" s="547"/>
      <c r="G81" s="547"/>
      <c r="H81" s="547"/>
      <c r="I81" s="547"/>
    </row>
    <row r="82" spans="1:9" s="1" customFormat="1" ht="15" x14ac:dyDescent="0.4"/>
    <row r="83" spans="1:9" s="1" customFormat="1" ht="15" x14ac:dyDescent="0.4"/>
    <row r="84" spans="1:9" s="1" customFormat="1" ht="15" x14ac:dyDescent="0.4"/>
    <row r="85" spans="1:9" s="1" customFormat="1" ht="15" x14ac:dyDescent="0.4"/>
    <row r="86" spans="1:9" s="1" customFormat="1" ht="15" x14ac:dyDescent="0.4"/>
    <row r="87" spans="1:9" s="1" customFormat="1" ht="15" x14ac:dyDescent="0.4"/>
    <row r="88" spans="1:9" s="1" customFormat="1" ht="15" x14ac:dyDescent="0.4"/>
    <row r="89" spans="1:9" s="1" customFormat="1" ht="15" x14ac:dyDescent="0.4">
      <c r="A89" s="556" t="s">
        <v>181</v>
      </c>
      <c r="B89" s="556"/>
      <c r="C89" s="556"/>
      <c r="D89" s="556"/>
    </row>
    <row r="90" spans="1:9" s="1" customFormat="1" ht="15" x14ac:dyDescent="0.4">
      <c r="A90" s="551" t="s">
        <v>182</v>
      </c>
      <c r="B90" s="551"/>
      <c r="C90" s="36">
        <v>12500</v>
      </c>
    </row>
    <row r="91" spans="1:9" s="1" customFormat="1" ht="15" x14ac:dyDescent="0.4">
      <c r="A91" s="551" t="s">
        <v>183</v>
      </c>
      <c r="B91" s="551"/>
      <c r="C91" s="36">
        <v>2800</v>
      </c>
    </row>
    <row r="92" spans="1:9" s="1" customFormat="1" ht="15" x14ac:dyDescent="0.4"/>
    <row r="93" spans="1:9" s="1" customFormat="1" ht="15" x14ac:dyDescent="0.4"/>
    <row r="94" spans="1:9" s="1" customFormat="1" ht="15" x14ac:dyDescent="0.4"/>
    <row r="95" spans="1:9" s="1" customFormat="1" ht="15" x14ac:dyDescent="0.4"/>
    <row r="96" spans="1:9" s="1" customFormat="1" ht="15" x14ac:dyDescent="0.4"/>
    <row r="97" spans="1:9" s="1" customFormat="1" ht="15.5" thickBot="1" x14ac:dyDescent="0.45"/>
    <row r="98" spans="1:9" s="1" customFormat="1" ht="15" x14ac:dyDescent="0.4">
      <c r="A98" s="559" t="s">
        <v>74</v>
      </c>
      <c r="B98" s="560"/>
      <c r="C98" s="560"/>
      <c r="D98" s="560"/>
      <c r="E98" s="561"/>
    </row>
    <row r="99" spans="1:9" s="1" customFormat="1" ht="15" x14ac:dyDescent="0.4">
      <c r="A99" s="108" t="s">
        <v>174</v>
      </c>
      <c r="B99" s="105" t="s">
        <v>175</v>
      </c>
      <c r="C99" s="106" t="s">
        <v>75</v>
      </c>
      <c r="D99" s="523" t="s">
        <v>176</v>
      </c>
      <c r="E99" s="555"/>
      <c r="F99" s="562" t="s">
        <v>198</v>
      </c>
      <c r="G99" s="563"/>
      <c r="H99" s="563"/>
      <c r="I99" s="563"/>
    </row>
    <row r="100" spans="1:9" s="1" customFormat="1" ht="17" x14ac:dyDescent="0.5">
      <c r="A100" s="93" t="s">
        <v>161</v>
      </c>
      <c r="B100" s="4">
        <v>1</v>
      </c>
      <c r="C100" s="4"/>
      <c r="D100" s="547"/>
      <c r="E100" s="548"/>
      <c r="F100" s="546" t="s">
        <v>201</v>
      </c>
      <c r="G100" s="542"/>
      <c r="H100" s="542"/>
      <c r="I100" s="542"/>
    </row>
    <row r="101" spans="1:9" s="1" customFormat="1" ht="17" x14ac:dyDescent="0.5">
      <c r="A101" s="93" t="s">
        <v>160</v>
      </c>
      <c r="B101" s="4">
        <v>0</v>
      </c>
      <c r="C101" s="4"/>
      <c r="D101" s="547"/>
      <c r="E101" s="548"/>
      <c r="F101" s="546" t="s">
        <v>202</v>
      </c>
      <c r="G101" s="542"/>
      <c r="H101" s="542"/>
      <c r="I101" s="542"/>
    </row>
    <row r="102" spans="1:9" s="1" customFormat="1" ht="15" x14ac:dyDescent="0.4">
      <c r="A102" s="93" t="s">
        <v>75</v>
      </c>
      <c r="B102" s="4">
        <f>'2-Res_Heating_Cooling'!E10</f>
        <v>40</v>
      </c>
      <c r="C102" s="4"/>
      <c r="D102" s="547"/>
      <c r="E102" s="548"/>
      <c r="F102" s="546" t="s">
        <v>203</v>
      </c>
      <c r="G102" s="542"/>
      <c r="H102" s="542"/>
      <c r="I102" s="542"/>
    </row>
    <row r="103" spans="1:9" s="1" customFormat="1" ht="15" x14ac:dyDescent="0.4">
      <c r="A103" s="93" t="s">
        <v>76</v>
      </c>
      <c r="B103" s="9">
        <f>'2-Res_Heating_Cooling'!E34</f>
        <v>75</v>
      </c>
      <c r="C103" s="4"/>
      <c r="D103" s="547"/>
      <c r="E103" s="548"/>
      <c r="F103" s="546" t="s">
        <v>204</v>
      </c>
      <c r="G103" s="542"/>
      <c r="H103" s="542"/>
      <c r="I103" s="542"/>
    </row>
    <row r="104" spans="1:9" s="1" customFormat="1" ht="17" x14ac:dyDescent="0.5">
      <c r="A104" s="93" t="s">
        <v>78</v>
      </c>
      <c r="B104" s="4">
        <f>125-55.1</f>
        <v>69.900000000000006</v>
      </c>
      <c r="C104" s="4" t="s">
        <v>77</v>
      </c>
      <c r="D104" s="547" t="s">
        <v>88</v>
      </c>
      <c r="E104" s="548"/>
      <c r="F104" s="546" t="s">
        <v>205</v>
      </c>
      <c r="G104" s="542"/>
      <c r="H104" s="542"/>
      <c r="I104" s="542"/>
    </row>
    <row r="105" spans="1:9" s="1" customFormat="1" ht="17" x14ac:dyDescent="0.5">
      <c r="A105" s="93" t="s">
        <v>79</v>
      </c>
      <c r="B105" s="4">
        <v>1</v>
      </c>
      <c r="C105" s="4"/>
      <c r="D105" s="547"/>
      <c r="E105" s="548"/>
      <c r="F105" s="546"/>
      <c r="G105" s="542"/>
      <c r="H105" s="542"/>
      <c r="I105" s="542"/>
    </row>
    <row r="106" spans="1:9" s="1" customFormat="1" ht="17" x14ac:dyDescent="0.5">
      <c r="A106" s="93" t="s">
        <v>80</v>
      </c>
      <c r="B106" s="4">
        <f>0.692-(0.0013*'2-Res_Heating_Cooling'!E32)</f>
        <v>0.627</v>
      </c>
      <c r="C106" s="4"/>
      <c r="D106" s="547" t="s">
        <v>89</v>
      </c>
      <c r="E106" s="548"/>
      <c r="F106" s="546" t="s">
        <v>206</v>
      </c>
      <c r="G106" s="542"/>
      <c r="H106" s="542"/>
      <c r="I106" s="542"/>
    </row>
    <row r="107" spans="1:9" s="1" customFormat="1" ht="17" x14ac:dyDescent="0.5">
      <c r="A107" s="93" t="s">
        <v>81</v>
      </c>
      <c r="B107" s="4">
        <v>1</v>
      </c>
      <c r="C107" s="4"/>
      <c r="D107" s="547"/>
      <c r="E107" s="548"/>
      <c r="F107" s="546"/>
      <c r="G107" s="542"/>
      <c r="H107" s="542"/>
      <c r="I107" s="542"/>
    </row>
    <row r="108" spans="1:9" s="1" customFormat="1" ht="15" x14ac:dyDescent="0.4">
      <c r="A108" s="93" t="s">
        <v>82</v>
      </c>
      <c r="B108" s="4">
        <v>0.8</v>
      </c>
      <c r="C108" s="4"/>
      <c r="D108" s="547"/>
      <c r="E108" s="548"/>
      <c r="F108" s="546"/>
      <c r="G108" s="542"/>
      <c r="H108" s="542"/>
      <c r="I108" s="542"/>
    </row>
    <row r="109" spans="1:9" s="1" customFormat="1" ht="17" x14ac:dyDescent="0.5">
      <c r="A109" s="97" t="s">
        <v>83</v>
      </c>
      <c r="B109" s="113">
        <v>4.05</v>
      </c>
      <c r="C109" s="4"/>
      <c r="D109" s="547" t="s">
        <v>90</v>
      </c>
      <c r="E109" s="548"/>
      <c r="F109" s="546" t="s">
        <v>207</v>
      </c>
      <c r="G109" s="542"/>
      <c r="H109" s="542"/>
      <c r="I109" s="542"/>
    </row>
    <row r="110" spans="1:9" s="1" customFormat="1" ht="17" x14ac:dyDescent="0.5">
      <c r="A110" s="93" t="s">
        <v>84</v>
      </c>
      <c r="B110" s="4">
        <v>1</v>
      </c>
      <c r="C110" s="4"/>
      <c r="D110" s="547"/>
      <c r="E110" s="548"/>
      <c r="F110" s="546"/>
      <c r="G110" s="542"/>
      <c r="H110" s="542"/>
      <c r="I110" s="542"/>
    </row>
    <row r="111" spans="1:9" s="1" customFormat="1" ht="17" x14ac:dyDescent="0.5">
      <c r="A111" s="93" t="s">
        <v>66</v>
      </c>
      <c r="B111" s="4">
        <v>1</v>
      </c>
      <c r="C111" s="4"/>
      <c r="D111" s="547"/>
      <c r="E111" s="548"/>
      <c r="F111" s="546"/>
      <c r="G111" s="542"/>
      <c r="H111" s="542"/>
      <c r="I111" s="542"/>
    </row>
    <row r="112" spans="1:9" s="1" customFormat="1" ht="17" x14ac:dyDescent="0.5">
      <c r="A112" s="93" t="s">
        <v>85</v>
      </c>
      <c r="B112" s="4">
        <v>0.7</v>
      </c>
      <c r="C112" s="4"/>
      <c r="D112" s="547" t="s">
        <v>88</v>
      </c>
      <c r="E112" s="548"/>
      <c r="F112" s="546"/>
      <c r="G112" s="542"/>
      <c r="H112" s="542"/>
      <c r="I112" s="542"/>
    </row>
    <row r="113" spans="1:9" s="1" customFormat="1" ht="15" x14ac:dyDescent="0.4">
      <c r="A113" s="93" t="s">
        <v>86</v>
      </c>
      <c r="B113" s="4">
        <v>365</v>
      </c>
      <c r="C113" s="4"/>
      <c r="D113" s="547"/>
      <c r="E113" s="548"/>
      <c r="F113" s="546"/>
      <c r="G113" s="542"/>
      <c r="H113" s="542"/>
      <c r="I113" s="542"/>
    </row>
    <row r="114" spans="1:9" s="1" customFormat="1" ht="15" x14ac:dyDescent="0.4">
      <c r="A114" s="93" t="s">
        <v>87</v>
      </c>
      <c r="B114" s="4">
        <v>8.33</v>
      </c>
      <c r="C114" s="4"/>
      <c r="D114" s="547"/>
      <c r="E114" s="548"/>
      <c r="F114" s="546"/>
      <c r="G114" s="542"/>
      <c r="H114" s="542"/>
      <c r="I114" s="542"/>
    </row>
    <row r="115" spans="1:9" s="1" customFormat="1" ht="15" x14ac:dyDescent="0.4">
      <c r="A115" s="93" t="s">
        <v>144</v>
      </c>
      <c r="B115" s="114">
        <v>8.1999999999999993</v>
      </c>
      <c r="C115" s="4"/>
      <c r="D115" s="547" t="s">
        <v>166</v>
      </c>
      <c r="E115" s="548"/>
      <c r="F115" s="546" t="s">
        <v>209</v>
      </c>
      <c r="G115" s="542"/>
      <c r="H115" s="542"/>
      <c r="I115" s="542"/>
    </row>
    <row r="116" spans="1:9" s="1" customFormat="1" ht="17" x14ac:dyDescent="0.5">
      <c r="A116" s="93" t="s">
        <v>145</v>
      </c>
      <c r="B116" s="4">
        <v>0.73</v>
      </c>
      <c r="C116" s="4"/>
      <c r="D116" s="547" t="s">
        <v>221</v>
      </c>
      <c r="E116" s="548"/>
      <c r="F116" s="546"/>
      <c r="G116" s="542"/>
      <c r="H116" s="542"/>
      <c r="I116" s="542"/>
    </row>
    <row r="117" spans="1:9" s="1" customFormat="1" ht="17" x14ac:dyDescent="0.5">
      <c r="A117" s="93" t="s">
        <v>165</v>
      </c>
      <c r="B117" s="4">
        <v>0.24</v>
      </c>
      <c r="C117" s="4"/>
      <c r="D117" s="547" t="s">
        <v>88</v>
      </c>
      <c r="E117" s="548"/>
      <c r="F117" s="546" t="s">
        <v>211</v>
      </c>
      <c r="G117" s="542"/>
      <c r="H117" s="542"/>
      <c r="I117" s="542"/>
    </row>
    <row r="118" spans="1:9" s="1" customFormat="1" ht="15.5" thickBot="1" x14ac:dyDescent="0.45">
      <c r="A118" s="94" t="s">
        <v>164</v>
      </c>
      <c r="B118" s="109">
        <v>13</v>
      </c>
      <c r="C118" s="109"/>
      <c r="D118" s="549"/>
      <c r="E118" s="550"/>
      <c r="F118" s="546" t="s">
        <v>210</v>
      </c>
      <c r="G118" s="542"/>
      <c r="H118" s="542"/>
      <c r="I118" s="542"/>
    </row>
    <row r="119" spans="1:9" s="1" customFormat="1" ht="15" x14ac:dyDescent="0.4"/>
    <row r="120" spans="1:9" s="1" customFormat="1" ht="15" x14ac:dyDescent="0.4"/>
    <row r="121" spans="1:9" s="1" customFormat="1" ht="15" x14ac:dyDescent="0.4"/>
    <row r="122" spans="1:9" s="1" customFormat="1" ht="15" x14ac:dyDescent="0.4"/>
    <row r="123" spans="1:9" s="1" customFormat="1" ht="15" x14ac:dyDescent="0.4"/>
    <row r="124" spans="1:9" s="1" customFormat="1" ht="15" x14ac:dyDescent="0.4"/>
    <row r="125" spans="1:9" s="1" customFormat="1" ht="15" x14ac:dyDescent="0.4"/>
    <row r="126" spans="1:9" s="1" customFormat="1" ht="15" x14ac:dyDescent="0.4"/>
    <row r="127" spans="1:9" s="1" customFormat="1" ht="15" x14ac:dyDescent="0.4"/>
    <row r="128" spans="1:9" s="1" customFormat="1" ht="15" x14ac:dyDescent="0.4"/>
    <row r="129" spans="1:8" s="1" customFormat="1" ht="15" x14ac:dyDescent="0.4">
      <c r="A129" s="545" t="s">
        <v>313</v>
      </c>
      <c r="B129" s="545"/>
      <c r="C129" s="545"/>
      <c r="D129" s="545"/>
      <c r="E129" s="545"/>
      <c r="F129" s="545"/>
      <c r="G129" s="545"/>
      <c r="H129" s="545"/>
    </row>
    <row r="130" spans="1:8" s="1" customFormat="1" ht="15" x14ac:dyDescent="0.4">
      <c r="A130" s="542" t="s">
        <v>314</v>
      </c>
      <c r="B130" s="542"/>
      <c r="C130" s="1" t="s">
        <v>315</v>
      </c>
      <c r="D130" s="1" t="s">
        <v>316</v>
      </c>
      <c r="E130" s="1" t="s">
        <v>317</v>
      </c>
      <c r="F130" s="1" t="s">
        <v>318</v>
      </c>
    </row>
    <row r="131" spans="1:8" s="1" customFormat="1" ht="15" x14ac:dyDescent="0.4">
      <c r="A131" s="544">
        <v>44773</v>
      </c>
      <c r="B131" s="542"/>
      <c r="C131" s="228">
        <v>1406700.95</v>
      </c>
      <c r="D131" s="228">
        <f>C131/100</f>
        <v>14067.0095</v>
      </c>
      <c r="E131" s="228">
        <v>592766.77</v>
      </c>
      <c r="F131" s="228">
        <f>E131/3.412</f>
        <v>173730.00293083236</v>
      </c>
    </row>
    <row r="132" spans="1:8" s="1" customFormat="1" ht="15" x14ac:dyDescent="0.4">
      <c r="A132" s="544">
        <v>44804</v>
      </c>
      <c r="B132" s="542"/>
      <c r="C132" s="228">
        <v>1386486.12</v>
      </c>
      <c r="D132" s="228">
        <f t="shared" ref="D132:D142" si="0">C132/100</f>
        <v>13864.861200000001</v>
      </c>
      <c r="E132" s="228">
        <v>597289.06000000006</v>
      </c>
      <c r="F132" s="228">
        <f t="shared" ref="F132:F142" si="1">E132/3.412</f>
        <v>175055.41031652992</v>
      </c>
    </row>
    <row r="133" spans="1:8" s="1" customFormat="1" ht="15" x14ac:dyDescent="0.4">
      <c r="A133" s="544">
        <v>44834</v>
      </c>
      <c r="B133" s="542"/>
      <c r="C133" s="228">
        <v>1395983.71</v>
      </c>
      <c r="D133" s="228">
        <f t="shared" si="0"/>
        <v>13959.837099999999</v>
      </c>
      <c r="E133" s="228">
        <v>598829.55000000005</v>
      </c>
      <c r="F133" s="228">
        <f t="shared" si="1"/>
        <v>175506.90211019933</v>
      </c>
    </row>
    <row r="134" spans="1:8" s="1" customFormat="1" ht="15" x14ac:dyDescent="0.4">
      <c r="A134" s="544">
        <v>44865</v>
      </c>
      <c r="B134" s="542"/>
      <c r="C134" s="228">
        <v>1413268.25</v>
      </c>
      <c r="D134" s="228">
        <f t="shared" si="0"/>
        <v>14132.682500000001</v>
      </c>
      <c r="E134" s="228">
        <v>600819.85</v>
      </c>
      <c r="F134" s="228">
        <f t="shared" si="1"/>
        <v>176090.22567409143</v>
      </c>
    </row>
    <row r="135" spans="1:8" s="1" customFormat="1" ht="15" x14ac:dyDescent="0.4">
      <c r="A135" s="544">
        <v>44895</v>
      </c>
      <c r="B135" s="542"/>
      <c r="C135" s="228">
        <v>1393333.99</v>
      </c>
      <c r="D135" s="228">
        <f t="shared" si="0"/>
        <v>13933.339899999999</v>
      </c>
      <c r="E135" s="228">
        <v>613107.18000000005</v>
      </c>
      <c r="F135" s="228">
        <f t="shared" si="1"/>
        <v>179691.43610785465</v>
      </c>
    </row>
    <row r="136" spans="1:8" s="1" customFormat="1" ht="15" x14ac:dyDescent="0.4">
      <c r="A136" s="544">
        <v>44926</v>
      </c>
      <c r="B136" s="542"/>
      <c r="C136" s="228">
        <v>1375285.71</v>
      </c>
      <c r="D136" s="228">
        <f t="shared" si="0"/>
        <v>13752.857099999999</v>
      </c>
      <c r="E136" s="228">
        <v>635331.99</v>
      </c>
      <c r="F136" s="228">
        <f t="shared" si="1"/>
        <v>186205.15533411488</v>
      </c>
    </row>
    <row r="137" spans="1:8" s="1" customFormat="1" ht="15" x14ac:dyDescent="0.4">
      <c r="A137" s="544">
        <v>44957</v>
      </c>
      <c r="B137" s="542"/>
      <c r="C137" s="228">
        <v>1324987.0900000001</v>
      </c>
      <c r="D137" s="228">
        <f t="shared" si="0"/>
        <v>13249.870900000002</v>
      </c>
      <c r="E137" s="228">
        <v>665323.85</v>
      </c>
      <c r="F137" s="228">
        <f t="shared" si="1"/>
        <v>194995.26670574443</v>
      </c>
    </row>
    <row r="138" spans="1:8" s="1" customFormat="1" ht="15" x14ac:dyDescent="0.4">
      <c r="A138" s="544">
        <v>44985</v>
      </c>
      <c r="B138" s="542"/>
      <c r="C138" s="228">
        <v>1276234.8600000001</v>
      </c>
      <c r="D138" s="228">
        <f t="shared" si="0"/>
        <v>12762.348600000001</v>
      </c>
      <c r="E138" s="228">
        <v>696420</v>
      </c>
      <c r="F138" s="228">
        <f t="shared" si="1"/>
        <v>204109.02696365767</v>
      </c>
    </row>
    <row r="139" spans="1:8" s="1" customFormat="1" ht="15" x14ac:dyDescent="0.4">
      <c r="A139" s="544">
        <v>45016</v>
      </c>
      <c r="B139" s="542"/>
      <c r="C139" s="228">
        <v>1309854.6299999999</v>
      </c>
      <c r="D139" s="228">
        <f t="shared" si="0"/>
        <v>13098.546299999998</v>
      </c>
      <c r="E139" s="228">
        <v>719952.45</v>
      </c>
      <c r="F139" s="228">
        <f t="shared" si="1"/>
        <v>211005.9935521688</v>
      </c>
    </row>
    <row r="140" spans="1:8" s="1" customFormat="1" ht="15" x14ac:dyDescent="0.4">
      <c r="A140" s="544">
        <v>45046</v>
      </c>
      <c r="B140" s="542"/>
      <c r="C140" s="228">
        <v>1364227.85</v>
      </c>
      <c r="D140" s="228">
        <f t="shared" si="0"/>
        <v>13642.2785</v>
      </c>
      <c r="E140" s="228">
        <v>624709.06000000006</v>
      </c>
      <c r="F140" s="228">
        <f t="shared" si="1"/>
        <v>183091.75263774913</v>
      </c>
    </row>
    <row r="141" spans="1:8" s="1" customFormat="1" ht="15" x14ac:dyDescent="0.4">
      <c r="A141" s="544">
        <v>45077</v>
      </c>
      <c r="B141" s="542"/>
      <c r="C141" s="228">
        <v>1385314.96</v>
      </c>
      <c r="D141" s="228">
        <f t="shared" si="0"/>
        <v>13853.149599999999</v>
      </c>
      <c r="E141" s="228">
        <v>597604.18000000005</v>
      </c>
      <c r="F141" s="228">
        <f t="shared" si="1"/>
        <v>175147.76670574446</v>
      </c>
    </row>
    <row r="142" spans="1:8" s="1" customFormat="1" ht="15" x14ac:dyDescent="0.4">
      <c r="A142" s="544">
        <v>45107</v>
      </c>
      <c r="B142" s="542"/>
      <c r="C142" s="228">
        <v>1386380.52</v>
      </c>
      <c r="D142" s="228">
        <f t="shared" si="0"/>
        <v>13863.805200000001</v>
      </c>
      <c r="E142" s="228">
        <v>596518.35</v>
      </c>
      <c r="F142" s="228">
        <f t="shared" si="1"/>
        <v>174829.52813599061</v>
      </c>
    </row>
    <row r="143" spans="1:8" s="1" customFormat="1" ht="15" x14ac:dyDescent="0.4">
      <c r="A143" s="542"/>
      <c r="B143" s="542"/>
      <c r="D143" s="229">
        <f>SUM(D131:D142)</f>
        <v>164180.5864</v>
      </c>
      <c r="F143" s="229">
        <f>SUM(F131:F142)</f>
        <v>2209458.4671746776</v>
      </c>
    </row>
    <row r="144" spans="1:8" s="1" customFormat="1" ht="15" x14ac:dyDescent="0.4">
      <c r="A144" s="1" t="s">
        <v>399</v>
      </c>
    </row>
    <row r="145" spans="1:3" s="1" customFormat="1" ht="17" x14ac:dyDescent="0.5">
      <c r="A145" s="1" t="s">
        <v>400</v>
      </c>
      <c r="B145" s="1">
        <v>3.41</v>
      </c>
      <c r="C145" s="13" t="s">
        <v>401</v>
      </c>
    </row>
    <row r="146" spans="1:3" s="1" customFormat="1" ht="17" x14ac:dyDescent="0.5">
      <c r="A146" s="1" t="s">
        <v>402</v>
      </c>
      <c r="B146" s="1">
        <v>4.79</v>
      </c>
      <c r="C146" s="13" t="s">
        <v>401</v>
      </c>
    </row>
    <row r="147" spans="1:3" s="1" customFormat="1" ht="15" x14ac:dyDescent="0.4">
      <c r="A147" s="1" t="s">
        <v>419</v>
      </c>
      <c r="B147" s="1">
        <v>2.5</v>
      </c>
    </row>
    <row r="148" spans="1:3" s="1" customFormat="1" ht="15" x14ac:dyDescent="0.4"/>
    <row r="149" spans="1:3" s="1" customFormat="1" ht="15" x14ac:dyDescent="0.4"/>
    <row r="150" spans="1:3" s="1" customFormat="1" ht="15" x14ac:dyDescent="0.4"/>
    <row r="151" spans="1:3" s="1" customFormat="1" ht="15" x14ac:dyDescent="0.4"/>
    <row r="152" spans="1:3" s="1" customFormat="1" ht="15" x14ac:dyDescent="0.4"/>
    <row r="153" spans="1:3" s="1" customFormat="1" ht="15" x14ac:dyDescent="0.4"/>
    <row r="154" spans="1:3" s="1" customFormat="1" ht="15" x14ac:dyDescent="0.4"/>
    <row r="155" spans="1:3" s="1" customFormat="1" ht="15" x14ac:dyDescent="0.4"/>
    <row r="156" spans="1:3" s="1" customFormat="1" ht="15" x14ac:dyDescent="0.4"/>
    <row r="157" spans="1:3" s="1" customFormat="1" ht="15" x14ac:dyDescent="0.4"/>
    <row r="158" spans="1:3" s="1" customFormat="1" ht="15" x14ac:dyDescent="0.4"/>
    <row r="159" spans="1:3" s="1" customFormat="1" ht="15" x14ac:dyDescent="0.4"/>
    <row r="160" spans="1:3" s="1" customFormat="1" ht="15" x14ac:dyDescent="0.4"/>
    <row r="161" spans="1:8" s="1" customFormat="1" ht="15" x14ac:dyDescent="0.4"/>
    <row r="162" spans="1:8" s="1" customFormat="1" ht="15" x14ac:dyDescent="0.4">
      <c r="A162" s="542" t="s">
        <v>333</v>
      </c>
      <c r="B162" s="542"/>
      <c r="C162" s="542"/>
      <c r="D162" s="542"/>
      <c r="E162" s="542"/>
      <c r="F162" s="542"/>
      <c r="G162" s="542"/>
      <c r="H162" s="542"/>
    </row>
    <row r="163" spans="1:8" s="1" customFormat="1" ht="15" x14ac:dyDescent="0.4">
      <c r="A163" s="244" t="s">
        <v>334</v>
      </c>
      <c r="B163" s="543" t="s">
        <v>335</v>
      </c>
      <c r="C163" s="543"/>
      <c r="D163" s="543"/>
      <c r="E163" s="244" t="s">
        <v>336</v>
      </c>
      <c r="F163" s="244" t="s">
        <v>337</v>
      </c>
      <c r="G163" s="244" t="s">
        <v>338</v>
      </c>
    </row>
    <row r="164" spans="1:8" s="1" customFormat="1" ht="15" x14ac:dyDescent="0.4">
      <c r="A164" s="1" t="s">
        <v>339</v>
      </c>
      <c r="B164" s="540" t="s">
        <v>351</v>
      </c>
      <c r="C164" s="540"/>
      <c r="D164" s="540"/>
      <c r="E164" s="229">
        <v>480000</v>
      </c>
      <c r="F164" s="1" t="s">
        <v>32</v>
      </c>
      <c r="G164" s="1" t="s">
        <v>389</v>
      </c>
    </row>
    <row r="165" spans="1:8" s="1" customFormat="1" ht="17" x14ac:dyDescent="0.5">
      <c r="A165" s="1" t="s">
        <v>342</v>
      </c>
      <c r="B165" s="540" t="s">
        <v>352</v>
      </c>
      <c r="C165" s="540"/>
      <c r="D165" s="540"/>
      <c r="E165" s="229">
        <v>1</v>
      </c>
    </row>
    <row r="166" spans="1:8" s="1" customFormat="1" ht="17" x14ac:dyDescent="0.5">
      <c r="A166" s="1" t="s">
        <v>343</v>
      </c>
      <c r="B166" s="540" t="s">
        <v>353</v>
      </c>
      <c r="C166" s="540"/>
      <c r="D166" s="540"/>
      <c r="E166" s="229">
        <v>9.8000000000000007</v>
      </c>
    </row>
    <row r="167" spans="1:8" s="1" customFormat="1" ht="17" x14ac:dyDescent="0.5">
      <c r="A167" s="1" t="s">
        <v>344</v>
      </c>
      <c r="B167" s="540" t="s">
        <v>354</v>
      </c>
      <c r="C167" s="540"/>
      <c r="D167" s="540"/>
      <c r="E167" s="229">
        <f>B178*((B179*B180*(1+0.01*(77-B181))*B182)+(B183*B184*(1+0.01*(68-B181))*B185))</f>
        <v>15.3122425</v>
      </c>
    </row>
    <row r="168" spans="1:8" s="1" customFormat="1" ht="17" x14ac:dyDescent="0.5">
      <c r="A168" s="1" t="s">
        <v>345</v>
      </c>
      <c r="B168" s="540" t="s">
        <v>355</v>
      </c>
      <c r="C168" s="540"/>
      <c r="D168" s="540"/>
      <c r="E168" s="229">
        <v>778</v>
      </c>
      <c r="F168" s="1" t="s">
        <v>363</v>
      </c>
      <c r="G168" s="1" t="s">
        <v>415</v>
      </c>
    </row>
    <row r="169" spans="1:8" s="1" customFormat="1" ht="15" x14ac:dyDescent="0.4">
      <c r="A169" s="1" t="s">
        <v>340</v>
      </c>
      <c r="B169" s="540" t="s">
        <v>356</v>
      </c>
      <c r="C169" s="540"/>
      <c r="D169" s="540"/>
      <c r="E169" s="229">
        <f>E164*3</f>
        <v>1440000</v>
      </c>
      <c r="F169" s="1" t="s">
        <v>32</v>
      </c>
      <c r="G169" s="1" t="s">
        <v>388</v>
      </c>
    </row>
    <row r="170" spans="1:8" s="1" customFormat="1" ht="17" x14ac:dyDescent="0.5">
      <c r="A170" s="1" t="s">
        <v>341</v>
      </c>
      <c r="B170" s="540" t="s">
        <v>357</v>
      </c>
      <c r="C170" s="540"/>
      <c r="D170" s="540"/>
      <c r="E170" s="229">
        <v>0</v>
      </c>
    </row>
    <row r="171" spans="1:8" s="1" customFormat="1" ht="17" x14ac:dyDescent="0.5">
      <c r="A171" s="1" t="s">
        <v>350</v>
      </c>
      <c r="B171" s="540" t="s">
        <v>358</v>
      </c>
      <c r="C171" s="540"/>
      <c r="D171" s="540"/>
      <c r="E171" s="229">
        <v>2.81</v>
      </c>
    </row>
    <row r="172" spans="1:8" s="1" customFormat="1" ht="17" x14ac:dyDescent="0.5">
      <c r="A172" s="1" t="s">
        <v>349</v>
      </c>
      <c r="B172" s="540" t="s">
        <v>359</v>
      </c>
      <c r="C172" s="540"/>
      <c r="D172" s="540"/>
      <c r="E172" s="229">
        <f>B187*((B179*B188*(1+0.01*(B189-32))*B190)+(B183*B191*(1+0.01*(B189-41))*B192))</f>
        <v>3.5022571199999999</v>
      </c>
      <c r="G172" s="1" t="s">
        <v>365</v>
      </c>
    </row>
    <row r="173" spans="1:8" s="1" customFormat="1" ht="17" x14ac:dyDescent="0.5">
      <c r="A173" s="1" t="s">
        <v>346</v>
      </c>
      <c r="B173" s="540" t="s">
        <v>360</v>
      </c>
      <c r="C173" s="540"/>
      <c r="D173" s="540"/>
      <c r="E173" s="229">
        <v>1159</v>
      </c>
      <c r="F173" s="1" t="s">
        <v>363</v>
      </c>
      <c r="G173" s="1" t="s">
        <v>364</v>
      </c>
    </row>
    <row r="174" spans="1:8" s="1" customFormat="1" ht="17" x14ac:dyDescent="0.5">
      <c r="A174" s="1" t="s">
        <v>348</v>
      </c>
      <c r="B174" s="540" t="s">
        <v>361</v>
      </c>
      <c r="C174" s="540"/>
      <c r="D174" s="540"/>
      <c r="E174" s="260">
        <v>0.43099999999999999</v>
      </c>
      <c r="G174" s="1" t="s">
        <v>385</v>
      </c>
    </row>
    <row r="175" spans="1:8" s="1" customFormat="1" ht="17" x14ac:dyDescent="0.5">
      <c r="A175" s="1" t="s">
        <v>347</v>
      </c>
      <c r="B175" s="540" t="s">
        <v>362</v>
      </c>
      <c r="C175" s="540"/>
      <c r="D175" s="540"/>
      <c r="E175" s="229">
        <f>29.055</f>
        <v>29.055</v>
      </c>
      <c r="F175" s="1" t="s">
        <v>178</v>
      </c>
      <c r="G175" s="1" t="s">
        <v>398</v>
      </c>
    </row>
    <row r="176" spans="1:8" s="1" customFormat="1" ht="15" x14ac:dyDescent="0.4"/>
    <row r="177" spans="1:4" s="1" customFormat="1" ht="15" x14ac:dyDescent="0.4"/>
    <row r="178" spans="1:4" s="1" customFormat="1" ht="17" x14ac:dyDescent="0.5">
      <c r="A178" s="1" t="s">
        <v>375</v>
      </c>
      <c r="B178" s="1">
        <v>0.95</v>
      </c>
      <c r="D178" s="1" t="s">
        <v>377</v>
      </c>
    </row>
    <row r="179" spans="1:4" s="1" customFormat="1" ht="17" x14ac:dyDescent="0.5">
      <c r="A179" s="1" t="s">
        <v>374</v>
      </c>
      <c r="B179" s="1">
        <v>0.25</v>
      </c>
      <c r="D179" s="1" t="s">
        <v>376</v>
      </c>
    </row>
    <row r="180" spans="1:4" s="1" customFormat="1" ht="17" x14ac:dyDescent="0.5">
      <c r="A180" s="1" t="s">
        <v>368</v>
      </c>
      <c r="B180" s="1">
        <f>(16.6+15.3)/2</f>
        <v>15.950000000000001</v>
      </c>
      <c r="D180" s="1" t="s">
        <v>386</v>
      </c>
    </row>
    <row r="181" spans="1:4" s="1" customFormat="1" ht="17" x14ac:dyDescent="0.5">
      <c r="A181" s="1" t="s">
        <v>370</v>
      </c>
      <c r="B181" s="1">
        <v>65</v>
      </c>
      <c r="C181" s="1" t="s">
        <v>77</v>
      </c>
      <c r="D181" s="1" t="s">
        <v>378</v>
      </c>
    </row>
    <row r="182" spans="1:4" s="1" customFormat="1" ht="17" x14ac:dyDescent="0.5">
      <c r="A182" s="1" t="s">
        <v>369</v>
      </c>
      <c r="B182" s="1">
        <v>0.91</v>
      </c>
      <c r="D182" s="1" t="s">
        <v>384</v>
      </c>
    </row>
    <row r="183" spans="1:4" s="1" customFormat="1" ht="17" x14ac:dyDescent="0.5">
      <c r="A183" s="1" t="s">
        <v>373</v>
      </c>
      <c r="B183" s="1">
        <v>0.75</v>
      </c>
      <c r="D183" s="1" t="s">
        <v>376</v>
      </c>
    </row>
    <row r="184" spans="1:4" s="1" customFormat="1" ht="17" x14ac:dyDescent="0.5">
      <c r="A184" s="1" t="s">
        <v>371</v>
      </c>
      <c r="B184" s="1">
        <f>(19.5+18.1)/2</f>
        <v>18.8</v>
      </c>
      <c r="D184" s="1" t="s">
        <v>387</v>
      </c>
    </row>
    <row r="185" spans="1:4" s="1" customFormat="1" ht="17" x14ac:dyDescent="0.5">
      <c r="A185" s="1" t="s">
        <v>372</v>
      </c>
      <c r="B185" s="1">
        <v>0.83</v>
      </c>
      <c r="D185" s="1" t="s">
        <v>384</v>
      </c>
    </row>
    <row r="186" spans="1:4" s="1" customFormat="1" ht="15" x14ac:dyDescent="0.4"/>
    <row r="187" spans="1:4" s="1" customFormat="1" ht="17" x14ac:dyDescent="0.5">
      <c r="A187" s="1" t="s">
        <v>390</v>
      </c>
      <c r="B187" s="1">
        <v>0.96</v>
      </c>
      <c r="D187" s="1" t="s">
        <v>394</v>
      </c>
    </row>
    <row r="188" spans="1:4" s="1" customFormat="1" ht="17" x14ac:dyDescent="0.5">
      <c r="A188" s="1" t="s">
        <v>391</v>
      </c>
      <c r="B188" s="1">
        <f>(3.3+3.58)/2</f>
        <v>3.44</v>
      </c>
      <c r="D188" s="1" t="s">
        <v>395</v>
      </c>
    </row>
    <row r="189" spans="1:4" s="1" customFormat="1" ht="17" x14ac:dyDescent="0.5">
      <c r="A189" s="1" t="s">
        <v>392</v>
      </c>
      <c r="B189" s="1">
        <v>50</v>
      </c>
      <c r="C189" s="1" t="s">
        <v>77</v>
      </c>
      <c r="D189" s="1" t="s">
        <v>396</v>
      </c>
    </row>
    <row r="190" spans="1:4" s="1" customFormat="1" ht="17" x14ac:dyDescent="0.5">
      <c r="A190" s="1" t="s">
        <v>369</v>
      </c>
      <c r="B190" s="1">
        <v>0.9</v>
      </c>
      <c r="D190" s="1" t="s">
        <v>384</v>
      </c>
    </row>
    <row r="191" spans="1:4" s="1" customFormat="1" ht="17" x14ac:dyDescent="0.5">
      <c r="A191" s="1" t="s">
        <v>393</v>
      </c>
      <c r="B191" s="1">
        <v>3.89</v>
      </c>
      <c r="D191" s="1" t="s">
        <v>397</v>
      </c>
    </row>
    <row r="192" spans="1:4" s="1" customFormat="1" ht="17" x14ac:dyDescent="0.5">
      <c r="A192" s="1" t="s">
        <v>372</v>
      </c>
      <c r="B192" s="1">
        <v>0.86</v>
      </c>
      <c r="D192" s="1" t="s">
        <v>384</v>
      </c>
    </row>
    <row r="193" s="1" customFormat="1" ht="15" x14ac:dyDescent="0.4"/>
    <row r="194" s="1" customFormat="1" ht="15" x14ac:dyDescent="0.4"/>
    <row r="195" s="1" customFormat="1" ht="15" x14ac:dyDescent="0.4"/>
    <row r="196" s="1" customFormat="1" ht="15" x14ac:dyDescent="0.4"/>
    <row r="197" s="1" customFormat="1" ht="15" x14ac:dyDescent="0.4"/>
    <row r="198" s="1" customFormat="1" ht="15" x14ac:dyDescent="0.4"/>
    <row r="199" s="1" customFormat="1" ht="15" x14ac:dyDescent="0.4"/>
    <row r="200" s="1" customFormat="1" ht="15" x14ac:dyDescent="0.4"/>
    <row r="201" s="1" customFormat="1" ht="15" x14ac:dyDescent="0.4"/>
    <row r="202" s="1" customFormat="1" ht="15" x14ac:dyDescent="0.4"/>
    <row r="203" s="1" customFormat="1" ht="15" x14ac:dyDescent="0.4"/>
    <row r="204" s="1" customFormat="1" ht="15" x14ac:dyDescent="0.4"/>
    <row r="205" s="1" customFormat="1" ht="15" x14ac:dyDescent="0.4"/>
    <row r="206" s="1" customFormat="1" ht="15" x14ac:dyDescent="0.4"/>
    <row r="207" s="1" customFormat="1" ht="15" x14ac:dyDescent="0.4"/>
    <row r="208" s="1" customFormat="1" ht="15" x14ac:dyDescent="0.4"/>
    <row r="209" s="1" customFormat="1" ht="15" x14ac:dyDescent="0.4"/>
    <row r="210" s="1" customFormat="1" ht="15" x14ac:dyDescent="0.4"/>
    <row r="211" s="1" customFormat="1" ht="15" x14ac:dyDescent="0.4"/>
    <row r="212" s="1" customFormat="1" ht="15" x14ac:dyDescent="0.4"/>
    <row r="213" s="1" customFormat="1" ht="15" x14ac:dyDescent="0.4"/>
    <row r="214" s="1" customFormat="1" ht="15" x14ac:dyDescent="0.4"/>
    <row r="215" s="1" customFormat="1" ht="15" x14ac:dyDescent="0.4"/>
    <row r="216" s="1" customFormat="1" ht="15" x14ac:dyDescent="0.4"/>
    <row r="217" s="1" customFormat="1" ht="15" x14ac:dyDescent="0.4"/>
    <row r="218" s="1" customFormat="1" ht="15" x14ac:dyDescent="0.4"/>
    <row r="219" s="1" customFormat="1" ht="15" x14ac:dyDescent="0.4"/>
    <row r="220" s="1" customFormat="1" ht="15" x14ac:dyDescent="0.4"/>
    <row r="221" s="1" customFormat="1" ht="15" x14ac:dyDescent="0.4"/>
    <row r="222" s="1" customFormat="1" ht="15" x14ac:dyDescent="0.4"/>
    <row r="223" s="1" customFormat="1" ht="15" x14ac:dyDescent="0.4"/>
    <row r="224" s="1" customFormat="1" ht="15" x14ac:dyDescent="0.4"/>
    <row r="225" s="1" customFormat="1" ht="15" x14ac:dyDescent="0.4"/>
    <row r="226" s="1" customFormat="1" ht="15" x14ac:dyDescent="0.4"/>
    <row r="227" s="1" customFormat="1" ht="15" x14ac:dyDescent="0.4"/>
    <row r="228" s="1" customFormat="1" ht="15" x14ac:dyDescent="0.4"/>
    <row r="229" s="1" customFormat="1" ht="15" x14ac:dyDescent="0.4"/>
    <row r="230" s="1" customFormat="1" ht="15" x14ac:dyDescent="0.4"/>
    <row r="231" s="1" customFormat="1" ht="15" x14ac:dyDescent="0.4"/>
    <row r="232" s="1" customFormat="1" ht="15" x14ac:dyDescent="0.4"/>
    <row r="233" s="1" customFormat="1" ht="15" x14ac:dyDescent="0.4"/>
    <row r="234" s="1" customFormat="1" ht="15" x14ac:dyDescent="0.4"/>
    <row r="235" s="1" customFormat="1" ht="15" x14ac:dyDescent="0.4"/>
    <row r="236" s="1" customFormat="1" ht="15" x14ac:dyDescent="0.4"/>
    <row r="237" s="1" customFormat="1" ht="15" x14ac:dyDescent="0.4"/>
    <row r="238" s="1" customFormat="1" ht="15" x14ac:dyDescent="0.4"/>
    <row r="239" s="1" customFormat="1" ht="15" x14ac:dyDescent="0.4"/>
    <row r="240" s="1" customFormat="1" ht="15" x14ac:dyDescent="0.4"/>
    <row r="241" s="1" customFormat="1" ht="15" x14ac:dyDescent="0.4"/>
    <row r="242" s="1" customFormat="1" ht="15" x14ac:dyDescent="0.4"/>
    <row r="243" s="1" customFormat="1" ht="15" x14ac:dyDescent="0.4"/>
    <row r="244" s="1" customFormat="1" ht="15" x14ac:dyDescent="0.4"/>
    <row r="245" s="1" customFormat="1" ht="15" x14ac:dyDescent="0.4"/>
    <row r="246" s="1" customFormat="1" ht="15" x14ac:dyDescent="0.4"/>
    <row r="247" s="1" customFormat="1" ht="15" x14ac:dyDescent="0.4"/>
    <row r="248" s="1" customFormat="1" ht="15" x14ac:dyDescent="0.4"/>
    <row r="249" s="1" customFormat="1" ht="15" x14ac:dyDescent="0.4"/>
    <row r="250" s="1" customFormat="1" ht="15" x14ac:dyDescent="0.4"/>
    <row r="251" s="1" customFormat="1" ht="15" x14ac:dyDescent="0.4"/>
    <row r="252" s="1" customFormat="1" ht="15" x14ac:dyDescent="0.4"/>
    <row r="253" s="1" customFormat="1" ht="15" x14ac:dyDescent="0.4"/>
    <row r="254" s="1" customFormat="1" ht="15" x14ac:dyDescent="0.4"/>
    <row r="255" s="1" customFormat="1" ht="15" x14ac:dyDescent="0.4"/>
    <row r="256" s="1" customFormat="1" ht="15" x14ac:dyDescent="0.4"/>
    <row r="257" s="1" customFormat="1" ht="15" x14ac:dyDescent="0.4"/>
    <row r="258" s="1" customFormat="1" ht="15" x14ac:dyDescent="0.4"/>
    <row r="259" s="1" customFormat="1" ht="15" x14ac:dyDescent="0.4"/>
    <row r="260" s="1" customFormat="1" ht="15" x14ac:dyDescent="0.4"/>
    <row r="261" s="1" customFormat="1" ht="15" x14ac:dyDescent="0.4"/>
    <row r="262" s="1" customFormat="1" ht="15" x14ac:dyDescent="0.4"/>
    <row r="263" s="1" customFormat="1" ht="15" x14ac:dyDescent="0.4"/>
    <row r="264" s="1" customFormat="1" ht="15" x14ac:dyDescent="0.4"/>
    <row r="265" s="1" customFormat="1" ht="15" x14ac:dyDescent="0.4"/>
    <row r="266" s="1" customFormat="1" ht="15" x14ac:dyDescent="0.4"/>
    <row r="267" s="1" customFormat="1" ht="15" x14ac:dyDescent="0.4"/>
    <row r="268" s="1" customFormat="1" ht="15" x14ac:dyDescent="0.4"/>
    <row r="269" s="1" customFormat="1" ht="15" x14ac:dyDescent="0.4"/>
    <row r="270" s="1" customFormat="1" ht="15" x14ac:dyDescent="0.4"/>
    <row r="271" s="1" customFormat="1" ht="15" x14ac:dyDescent="0.4"/>
    <row r="272" s="1" customFormat="1" ht="15" x14ac:dyDescent="0.4"/>
    <row r="273" s="1" customFormat="1" ht="15" x14ac:dyDescent="0.4"/>
    <row r="274" s="1" customFormat="1" ht="15" x14ac:dyDescent="0.4"/>
    <row r="275" s="1" customFormat="1" ht="15" x14ac:dyDescent="0.4"/>
    <row r="276" s="1" customFormat="1" ht="15" x14ac:dyDescent="0.4"/>
    <row r="277" s="1" customFormat="1" ht="15" x14ac:dyDescent="0.4"/>
    <row r="278" s="1" customFormat="1" ht="15" x14ac:dyDescent="0.4"/>
    <row r="279" s="1" customFormat="1" ht="15" x14ac:dyDescent="0.4"/>
    <row r="280" s="1" customFormat="1" ht="15" x14ac:dyDescent="0.4"/>
    <row r="281" s="1" customFormat="1" ht="15" x14ac:dyDescent="0.4"/>
    <row r="282" s="1" customFormat="1" ht="15" x14ac:dyDescent="0.4"/>
    <row r="283" s="1" customFormat="1" ht="15" x14ac:dyDescent="0.4"/>
    <row r="284" s="1" customFormat="1" ht="15" x14ac:dyDescent="0.4"/>
    <row r="285" s="1" customFormat="1" ht="15" x14ac:dyDescent="0.4"/>
    <row r="286" s="1" customFormat="1" ht="15" x14ac:dyDescent="0.4"/>
    <row r="287" s="1" customFormat="1" ht="15" x14ac:dyDescent="0.4"/>
    <row r="288" s="1" customFormat="1" ht="15" x14ac:dyDescent="0.4"/>
    <row r="289" s="1" customFormat="1" ht="15" x14ac:dyDescent="0.4"/>
    <row r="290" s="1" customFormat="1" ht="15" x14ac:dyDescent="0.4"/>
    <row r="291" s="1" customFormat="1" ht="15" x14ac:dyDescent="0.4"/>
    <row r="292" s="1" customFormat="1" ht="15" x14ac:dyDescent="0.4"/>
    <row r="293" s="1" customFormat="1" ht="15" x14ac:dyDescent="0.4"/>
    <row r="294" s="1" customFormat="1" ht="15" x14ac:dyDescent="0.4"/>
    <row r="295" s="1" customFormat="1" ht="15" x14ac:dyDescent="0.4"/>
    <row r="296" s="1" customFormat="1" ht="15" x14ac:dyDescent="0.4"/>
    <row r="297" s="1" customFormat="1" ht="15" x14ac:dyDescent="0.4"/>
    <row r="298" s="1" customFormat="1" ht="15" x14ac:dyDescent="0.4"/>
    <row r="299" s="1" customFormat="1" ht="15" x14ac:dyDescent="0.4"/>
    <row r="300" s="1" customFormat="1" ht="15" x14ac:dyDescent="0.4"/>
    <row r="301" s="1" customFormat="1" ht="15" x14ac:dyDescent="0.4"/>
    <row r="302" s="1" customFormat="1" ht="15" x14ac:dyDescent="0.4"/>
    <row r="303" s="1" customFormat="1" ht="15" x14ac:dyDescent="0.4"/>
    <row r="304" s="1" customFormat="1" ht="15" x14ac:dyDescent="0.4"/>
    <row r="305" s="1" customFormat="1" ht="15" x14ac:dyDescent="0.4"/>
    <row r="306" s="1" customFormat="1" ht="15" x14ac:dyDescent="0.4"/>
    <row r="307" s="1" customFormat="1" ht="15" x14ac:dyDescent="0.4"/>
    <row r="308" s="1" customFormat="1" ht="15" x14ac:dyDescent="0.4"/>
    <row r="309" s="1" customFormat="1" ht="15" x14ac:dyDescent="0.4"/>
    <row r="310" s="1" customFormat="1" ht="15" x14ac:dyDescent="0.4"/>
    <row r="311" s="1" customFormat="1" ht="15" x14ac:dyDescent="0.4"/>
    <row r="312" s="1" customFormat="1" ht="15" x14ac:dyDescent="0.4"/>
    <row r="313" s="1" customFormat="1" ht="15" x14ac:dyDescent="0.4"/>
    <row r="314" s="1" customFormat="1" ht="15" x14ac:dyDescent="0.4"/>
    <row r="315" s="1" customFormat="1" ht="15" x14ac:dyDescent="0.4"/>
    <row r="316" s="1" customFormat="1" ht="15" x14ac:dyDescent="0.4"/>
    <row r="317" s="1" customFormat="1" ht="15" x14ac:dyDescent="0.4"/>
    <row r="318" s="1" customFormat="1" ht="15" x14ac:dyDescent="0.4"/>
    <row r="319" s="1" customFormat="1" ht="15" x14ac:dyDescent="0.4"/>
    <row r="320" s="1" customFormat="1" ht="15" x14ac:dyDescent="0.4"/>
    <row r="321" s="1" customFormat="1" ht="15" x14ac:dyDescent="0.4"/>
    <row r="322" s="1" customFormat="1" ht="15" x14ac:dyDescent="0.4"/>
    <row r="323" s="1" customFormat="1" ht="15" x14ac:dyDescent="0.4"/>
    <row r="324" s="1" customFormat="1" ht="15" x14ac:dyDescent="0.4"/>
    <row r="325" s="1" customFormat="1" ht="15" x14ac:dyDescent="0.4"/>
    <row r="326" s="1" customFormat="1" ht="15" x14ac:dyDescent="0.4"/>
    <row r="327" s="1" customFormat="1" ht="15" x14ac:dyDescent="0.4"/>
    <row r="328" s="1" customFormat="1" ht="15" x14ac:dyDescent="0.4"/>
    <row r="329" s="1" customFormat="1" ht="15" x14ac:dyDescent="0.4"/>
    <row r="330" s="1" customFormat="1" ht="15" x14ac:dyDescent="0.4"/>
    <row r="331" s="1" customFormat="1" ht="15" x14ac:dyDescent="0.4"/>
    <row r="332" s="1" customFormat="1" ht="15" x14ac:dyDescent="0.4"/>
    <row r="333" s="1" customFormat="1" ht="15" x14ac:dyDescent="0.4"/>
    <row r="334" s="1" customFormat="1" ht="15" x14ac:dyDescent="0.4"/>
    <row r="335" s="1" customFormat="1" ht="15" x14ac:dyDescent="0.4"/>
    <row r="336" s="1" customFormat="1" ht="15" x14ac:dyDescent="0.4"/>
    <row r="337" s="1" customFormat="1" ht="15" x14ac:dyDescent="0.4"/>
    <row r="338" s="1" customFormat="1" ht="15" x14ac:dyDescent="0.4"/>
    <row r="339" s="1" customFormat="1" ht="15" x14ac:dyDescent="0.4"/>
    <row r="340" s="1" customFormat="1" ht="15" x14ac:dyDescent="0.4"/>
    <row r="341" s="1" customFormat="1" ht="15" x14ac:dyDescent="0.4"/>
    <row r="342" s="1" customFormat="1" ht="15" x14ac:dyDescent="0.4"/>
    <row r="343" s="1" customFormat="1" ht="15" x14ac:dyDescent="0.4"/>
    <row r="344" s="1" customFormat="1" ht="15" x14ac:dyDescent="0.4"/>
    <row r="345" s="1" customFormat="1" ht="15" x14ac:dyDescent="0.4"/>
    <row r="346" s="1" customFormat="1" ht="15" x14ac:dyDescent="0.4"/>
    <row r="347" s="1" customFormat="1" ht="15" x14ac:dyDescent="0.4"/>
    <row r="348" s="1" customFormat="1" ht="15" x14ac:dyDescent="0.4"/>
    <row r="349" s="1" customFormat="1" ht="15" x14ac:dyDescent="0.4"/>
    <row r="350" s="1" customFormat="1" ht="15" x14ac:dyDescent="0.4"/>
    <row r="351" s="1" customFormat="1" ht="15" x14ac:dyDescent="0.4"/>
    <row r="352" s="1" customFormat="1" ht="15" x14ac:dyDescent="0.4"/>
    <row r="353" s="1" customFormat="1" ht="15" x14ac:dyDescent="0.4"/>
    <row r="354" s="1" customFormat="1" ht="15" x14ac:dyDescent="0.4"/>
    <row r="355" s="1" customFormat="1" ht="15" x14ac:dyDescent="0.4"/>
    <row r="356" s="1" customFormat="1" ht="15" x14ac:dyDescent="0.4"/>
    <row r="357" s="1" customFormat="1" ht="15" x14ac:dyDescent="0.4"/>
    <row r="358" s="1" customFormat="1" ht="15" x14ac:dyDescent="0.4"/>
    <row r="359" s="1" customFormat="1" ht="15" x14ac:dyDescent="0.4"/>
    <row r="360" s="1" customFormat="1" ht="15" x14ac:dyDescent="0.4"/>
    <row r="361" s="1" customFormat="1" ht="15" x14ac:dyDescent="0.4"/>
    <row r="362" s="1" customFormat="1" ht="15" x14ac:dyDescent="0.4"/>
    <row r="363" s="1" customFormat="1" ht="15" x14ac:dyDescent="0.4"/>
    <row r="364" s="1" customFormat="1" ht="15" x14ac:dyDescent="0.4"/>
  </sheetData>
  <mergeCells count="97">
    <mergeCell ref="A37:F37"/>
    <mergeCell ref="A67:I67"/>
    <mergeCell ref="E80:I80"/>
    <mergeCell ref="D109:E109"/>
    <mergeCell ref="D110:E110"/>
    <mergeCell ref="E79:I79"/>
    <mergeCell ref="A98:E98"/>
    <mergeCell ref="F104:I104"/>
    <mergeCell ref="E81:I81"/>
    <mergeCell ref="F99:I99"/>
    <mergeCell ref="F100:I100"/>
    <mergeCell ref="F101:I101"/>
    <mergeCell ref="F102:I102"/>
    <mergeCell ref="F103:I103"/>
    <mergeCell ref="E72:I72"/>
    <mergeCell ref="E73:I73"/>
    <mergeCell ref="D111:E111"/>
    <mergeCell ref="A14:E14"/>
    <mergeCell ref="D104:E104"/>
    <mergeCell ref="D105:E105"/>
    <mergeCell ref="D106:E106"/>
    <mergeCell ref="D107:E107"/>
    <mergeCell ref="D108:E108"/>
    <mergeCell ref="D99:E99"/>
    <mergeCell ref="D100:E100"/>
    <mergeCell ref="D101:E101"/>
    <mergeCell ref="D102:E102"/>
    <mergeCell ref="D103:E103"/>
    <mergeCell ref="A89:D89"/>
    <mergeCell ref="A90:B90"/>
    <mergeCell ref="E77:I77"/>
    <mergeCell ref="E78:I78"/>
    <mergeCell ref="E74:I74"/>
    <mergeCell ref="E75:I75"/>
    <mergeCell ref="E76:I76"/>
    <mergeCell ref="A45:B45"/>
    <mergeCell ref="A68:I68"/>
    <mergeCell ref="E69:I69"/>
    <mergeCell ref="E70:I70"/>
    <mergeCell ref="E71:I71"/>
    <mergeCell ref="D117:E117"/>
    <mergeCell ref="D118:E118"/>
    <mergeCell ref="F111:I111"/>
    <mergeCell ref="F112:I112"/>
    <mergeCell ref="A91:B91"/>
    <mergeCell ref="F105:I105"/>
    <mergeCell ref="F106:I106"/>
    <mergeCell ref="F107:I107"/>
    <mergeCell ref="F108:I108"/>
    <mergeCell ref="F109:I109"/>
    <mergeCell ref="F110:I110"/>
    <mergeCell ref="D112:E112"/>
    <mergeCell ref="D113:E113"/>
    <mergeCell ref="D114:E114"/>
    <mergeCell ref="D115:E115"/>
    <mergeCell ref="D116:E116"/>
    <mergeCell ref="F118:I118"/>
    <mergeCell ref="F113:I113"/>
    <mergeCell ref="F114:I114"/>
    <mergeCell ref="F115:I115"/>
    <mergeCell ref="F116:I116"/>
    <mergeCell ref="F117:I117"/>
    <mergeCell ref="A136:B136"/>
    <mergeCell ref="A137:B137"/>
    <mergeCell ref="A138:B138"/>
    <mergeCell ref="A129:H129"/>
    <mergeCell ref="A130:B130"/>
    <mergeCell ref="A131:B131"/>
    <mergeCell ref="A132:B132"/>
    <mergeCell ref="A133:B133"/>
    <mergeCell ref="G43:H43"/>
    <mergeCell ref="A162:H162"/>
    <mergeCell ref="B163:D163"/>
    <mergeCell ref="B164:D164"/>
    <mergeCell ref="G38:H38"/>
    <mergeCell ref="G39:H39"/>
    <mergeCell ref="G40:H40"/>
    <mergeCell ref="G41:H41"/>
    <mergeCell ref="G42:H42"/>
    <mergeCell ref="A139:B139"/>
    <mergeCell ref="A140:B140"/>
    <mergeCell ref="A141:B141"/>
    <mergeCell ref="A142:B142"/>
    <mergeCell ref="A143:B143"/>
    <mergeCell ref="A134:B134"/>
    <mergeCell ref="A135:B135"/>
    <mergeCell ref="B165:D165"/>
    <mergeCell ref="B166:D166"/>
    <mergeCell ref="B167:D167"/>
    <mergeCell ref="B168:D168"/>
    <mergeCell ref="B169:D169"/>
    <mergeCell ref="B175:D175"/>
    <mergeCell ref="B170:D170"/>
    <mergeCell ref="B171:D171"/>
    <mergeCell ref="B172:D172"/>
    <mergeCell ref="B173:D173"/>
    <mergeCell ref="B174:D174"/>
  </mergeCells>
  <hyperlinks>
    <hyperlink ref="C145" r:id="rId1" display="https://www.nordicghp.com/wp-content/uploads/2023/11/002097MAN-04-ISSUE-03-Commercial-W-WH-Series-150-1000.pdf"/>
    <hyperlink ref="C146" r:id="rId2" display="https://www.nordicghp.com/wp-content/uploads/2023/11/002097MAN-04-ISSUE-03-Commercial-W-WH-Series-150-1000.pdf"/>
  </hyperlinks>
  <pageMargins left="0.7" right="0.7" top="0.75" bottom="0.75" header="0.3" footer="0.3"/>
  <pageSetup orientation="landscape" r:id="rId3"/>
  <headerFooter>
    <oddHeader xml:space="preserve">&amp;L&amp;"Franklin Gothic Book,Regular"City of Rochester
Climate Pollution Reduction Act Grant
&amp;R&amp;"Franklin Gothic Book,Italic"Conversion Factors
</oddHeader>
    <oddFooter>&amp;R&amp;G</oddFooter>
  </headerFooter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Budget Summary</vt:lpstr>
      <vt:lpstr>Program Summary</vt:lpstr>
      <vt:lpstr>1-Res. Roof Solar</vt:lpstr>
      <vt:lpstr>2-Res_Heating_Cooling</vt:lpstr>
      <vt:lpstr>3-Muni. Fac. Solar</vt:lpstr>
      <vt:lpstr>4-Muni Upgrades</vt:lpstr>
      <vt:lpstr>Resources</vt:lpstr>
      <vt:lpstr>Conv. Fact.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Pristach, Jared</dc:creator>
  <cp:lastModifiedBy>Costanzo, Michelle A.</cp:lastModifiedBy>
  <dcterms:created xsi:type="dcterms:W3CDTF">2024-02-21T19:55:46Z</dcterms:created>
  <dcterms:modified xsi:type="dcterms:W3CDTF">2024-03-30T14:29:13Z</dcterms:modified>
</cp:coreProperties>
</file>