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worksheets/sheet1.xml" ContentType="application/vnd.openxmlformats-officedocument.spreadsheetml.worksheet+xml"/>
  <Override PartName="/xl/worksheets/sheet2.xml" ContentType="application/vnd.openxmlformats-officedocument.spreadsheetml.worksheet+xml"/>
  <Override PartName="/docProps/app.xml" ContentType="application/vnd.openxmlformats-officedocument.extended-properties+xml"/>
  <Override PartName="/xl/threadedComments/threadedComment1.xml" ContentType="application/vnd.ms-excel.threadedcomments+xml"/>
  <Override PartName="/xl/comments1.xml" ContentType="application/vnd.openxmlformats-officedocument.spreadsheetml.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stpaulmn.sharepoint.com/sites/TwinCitiesChargingHubs/Shared Documents/Budget/Funders/EPA/2024 CPRG/"/>
    </mc:Choice>
  </mc:AlternateContent>
  <xr:revisionPtr revIDLastSave="0" documentId="8_{8DE72DEE-FEC4-42B2-B848-D1DD46879EA8}" xr6:coauthVersionLast="47" xr6:coauthVersionMax="47" xr10:uidLastSave="{00000000-0000-0000-0000-000000000000}"/>
  <bookViews>
    <workbookView xWindow="-37820" yWindow="-5710" windowWidth="17280" windowHeight="9060" xr2:uid="{0F20CEF0-B220-4210-8DAA-BD26A0DBB537}"/>
  </bookViews>
  <sheets>
    <sheet name="GHG reductions" sheetId="3" r:id="rId1"/>
    <sheet name="Reference Case" sheetId="14" r:id="rId2"/>
    <sheet name="Assumptions" sheetId="1" r:id="rId3"/>
    <sheet name="Carbon Intensity of Fuels" sheetId="13" r:id="rId4"/>
    <sheet name="Adoptions" sheetId="11" r:id="rId5"/>
    <sheet name="Mode Shift" sheetId="12" r:id="rId6"/>
    <sheet name="Cost Savings" sheetId="10" r:id="rId7"/>
    <sheet name="Vehicle Count" sheetId="5" r:id="rId8"/>
    <sheet name="Public Charging Ports" sheetId="4" r:id="rId9"/>
    <sheet name="Direct Replacement of VMT" sheetId="6" r:id="rId10"/>
    <sheet name="One-Way Trips" sheetId="7" r:id="rId11"/>
    <sheet name="Two-Way Trips" sheetId="8" r:id="rId12"/>
    <sheet name="Member Growth" sheetId="9"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4" l="1"/>
  <c r="D2" i="14" s="1"/>
  <c r="E2" i="14" s="1"/>
  <c r="F2" i="14" s="1"/>
  <c r="G2" i="14" s="1"/>
  <c r="H2" i="14" s="1"/>
  <c r="I2" i="14" s="1"/>
  <c r="J2" i="14" s="1"/>
  <c r="K2" i="14" s="1"/>
  <c r="L2" i="14" s="1"/>
  <c r="M2" i="14" s="1"/>
  <c r="N2" i="14" s="1"/>
  <c r="O2" i="14" s="1"/>
  <c r="P2" i="14" s="1"/>
  <c r="Q2" i="14" s="1"/>
  <c r="R2" i="14" s="1"/>
  <c r="S2" i="14" s="1"/>
  <c r="T2" i="14" s="1"/>
  <c r="U2" i="14" s="1"/>
  <c r="V2" i="14" s="1"/>
  <c r="W2" i="14" s="1"/>
  <c r="X2" i="14" s="1"/>
  <c r="Y2" i="14" s="1"/>
  <c r="Z2" i="14" s="1"/>
  <c r="AA2" i="14" s="1"/>
  <c r="B4" i="11"/>
  <c r="B13" i="1" l="1"/>
  <c r="B2" i="14" s="1"/>
  <c r="D2" i="13"/>
  <c r="E2" i="13" s="1"/>
  <c r="F2" i="13" s="1"/>
  <c r="G2" i="13" s="1"/>
  <c r="H2" i="13" s="1"/>
  <c r="I2" i="13" s="1"/>
  <c r="J2" i="13" s="1"/>
  <c r="K2" i="13" s="1"/>
  <c r="L2" i="13" s="1"/>
  <c r="M2" i="13" s="1"/>
  <c r="N2" i="13" s="1"/>
  <c r="O2" i="13" s="1"/>
  <c r="P2" i="13" s="1"/>
  <c r="Q2" i="13" s="1"/>
  <c r="C2" i="13"/>
  <c r="C6" i="13"/>
  <c r="D6" i="13" s="1"/>
  <c r="H7" i="9"/>
  <c r="G7" i="9"/>
  <c r="C5" i="9"/>
  <c r="D5" i="9"/>
  <c r="C4" i="4"/>
  <c r="D5" i="4" s="1"/>
  <c r="D4" i="4" l="1"/>
  <c r="E4" i="4" s="1"/>
  <c r="F4" i="4" s="1"/>
  <c r="G4" i="4" s="1"/>
  <c r="H4" i="4" s="1"/>
  <c r="I4" i="4" s="1"/>
  <c r="J4" i="4" s="1"/>
  <c r="K4" i="4" s="1"/>
  <c r="L4" i="4" s="1"/>
  <c r="M4" i="4" s="1"/>
  <c r="N4" i="4" s="1"/>
  <c r="O4" i="4" s="1"/>
  <c r="P4" i="4" s="1"/>
  <c r="Q4" i="4" s="1"/>
  <c r="R4" i="4" s="1"/>
  <c r="S4" i="4" s="1"/>
  <c r="T4" i="4" s="1"/>
  <c r="U4" i="4" s="1"/>
  <c r="V4" i="4" s="1"/>
  <c r="W4" i="4" s="1"/>
  <c r="X4" i="4" s="1"/>
  <c r="Y4" i="4" s="1"/>
  <c r="Z4" i="4" s="1"/>
  <c r="AA4" i="4" s="1"/>
  <c r="E6" i="13"/>
  <c r="F6" i="13" l="1"/>
  <c r="C8" i="4"/>
  <c r="B8" i="4"/>
  <c r="D7" i="4"/>
  <c r="E7" i="4" s="1"/>
  <c r="B11" i="13"/>
  <c r="B2" i="13"/>
  <c r="G6" i="13" l="1"/>
  <c r="E8" i="4"/>
  <c r="F7" i="4"/>
  <c r="D8" i="4"/>
  <c r="C10" i="13"/>
  <c r="B4" i="3"/>
  <c r="B9" i="4"/>
  <c r="H6" i="13" l="1"/>
  <c r="F8" i="4"/>
  <c r="G7" i="4"/>
  <c r="C11" i="13"/>
  <c r="D10" i="13"/>
  <c r="C13" i="5"/>
  <c r="I6" i="13" l="1"/>
  <c r="H7" i="4"/>
  <c r="G8" i="4"/>
  <c r="E10" i="13"/>
  <c r="D11" i="13"/>
  <c r="B8" i="1"/>
  <c r="B2" i="11"/>
  <c r="J6" i="13" l="1"/>
  <c r="I7" i="4"/>
  <c r="H8" i="4"/>
  <c r="F10" i="13"/>
  <c r="E11" i="13"/>
  <c r="B3" i="10"/>
  <c r="B1" i="1"/>
  <c r="B7" i="13" l="1"/>
  <c r="B3" i="14" s="1"/>
  <c r="D7" i="13"/>
  <c r="D3" i="14" s="1"/>
  <c r="C7" i="13"/>
  <c r="C3" i="14" s="1"/>
  <c r="E7" i="13"/>
  <c r="E3" i="14" s="1"/>
  <c r="F7" i="13"/>
  <c r="F3" i="14" s="1"/>
  <c r="G7" i="13"/>
  <c r="G3" i="14" s="1"/>
  <c r="H7" i="13"/>
  <c r="H3" i="14" s="1"/>
  <c r="I7" i="13"/>
  <c r="I3" i="14" s="1"/>
  <c r="K6" i="13"/>
  <c r="J7" i="13"/>
  <c r="J3" i="14" s="1"/>
  <c r="I8" i="4"/>
  <c r="J7" i="4"/>
  <c r="Q4" i="13"/>
  <c r="T3" i="13"/>
  <c r="T4" i="13" s="1"/>
  <c r="S3" i="13"/>
  <c r="S4" i="13" s="1"/>
  <c r="B3" i="13"/>
  <c r="B4" i="13" s="1"/>
  <c r="R3" i="13"/>
  <c r="R4" i="13" s="1"/>
  <c r="C3" i="13"/>
  <c r="C4" i="13" s="1"/>
  <c r="D3" i="13"/>
  <c r="D4" i="13" s="1"/>
  <c r="B12" i="13"/>
  <c r="B3" i="12" s="1"/>
  <c r="B8" i="3" s="1"/>
  <c r="E3" i="13"/>
  <c r="E4" i="13" s="1"/>
  <c r="F3" i="13"/>
  <c r="F4" i="13" s="1"/>
  <c r="C12" i="13"/>
  <c r="G3" i="13"/>
  <c r="G4" i="13" s="1"/>
  <c r="E12" i="13"/>
  <c r="H3" i="13"/>
  <c r="H4" i="13" s="1"/>
  <c r="G10" i="13"/>
  <c r="F11" i="13"/>
  <c r="F12" i="13" s="1"/>
  <c r="D12" i="13"/>
  <c r="L6" i="13" l="1"/>
  <c r="K7" i="13"/>
  <c r="K3" i="14" s="1"/>
  <c r="G14" i="13"/>
  <c r="D14" i="13"/>
  <c r="C14" i="13"/>
  <c r="J8" i="4"/>
  <c r="K7" i="4"/>
  <c r="H14" i="13"/>
  <c r="E14" i="13"/>
  <c r="H10" i="13"/>
  <c r="G11" i="13"/>
  <c r="G12" i="13" s="1"/>
  <c r="I3" i="13"/>
  <c r="I4" i="13" s="1"/>
  <c r="F14" i="13"/>
  <c r="B14" i="13"/>
  <c r="B5" i="3" l="1"/>
  <c r="B9" i="3"/>
  <c r="M6" i="13"/>
  <c r="L7" i="13"/>
  <c r="L3" i="14" s="1"/>
  <c r="K8" i="4"/>
  <c r="L7" i="4"/>
  <c r="J3" i="13"/>
  <c r="J4" i="13" s="1"/>
  <c r="I10" i="13"/>
  <c r="H11" i="13"/>
  <c r="H12" i="13" s="1"/>
  <c r="I14" i="13"/>
  <c r="D12" i="9"/>
  <c r="E12" i="9"/>
  <c r="F12" i="9"/>
  <c r="G12" i="9"/>
  <c r="H12" i="9"/>
  <c r="I12" i="9"/>
  <c r="K16" i="9" s="1"/>
  <c r="J12" i="9"/>
  <c r="L16" i="9" s="1"/>
  <c r="K12" i="9"/>
  <c r="L12" i="9"/>
  <c r="N16" i="9" s="1"/>
  <c r="M12" i="9"/>
  <c r="N12" i="9"/>
  <c r="O12" i="9"/>
  <c r="P12" i="9"/>
  <c r="Q12" i="9"/>
  <c r="S16" i="9" s="1"/>
  <c r="R12" i="9"/>
  <c r="T16" i="9" s="1"/>
  <c r="S12" i="9"/>
  <c r="T12" i="9"/>
  <c r="V16" i="9" s="1"/>
  <c r="U12" i="9"/>
  <c r="V12" i="9"/>
  <c r="W12" i="9"/>
  <c r="X12" i="9"/>
  <c r="Y12" i="9"/>
  <c r="AA16" i="9" s="1"/>
  <c r="Z12" i="9"/>
  <c r="AA12" i="9"/>
  <c r="AB12" i="9"/>
  <c r="C12" i="9"/>
  <c r="D3" i="9"/>
  <c r="E3" i="9"/>
  <c r="F3" i="9"/>
  <c r="G3" i="9"/>
  <c r="H3" i="9"/>
  <c r="I3" i="9"/>
  <c r="J3" i="9"/>
  <c r="K3" i="9"/>
  <c r="L3" i="9"/>
  <c r="N7" i="9" s="1"/>
  <c r="M3" i="9"/>
  <c r="N3" i="9"/>
  <c r="P7" i="9" s="1"/>
  <c r="O3" i="9"/>
  <c r="P3" i="9"/>
  <c r="R7" i="9" s="1"/>
  <c r="Q3" i="9"/>
  <c r="R3" i="9"/>
  <c r="S3" i="9"/>
  <c r="T3" i="9"/>
  <c r="V7" i="9" s="1"/>
  <c r="U3" i="9"/>
  <c r="V3" i="9"/>
  <c r="W3" i="9"/>
  <c r="X3" i="9"/>
  <c r="Z7" i="9" s="1"/>
  <c r="Y3" i="9"/>
  <c r="Z3" i="9"/>
  <c r="AA3" i="9"/>
  <c r="AB3" i="9"/>
  <c r="C3" i="9"/>
  <c r="Z16" i="9"/>
  <c r="R16" i="9"/>
  <c r="J16" i="9"/>
  <c r="G6" i="9"/>
  <c r="O6" i="9"/>
  <c r="W6" i="9"/>
  <c r="N6" i="13" l="1"/>
  <c r="M7" i="13"/>
  <c r="M3" i="14" s="1"/>
  <c r="H15" i="9"/>
  <c r="G14" i="9"/>
  <c r="I16" i="9"/>
  <c r="H16" i="9"/>
  <c r="G15" i="9"/>
  <c r="F14" i="9"/>
  <c r="F15" i="9"/>
  <c r="G16" i="9"/>
  <c r="E14" i="9"/>
  <c r="M7" i="4"/>
  <c r="L8" i="4"/>
  <c r="J14" i="13"/>
  <c r="J10" i="13"/>
  <c r="I11" i="13"/>
  <c r="I12" i="13" s="1"/>
  <c r="K3" i="13"/>
  <c r="K4" i="13" s="1"/>
  <c r="W5" i="9"/>
  <c r="W14" i="9"/>
  <c r="O14" i="9"/>
  <c r="M15" i="9"/>
  <c r="Y6" i="9"/>
  <c r="T14" i="9"/>
  <c r="AB14" i="9"/>
  <c r="AA5" i="9"/>
  <c r="S5" i="9"/>
  <c r="K5" i="9"/>
  <c r="F16" i="9"/>
  <c r="U14" i="9"/>
  <c r="D14" i="9"/>
  <c r="N14" i="9"/>
  <c r="M16" i="9"/>
  <c r="Q6" i="9"/>
  <c r="H5" i="9"/>
  <c r="AA14" i="9"/>
  <c r="N15" i="9"/>
  <c r="V14" i="9"/>
  <c r="J6" i="9"/>
  <c r="J7" i="9"/>
  <c r="I6" i="9"/>
  <c r="K14" i="9"/>
  <c r="AB16" i="9"/>
  <c r="L15" i="9"/>
  <c r="F7" i="9"/>
  <c r="R6" i="9"/>
  <c r="Z6" i="9"/>
  <c r="S14" i="9"/>
  <c r="L14" i="9"/>
  <c r="W16" i="9"/>
  <c r="T15" i="9"/>
  <c r="U16" i="9"/>
  <c r="O15" i="9"/>
  <c r="X16" i="9"/>
  <c r="M14" i="9"/>
  <c r="U15" i="9"/>
  <c r="P16" i="9"/>
  <c r="V15" i="9"/>
  <c r="AB15" i="9"/>
  <c r="D15" i="9"/>
  <c r="C14" i="9"/>
  <c r="C18" i="9" s="1"/>
  <c r="E15" i="9"/>
  <c r="E16" i="9"/>
  <c r="M7" i="9"/>
  <c r="U7" i="9"/>
  <c r="P14" i="9"/>
  <c r="W15" i="9"/>
  <c r="O16" i="9"/>
  <c r="I14" i="9"/>
  <c r="Q14" i="9"/>
  <c r="Y14" i="9"/>
  <c r="P15" i="9"/>
  <c r="X15" i="9"/>
  <c r="H14" i="9"/>
  <c r="X14" i="9"/>
  <c r="J14" i="9"/>
  <c r="R14" i="9"/>
  <c r="Z14" i="9"/>
  <c r="I15" i="9"/>
  <c r="Q15" i="9"/>
  <c r="Y15" i="9"/>
  <c r="Q16" i="9"/>
  <c r="Y16" i="9"/>
  <c r="R15" i="9"/>
  <c r="Z15" i="9"/>
  <c r="J15" i="9"/>
  <c r="K15" i="9"/>
  <c r="S15" i="9"/>
  <c r="AA15" i="9"/>
  <c r="Z5" i="9"/>
  <c r="R5" i="9"/>
  <c r="J5" i="9"/>
  <c r="V6" i="9"/>
  <c r="Y7" i="9"/>
  <c r="Q7" i="9"/>
  <c r="N6" i="9"/>
  <c r="X7" i="9"/>
  <c r="W7" i="9"/>
  <c r="O7" i="9"/>
  <c r="X6" i="9"/>
  <c r="P6" i="9"/>
  <c r="O5" i="9"/>
  <c r="E7" i="9"/>
  <c r="H6" i="9"/>
  <c r="U5" i="9"/>
  <c r="M5" i="9"/>
  <c r="AB7" i="9"/>
  <c r="T7" i="9"/>
  <c r="L7" i="9"/>
  <c r="I7" i="9"/>
  <c r="AB6" i="9"/>
  <c r="T6" i="9"/>
  <c r="L6" i="9"/>
  <c r="AA7" i="9"/>
  <c r="S7" i="9"/>
  <c r="K7" i="9"/>
  <c r="Y5" i="9"/>
  <c r="Q5" i="9"/>
  <c r="I5" i="9"/>
  <c r="C9" i="9"/>
  <c r="B2" i="10" s="1"/>
  <c r="U6" i="9"/>
  <c r="M6" i="9"/>
  <c r="X5" i="9"/>
  <c r="P5" i="9"/>
  <c r="D6" i="9"/>
  <c r="E5" i="9"/>
  <c r="AA6" i="9"/>
  <c r="S6" i="9"/>
  <c r="K6" i="9"/>
  <c r="V5" i="9"/>
  <c r="N5" i="9"/>
  <c r="E6" i="9"/>
  <c r="F5" i="9"/>
  <c r="AB5" i="9"/>
  <c r="T5" i="9"/>
  <c r="L5" i="9"/>
  <c r="F6" i="9"/>
  <c r="G5" i="9"/>
  <c r="D18" i="9" l="1"/>
  <c r="C3" i="10" s="1"/>
  <c r="O6" i="13"/>
  <c r="N7" i="13"/>
  <c r="N3" i="14" s="1"/>
  <c r="M8" i="4"/>
  <c r="N7" i="4"/>
  <c r="L3" i="13"/>
  <c r="L4" i="13" s="1"/>
  <c r="K10" i="13"/>
  <c r="J11" i="13"/>
  <c r="J12" i="13" s="1"/>
  <c r="K14" i="13"/>
  <c r="C20" i="9"/>
  <c r="D9" i="9"/>
  <c r="C2" i="10" s="1"/>
  <c r="E18" i="9" l="1"/>
  <c r="D3" i="10" s="1"/>
  <c r="P6" i="13"/>
  <c r="O7" i="13"/>
  <c r="O3" i="14" s="1"/>
  <c r="B2" i="12"/>
  <c r="B4" i="12" s="1"/>
  <c r="L14" i="13"/>
  <c r="N8" i="4"/>
  <c r="O7" i="4"/>
  <c r="L10" i="13"/>
  <c r="K11" i="13"/>
  <c r="K12" i="13" s="1"/>
  <c r="M3" i="13"/>
  <c r="M4" i="13" s="1"/>
  <c r="D20" i="9"/>
  <c r="C3" i="12" s="1"/>
  <c r="C8" i="3" s="1"/>
  <c r="E9" i="9"/>
  <c r="D2" i="10" s="1"/>
  <c r="F18" i="9" l="1"/>
  <c r="E3" i="10" s="1"/>
  <c r="Q6" i="13"/>
  <c r="P7" i="13"/>
  <c r="P3" i="14" s="1"/>
  <c r="C2" i="12"/>
  <c r="C4" i="12" s="1"/>
  <c r="P7" i="4"/>
  <c r="O8" i="4"/>
  <c r="N3" i="13"/>
  <c r="N4" i="13" s="1"/>
  <c r="M10" i="13"/>
  <c r="L11" i="13"/>
  <c r="L12" i="13" s="1"/>
  <c r="M14" i="13"/>
  <c r="E20" i="9"/>
  <c r="D3" i="12" s="1"/>
  <c r="D8" i="3" s="1"/>
  <c r="F9" i="9"/>
  <c r="G18" i="9" l="1"/>
  <c r="F3" i="10" s="1"/>
  <c r="Q7" i="13"/>
  <c r="Q3" i="14" s="1"/>
  <c r="R6" i="13"/>
  <c r="D2" i="12"/>
  <c r="D4" i="12" s="1"/>
  <c r="P8" i="4"/>
  <c r="Q7" i="4"/>
  <c r="N10" i="13"/>
  <c r="M11" i="13"/>
  <c r="M12" i="13" s="1"/>
  <c r="O3" i="13"/>
  <c r="O4" i="13" s="1"/>
  <c r="P3" i="13"/>
  <c r="P4" i="13" s="1"/>
  <c r="N14" i="13"/>
  <c r="E2" i="10"/>
  <c r="G9" i="9"/>
  <c r="F20" i="9"/>
  <c r="E3" i="12" s="1"/>
  <c r="E8" i="3" s="1"/>
  <c r="H18" i="9" l="1"/>
  <c r="G3" i="10" s="1"/>
  <c r="G20" i="9"/>
  <c r="S6" i="13"/>
  <c r="R7" i="13"/>
  <c r="R3" i="14" s="1"/>
  <c r="Q8" i="4"/>
  <c r="R7" i="4"/>
  <c r="O14" i="13"/>
  <c r="P14" i="13"/>
  <c r="O10" i="13"/>
  <c r="N11" i="13"/>
  <c r="N12" i="13" s="1"/>
  <c r="E2" i="12"/>
  <c r="E4" i="12" s="1"/>
  <c r="F2" i="10"/>
  <c r="H9" i="9"/>
  <c r="G2" i="10" s="1"/>
  <c r="F2" i="12" l="1"/>
  <c r="F4" i="12" s="1"/>
  <c r="F3" i="12"/>
  <c r="F8" i="3" s="1"/>
  <c r="I18" i="9"/>
  <c r="H3" i="10" s="1"/>
  <c r="T6" i="13"/>
  <c r="S7" i="13"/>
  <c r="S3" i="14" s="1"/>
  <c r="R8" i="4"/>
  <c r="S7" i="4"/>
  <c r="P10" i="13"/>
  <c r="O11" i="13"/>
  <c r="O12" i="13" s="1"/>
  <c r="Q14" i="13"/>
  <c r="I9" i="9"/>
  <c r="H2" i="10" s="1"/>
  <c r="H20" i="9"/>
  <c r="G3" i="12" s="1"/>
  <c r="G8" i="3" s="1"/>
  <c r="H8" i="3" l="1"/>
  <c r="J18" i="9"/>
  <c r="I3" i="10" s="1"/>
  <c r="H4" i="10"/>
  <c r="U6" i="13"/>
  <c r="T7" i="13"/>
  <c r="T3" i="14" s="1"/>
  <c r="J9" i="9"/>
  <c r="I2" i="10" s="1"/>
  <c r="I20" i="9"/>
  <c r="H3" i="12" s="1"/>
  <c r="I8" i="3" s="1"/>
  <c r="S8" i="4"/>
  <c r="T7" i="4"/>
  <c r="R14" i="13"/>
  <c r="Q10" i="13"/>
  <c r="P11" i="13"/>
  <c r="P12" i="13" s="1"/>
  <c r="G2" i="12"/>
  <c r="G4" i="12" s="1"/>
  <c r="K9" i="9"/>
  <c r="J2" i="10" s="1"/>
  <c r="K18" i="9" l="1"/>
  <c r="J3" i="10" s="1"/>
  <c r="J4" i="10" s="1"/>
  <c r="I4" i="10"/>
  <c r="J20" i="9"/>
  <c r="I3" i="12" s="1"/>
  <c r="J8" i="3" s="1"/>
  <c r="H2" i="12"/>
  <c r="H4" i="12" s="1"/>
  <c r="V6" i="13"/>
  <c r="U7" i="13"/>
  <c r="U3" i="14" s="1"/>
  <c r="U7" i="4"/>
  <c r="T8" i="4"/>
  <c r="R10" i="13"/>
  <c r="Q11" i="13"/>
  <c r="Q12" i="13" s="1"/>
  <c r="S14" i="13"/>
  <c r="I2" i="12"/>
  <c r="I4" i="12" s="1"/>
  <c r="L9" i="9"/>
  <c r="K2" i="10" s="1"/>
  <c r="L18" i="9"/>
  <c r="K3" i="10" s="1"/>
  <c r="K20" i="9"/>
  <c r="J3" i="12" s="1"/>
  <c r="K8" i="3" s="1"/>
  <c r="W6" i="13" l="1"/>
  <c r="V7" i="13"/>
  <c r="V3" i="14" s="1"/>
  <c r="K4" i="10"/>
  <c r="U8" i="4"/>
  <c r="V7" i="4"/>
  <c r="T14" i="13"/>
  <c r="S10" i="13"/>
  <c r="R11" i="13"/>
  <c r="R12" i="13" s="1"/>
  <c r="J2" i="12"/>
  <c r="J4" i="12" s="1"/>
  <c r="M9" i="9"/>
  <c r="L2" i="10" s="1"/>
  <c r="M18" i="9"/>
  <c r="L3" i="10" s="1"/>
  <c r="L20" i="9"/>
  <c r="K3" i="12" s="1"/>
  <c r="L8" i="3" s="1"/>
  <c r="X6" i="13" l="1"/>
  <c r="W7" i="13"/>
  <c r="W3" i="14" s="1"/>
  <c r="L4" i="10"/>
  <c r="V8" i="4"/>
  <c r="W7" i="4"/>
  <c r="T10" i="13"/>
  <c r="S11" i="13"/>
  <c r="S12" i="13" s="1"/>
  <c r="U14" i="13"/>
  <c r="K2" i="12"/>
  <c r="K4" i="12" s="1"/>
  <c r="N9" i="9"/>
  <c r="M2" i="10" s="1"/>
  <c r="N18" i="9"/>
  <c r="M3" i="10" s="1"/>
  <c r="M20" i="9"/>
  <c r="L3" i="12" s="1"/>
  <c r="M8" i="3" s="1"/>
  <c r="Y6" i="13" l="1"/>
  <c r="X7" i="13"/>
  <c r="X3" i="14" s="1"/>
  <c r="M4" i="10"/>
  <c r="W8" i="4"/>
  <c r="X7" i="4"/>
  <c r="V14" i="13"/>
  <c r="U10" i="13"/>
  <c r="T11" i="13"/>
  <c r="T12" i="13" s="1"/>
  <c r="L2" i="12"/>
  <c r="L4" i="12" s="1"/>
  <c r="O9" i="9"/>
  <c r="N2" i="10" s="1"/>
  <c r="O18" i="9"/>
  <c r="N3" i="10" s="1"/>
  <c r="N20" i="9"/>
  <c r="M3" i="12" s="1"/>
  <c r="N8" i="3" s="1"/>
  <c r="Z6" i="13" l="1"/>
  <c r="Y7" i="13"/>
  <c r="Y3" i="14" s="1"/>
  <c r="N4" i="10"/>
  <c r="X8" i="4"/>
  <c r="Y7" i="4"/>
  <c r="W14" i="13"/>
  <c r="V10" i="13"/>
  <c r="U11" i="13"/>
  <c r="U12" i="13" s="1"/>
  <c r="M2" i="12"/>
  <c r="M4" i="12" s="1"/>
  <c r="P9" i="9"/>
  <c r="O2" i="10" s="1"/>
  <c r="P18" i="9"/>
  <c r="O3" i="10" s="1"/>
  <c r="O20" i="9"/>
  <c r="N3" i="12" s="1"/>
  <c r="O8" i="3" s="1"/>
  <c r="AA6" i="13" l="1"/>
  <c r="Z7" i="13"/>
  <c r="Z3" i="14" s="1"/>
  <c r="O4" i="10"/>
  <c r="Y8" i="4"/>
  <c r="Z7" i="4"/>
  <c r="X14" i="13"/>
  <c r="W10" i="13"/>
  <c r="V11" i="13"/>
  <c r="V12" i="13" s="1"/>
  <c r="N2" i="12"/>
  <c r="N4" i="12" s="1"/>
  <c r="Q9" i="9"/>
  <c r="P2" i="10" s="1"/>
  <c r="Q18" i="9"/>
  <c r="P3" i="10" s="1"/>
  <c r="P20" i="9"/>
  <c r="O3" i="12" s="1"/>
  <c r="P8" i="3" s="1"/>
  <c r="AA7" i="13" l="1"/>
  <c r="AA11" i="13"/>
  <c r="AA12" i="13" s="1"/>
  <c r="P4" i="10"/>
  <c r="Z8" i="4"/>
  <c r="AA7" i="4"/>
  <c r="AA8" i="4" s="1"/>
  <c r="X10" i="13"/>
  <c r="W11" i="13"/>
  <c r="W12" i="13" s="1"/>
  <c r="Y14" i="13"/>
  <c r="O2" i="12"/>
  <c r="O4" i="12" s="1"/>
  <c r="R9" i="9"/>
  <c r="Q2" i="10" s="1"/>
  <c r="R18" i="9"/>
  <c r="Q3" i="10" s="1"/>
  <c r="Q20" i="9"/>
  <c r="P3" i="12" s="1"/>
  <c r="Q8" i="3" s="1"/>
  <c r="AA3" i="14" l="1"/>
  <c r="AA14" i="13"/>
  <c r="Q4" i="10"/>
  <c r="Z14" i="13"/>
  <c r="Y10" i="13"/>
  <c r="X11" i="13"/>
  <c r="X12" i="13" s="1"/>
  <c r="P2" i="12"/>
  <c r="P4" i="12" s="1"/>
  <c r="S9" i="9"/>
  <c r="R2" i="10" s="1"/>
  <c r="S18" i="9"/>
  <c r="R3" i="10" s="1"/>
  <c r="R20" i="9"/>
  <c r="Q3" i="12" s="1"/>
  <c r="R8" i="3" s="1"/>
  <c r="R4" i="10" l="1"/>
  <c r="Z10" i="13"/>
  <c r="Z11" i="13" s="1"/>
  <c r="Z12" i="13" s="1"/>
  <c r="Y11" i="13"/>
  <c r="Y12" i="13" s="1"/>
  <c r="Q2" i="12"/>
  <c r="Q4" i="12" s="1"/>
  <c r="T9" i="9"/>
  <c r="S2" i="10" s="1"/>
  <c r="T18" i="9"/>
  <c r="S3" i="10" s="1"/>
  <c r="S20" i="9"/>
  <c r="R3" i="12" s="1"/>
  <c r="S8" i="3" s="1"/>
  <c r="S4" i="10" l="1"/>
  <c r="R2" i="12"/>
  <c r="R4" i="12" s="1"/>
  <c r="U9" i="9"/>
  <c r="T2" i="10" s="1"/>
  <c r="U18" i="9"/>
  <c r="T3" i="10" s="1"/>
  <c r="T20" i="9"/>
  <c r="S3" i="12" s="1"/>
  <c r="T8" i="3" s="1"/>
  <c r="T4" i="10" l="1"/>
  <c r="S2" i="12"/>
  <c r="S4" i="12" s="1"/>
  <c r="V9" i="9"/>
  <c r="U2" i="10" s="1"/>
  <c r="V18" i="9"/>
  <c r="U3" i="10" s="1"/>
  <c r="U20" i="9"/>
  <c r="T3" i="12" s="1"/>
  <c r="U8" i="3" s="1"/>
  <c r="U4" i="10" l="1"/>
  <c r="T2" i="12"/>
  <c r="T4" i="12" s="1"/>
  <c r="W9" i="9"/>
  <c r="V2" i="10" s="1"/>
  <c r="W18" i="9"/>
  <c r="V3" i="10" s="1"/>
  <c r="V20" i="9"/>
  <c r="U3" i="12" s="1"/>
  <c r="V8" i="3" s="1"/>
  <c r="V4" i="10" l="1"/>
  <c r="U2" i="12"/>
  <c r="U4" i="12" s="1"/>
  <c r="X9" i="9"/>
  <c r="W2" i="10" s="1"/>
  <c r="X18" i="9"/>
  <c r="W3" i="10" s="1"/>
  <c r="W20" i="9"/>
  <c r="V3" i="12" s="1"/>
  <c r="W8" i="3" s="1"/>
  <c r="W4" i="10" l="1"/>
  <c r="V2" i="12"/>
  <c r="V4" i="12" s="1"/>
  <c r="Y9" i="9"/>
  <c r="X2" i="10" s="1"/>
  <c r="Y18" i="9"/>
  <c r="X3" i="10" s="1"/>
  <c r="X20" i="9"/>
  <c r="W3" i="12" s="1"/>
  <c r="X8" i="3" s="1"/>
  <c r="X4" i="10" l="1"/>
  <c r="W2" i="12"/>
  <c r="W4" i="12" s="1"/>
  <c r="Z9" i="9"/>
  <c r="Y2" i="10" s="1"/>
  <c r="Z18" i="9"/>
  <c r="Y3" i="10" s="1"/>
  <c r="Y20" i="9"/>
  <c r="X3" i="12" s="1"/>
  <c r="Y8" i="3" s="1"/>
  <c r="Y4" i="10" l="1"/>
  <c r="X2" i="12"/>
  <c r="X4" i="12" s="1"/>
  <c r="AA9" i="9"/>
  <c r="Z2" i="10" s="1"/>
  <c r="AA18" i="9"/>
  <c r="Z3" i="10" s="1"/>
  <c r="Z20" i="9"/>
  <c r="Y3" i="12" s="1"/>
  <c r="Z8" i="3" s="1"/>
  <c r="Z4" i="10" l="1"/>
  <c r="Y2" i="12"/>
  <c r="Y4" i="12" s="1"/>
  <c r="AB9" i="9"/>
  <c r="AA2" i="10" s="1"/>
  <c r="AB18" i="9"/>
  <c r="AA20" i="9"/>
  <c r="Z3" i="12" s="1"/>
  <c r="AA8" i="3" s="1"/>
  <c r="AB20" i="9" l="1"/>
  <c r="AA3" i="12" s="1"/>
  <c r="AB8" i="3" s="1"/>
  <c r="AA3" i="10"/>
  <c r="AA4" i="10" s="1"/>
  <c r="Z2" i="12"/>
  <c r="Z4" i="12" s="1"/>
  <c r="D5" i="8"/>
  <c r="D12" i="8" s="1"/>
  <c r="E5" i="8"/>
  <c r="F5" i="8"/>
  <c r="G5" i="8"/>
  <c r="H5" i="8"/>
  <c r="I5" i="8"/>
  <c r="J5" i="8"/>
  <c r="K5" i="8"/>
  <c r="L5" i="8"/>
  <c r="M5" i="8"/>
  <c r="N5" i="8"/>
  <c r="N12" i="8" s="1"/>
  <c r="O5" i="8"/>
  <c r="P5" i="8"/>
  <c r="Q5" i="8"/>
  <c r="R5" i="8"/>
  <c r="S5" i="8"/>
  <c r="T5" i="8"/>
  <c r="U5" i="8"/>
  <c r="V5" i="8"/>
  <c r="W5" i="8"/>
  <c r="X5" i="8"/>
  <c r="Y5" i="8"/>
  <c r="Z5" i="8"/>
  <c r="AA5" i="8"/>
  <c r="AB5" i="8"/>
  <c r="C5" i="8"/>
  <c r="AB12" i="8"/>
  <c r="H5" i="7"/>
  <c r="I5" i="7"/>
  <c r="J5" i="7"/>
  <c r="K5" i="7"/>
  <c r="M13" i="7" s="1"/>
  <c r="L5" i="7"/>
  <c r="M5" i="7"/>
  <c r="N5" i="7"/>
  <c r="O12" i="7" s="1"/>
  <c r="O5" i="7"/>
  <c r="P5" i="7"/>
  <c r="Q5" i="7"/>
  <c r="R5" i="7"/>
  <c r="S5" i="7"/>
  <c r="U13" i="7" s="1"/>
  <c r="T5" i="7"/>
  <c r="U5" i="7"/>
  <c r="V5" i="7"/>
  <c r="W12" i="7" s="1"/>
  <c r="W5" i="7"/>
  <c r="X5" i="7"/>
  <c r="Y5" i="7"/>
  <c r="Z13" i="7" s="1"/>
  <c r="Z5" i="7"/>
  <c r="AA5" i="7"/>
  <c r="AB12" i="7" s="1"/>
  <c r="AB5" i="7"/>
  <c r="H4" i="5"/>
  <c r="I4" i="5"/>
  <c r="J4" i="5"/>
  <c r="K4" i="5"/>
  <c r="L4" i="5"/>
  <c r="M4" i="5"/>
  <c r="N4" i="5"/>
  <c r="O4" i="5"/>
  <c r="P4" i="5"/>
  <c r="Q4" i="5"/>
  <c r="R4" i="5"/>
  <c r="S4" i="5"/>
  <c r="T4" i="5"/>
  <c r="U4" i="5"/>
  <c r="V4" i="5"/>
  <c r="W4" i="5"/>
  <c r="X4" i="5"/>
  <c r="Y4" i="5"/>
  <c r="Z4" i="5"/>
  <c r="AA4" i="5"/>
  <c r="AB4" i="5"/>
  <c r="D5" i="7"/>
  <c r="E5" i="7"/>
  <c r="F5" i="7"/>
  <c r="G5" i="7"/>
  <c r="J14" i="7" s="1"/>
  <c r="E4" i="5"/>
  <c r="F4" i="5"/>
  <c r="G4" i="5"/>
  <c r="C4" i="5"/>
  <c r="C5" i="7"/>
  <c r="D7" i="5"/>
  <c r="C8" i="5"/>
  <c r="C7" i="5"/>
  <c r="C9" i="5" s="1"/>
  <c r="C12" i="5"/>
  <c r="D11" i="5"/>
  <c r="E7" i="5" s="1"/>
  <c r="C11" i="5"/>
  <c r="AA2" i="12" l="1"/>
  <c r="AA4" i="12" s="1"/>
  <c r="M12" i="8"/>
  <c r="I12" i="8"/>
  <c r="P12" i="8"/>
  <c r="H12" i="8"/>
  <c r="V12" i="8"/>
  <c r="X12" i="8"/>
  <c r="L13" i="7"/>
  <c r="O12" i="8"/>
  <c r="T14" i="7"/>
  <c r="L14" i="7"/>
  <c r="C6" i="8"/>
  <c r="C10" i="8" s="1"/>
  <c r="E13" i="8"/>
  <c r="AB13" i="7"/>
  <c r="T13" i="7"/>
  <c r="D12" i="5"/>
  <c r="D9" i="4" s="1"/>
  <c r="B4" i="4"/>
  <c r="C5" i="4" s="1"/>
  <c r="D8" i="5"/>
  <c r="D9" i="5" s="1"/>
  <c r="G12" i="7"/>
  <c r="V12" i="7"/>
  <c r="N12" i="7"/>
  <c r="U12" i="8"/>
  <c r="C6" i="7"/>
  <c r="C12" i="7"/>
  <c r="E13" i="7"/>
  <c r="D12" i="7"/>
  <c r="D16" i="7" s="1"/>
  <c r="C6" i="6" s="1"/>
  <c r="E14" i="7"/>
  <c r="G14" i="7"/>
  <c r="G15" i="7"/>
  <c r="F14" i="7"/>
  <c r="F15" i="7"/>
  <c r="D13" i="7"/>
  <c r="F13" i="7"/>
  <c r="E12" i="7"/>
  <c r="F13" i="8"/>
  <c r="F12" i="8"/>
  <c r="G13" i="8"/>
  <c r="G12" i="8"/>
  <c r="E12" i="8"/>
  <c r="Q12" i="8"/>
  <c r="W12" i="8"/>
  <c r="Y12" i="8"/>
  <c r="J12" i="8"/>
  <c r="R12" i="8"/>
  <c r="Z12" i="8"/>
  <c r="C12" i="8"/>
  <c r="C14" i="8" s="1"/>
  <c r="B7" i="6" s="1"/>
  <c r="K12" i="8"/>
  <c r="S12" i="8"/>
  <c r="AA12" i="8"/>
  <c r="D4" i="8"/>
  <c r="L12" i="8"/>
  <c r="T12" i="8"/>
  <c r="D13" i="8"/>
  <c r="T12" i="7"/>
  <c r="L12" i="7"/>
  <c r="U12" i="7"/>
  <c r="M12" i="7"/>
  <c r="Y14" i="7"/>
  <c r="X14" i="7"/>
  <c r="Q14" i="7"/>
  <c r="P14" i="7"/>
  <c r="F12" i="7"/>
  <c r="AA14" i="7"/>
  <c r="S14" i="7"/>
  <c r="K14" i="7"/>
  <c r="Z14" i="7"/>
  <c r="R14" i="7"/>
  <c r="C16" i="7"/>
  <c r="B6" i="6" s="1"/>
  <c r="Z12" i="7"/>
  <c r="R12" i="7"/>
  <c r="J12" i="7"/>
  <c r="Y13" i="7"/>
  <c r="Q13" i="7"/>
  <c r="I13" i="7"/>
  <c r="W14" i="7"/>
  <c r="O14" i="7"/>
  <c r="S12" i="7"/>
  <c r="K12" i="7"/>
  <c r="J13" i="7"/>
  <c r="H14" i="7"/>
  <c r="Y12" i="7"/>
  <c r="Q12" i="7"/>
  <c r="I12" i="7"/>
  <c r="X13" i="7"/>
  <c r="P13" i="7"/>
  <c r="H13" i="7"/>
  <c r="V14" i="7"/>
  <c r="N14" i="7"/>
  <c r="S13" i="7"/>
  <c r="K13" i="7"/>
  <c r="R13" i="7"/>
  <c r="X12" i="7"/>
  <c r="P12" i="7"/>
  <c r="H12" i="7"/>
  <c r="W13" i="7"/>
  <c r="O13" i="7"/>
  <c r="G13" i="7"/>
  <c r="U14" i="7"/>
  <c r="M14" i="7"/>
  <c r="AA13" i="7"/>
  <c r="V13" i="7"/>
  <c r="N13" i="7"/>
  <c r="AB14" i="7"/>
  <c r="AA12" i="7"/>
  <c r="I14" i="7"/>
  <c r="E11" i="5"/>
  <c r="C9" i="4" l="1"/>
  <c r="C10" i="4" s="1"/>
  <c r="C2" i="11"/>
  <c r="D13" i="5"/>
  <c r="C5" i="12" s="1"/>
  <c r="F14" i="8"/>
  <c r="E7" i="6" s="1"/>
  <c r="D10" i="4"/>
  <c r="D2" i="4"/>
  <c r="C2" i="4"/>
  <c r="E8" i="5"/>
  <c r="E9" i="5" s="1"/>
  <c r="E12" i="5"/>
  <c r="F8" i="5" s="1"/>
  <c r="C3" i="11"/>
  <c r="C9" i="3" s="1"/>
  <c r="B5" i="12"/>
  <c r="D4" i="7"/>
  <c r="C10" i="7"/>
  <c r="B8" i="6"/>
  <c r="B7" i="3" s="1"/>
  <c r="B10" i="3" s="1"/>
  <c r="E14" i="8"/>
  <c r="D7" i="6" s="1"/>
  <c r="G14" i="8"/>
  <c r="F7" i="6" s="1"/>
  <c r="D14" i="8"/>
  <c r="C7" i="6" s="1"/>
  <c r="C8" i="6" s="1"/>
  <c r="C7" i="3" s="1"/>
  <c r="D6" i="8"/>
  <c r="D10" i="8" s="1"/>
  <c r="G16" i="7"/>
  <c r="F6" i="6" s="1"/>
  <c r="E16" i="7"/>
  <c r="D6" i="6" s="1"/>
  <c r="F16" i="7"/>
  <c r="E6" i="6" s="1"/>
  <c r="F7" i="5"/>
  <c r="F11" i="5"/>
  <c r="C4" i="11" l="1"/>
  <c r="D2" i="11"/>
  <c r="C5" i="3"/>
  <c r="E13" i="5"/>
  <c r="D5" i="12" s="1"/>
  <c r="F12" i="5"/>
  <c r="F5" i="4" s="1"/>
  <c r="F9" i="4" s="1"/>
  <c r="F10" i="4" s="1"/>
  <c r="E5" i="4"/>
  <c r="E9" i="4" s="1"/>
  <c r="E10" i="4" s="1"/>
  <c r="C11" i="4"/>
  <c r="C4" i="3" s="1"/>
  <c r="D11" i="4"/>
  <c r="D4" i="3" s="1"/>
  <c r="E2" i="4"/>
  <c r="B4" i="14"/>
  <c r="B5" i="14" s="1"/>
  <c r="E8" i="6"/>
  <c r="E7" i="3" s="1"/>
  <c r="D6" i="7"/>
  <c r="D3" i="11"/>
  <c r="F9" i="5"/>
  <c r="F8" i="6"/>
  <c r="F7" i="3" s="1"/>
  <c r="D8" i="6"/>
  <c r="D7" i="3" s="1"/>
  <c r="E4" i="8"/>
  <c r="G11" i="5"/>
  <c r="G7" i="5"/>
  <c r="D9" i="3" l="1"/>
  <c r="D4" i="11"/>
  <c r="E2" i="11"/>
  <c r="D5" i="3"/>
  <c r="G8" i="5"/>
  <c r="G9" i="5" s="1"/>
  <c r="F2" i="4"/>
  <c r="F13" i="5"/>
  <c r="E5" i="12" s="1"/>
  <c r="G12" i="5"/>
  <c r="G5" i="4" s="1"/>
  <c r="G9" i="4" s="1"/>
  <c r="G10" i="4" s="1"/>
  <c r="E11" i="4"/>
  <c r="E4" i="3" s="1"/>
  <c r="F11" i="4"/>
  <c r="F4" i="3" s="1"/>
  <c r="E3" i="11"/>
  <c r="E4" i="7"/>
  <c r="H15" i="7"/>
  <c r="H16" i="7" s="1"/>
  <c r="G6" i="6" s="1"/>
  <c r="H11" i="5"/>
  <c r="H7" i="5"/>
  <c r="D10" i="7"/>
  <c r="E6" i="8"/>
  <c r="E10" i="8" s="1"/>
  <c r="E9" i="3" l="1"/>
  <c r="E4" i="11"/>
  <c r="F2" i="11"/>
  <c r="E5" i="3"/>
  <c r="H8" i="5"/>
  <c r="H9" i="5" s="1"/>
  <c r="H12" i="5"/>
  <c r="H13" i="5" s="1"/>
  <c r="G5" i="12" s="1"/>
  <c r="G2" i="4"/>
  <c r="G13" i="5"/>
  <c r="F5" i="12" s="1"/>
  <c r="G11" i="4"/>
  <c r="I11" i="5"/>
  <c r="I7" i="5"/>
  <c r="E6" i="7"/>
  <c r="E10" i="7" s="1"/>
  <c r="F3" i="11"/>
  <c r="F4" i="8"/>
  <c r="F9" i="3" l="1"/>
  <c r="F4" i="11"/>
  <c r="G4" i="3"/>
  <c r="H4" i="3" s="1"/>
  <c r="G2" i="11"/>
  <c r="F5" i="3"/>
  <c r="I12" i="5"/>
  <c r="I8" i="5"/>
  <c r="I9" i="5" s="1"/>
  <c r="G3" i="11"/>
  <c r="I15" i="7"/>
  <c r="I16" i="7" s="1"/>
  <c r="H6" i="6" s="1"/>
  <c r="F4" i="7"/>
  <c r="J11" i="5"/>
  <c r="J7" i="5"/>
  <c r="F6" i="8"/>
  <c r="G9" i="3" l="1"/>
  <c r="H9" i="3" s="1"/>
  <c r="G4" i="11"/>
  <c r="G5" i="3"/>
  <c r="J8" i="5"/>
  <c r="J9" i="5" s="1"/>
  <c r="J12" i="5"/>
  <c r="J13" i="5" s="1"/>
  <c r="I5" i="12" s="1"/>
  <c r="H5" i="4"/>
  <c r="H9" i="4" s="1"/>
  <c r="H10" i="4" s="1"/>
  <c r="H11" i="4" s="1"/>
  <c r="I4" i="3" s="1"/>
  <c r="H2" i="4"/>
  <c r="I13" i="5"/>
  <c r="H5" i="12" s="1"/>
  <c r="K7" i="5"/>
  <c r="K11" i="5"/>
  <c r="F6" i="7"/>
  <c r="F10" i="7" s="1"/>
  <c r="H3" i="11"/>
  <c r="G4" i="8"/>
  <c r="F10" i="8"/>
  <c r="I9" i="3" l="1"/>
  <c r="H2" i="11"/>
  <c r="H4" i="11" s="1"/>
  <c r="K8" i="5"/>
  <c r="K9" i="5" s="1"/>
  <c r="K12" i="5"/>
  <c r="I5" i="4"/>
  <c r="I9" i="4" s="1"/>
  <c r="I10" i="4" s="1"/>
  <c r="I11" i="4" s="1"/>
  <c r="J4" i="3" s="1"/>
  <c r="I2" i="4"/>
  <c r="I3" i="11"/>
  <c r="J15" i="7"/>
  <c r="J16" i="7" s="1"/>
  <c r="I6" i="6" s="1"/>
  <c r="G4" i="7"/>
  <c r="G6" i="7" s="1"/>
  <c r="L7" i="5"/>
  <c r="L11" i="5"/>
  <c r="G6" i="8"/>
  <c r="H13" i="8" s="1"/>
  <c r="H14" i="8" s="1"/>
  <c r="G7" i="6" s="1"/>
  <c r="J9" i="3" l="1"/>
  <c r="I2" i="11"/>
  <c r="I4" i="11" s="1"/>
  <c r="I5" i="3"/>
  <c r="L8" i="5"/>
  <c r="L9" i="5" s="1"/>
  <c r="L12" i="5"/>
  <c r="L13" i="5" s="1"/>
  <c r="K5" i="12" s="1"/>
  <c r="K13" i="5"/>
  <c r="J5" i="12" s="1"/>
  <c r="J5" i="4"/>
  <c r="J9" i="4" s="1"/>
  <c r="J10" i="4" s="1"/>
  <c r="J11" i="4" s="1"/>
  <c r="K4" i="3" s="1"/>
  <c r="J2" i="4"/>
  <c r="G10" i="7"/>
  <c r="K15" i="7"/>
  <c r="K16" i="7" s="1"/>
  <c r="J6" i="6" s="1"/>
  <c r="H4" i="7"/>
  <c r="J3" i="11"/>
  <c r="M7" i="5"/>
  <c r="M11" i="5"/>
  <c r="G8" i="6"/>
  <c r="G7" i="3" s="1"/>
  <c r="H4" i="8"/>
  <c r="G10" i="8"/>
  <c r="K9" i="3" l="1"/>
  <c r="J2" i="11"/>
  <c r="J4" i="11" s="1"/>
  <c r="J5" i="3"/>
  <c r="H7" i="3"/>
  <c r="M12" i="5"/>
  <c r="M13" i="5" s="1"/>
  <c r="L5" i="12" s="1"/>
  <c r="M8" i="5"/>
  <c r="M9" i="5" s="1"/>
  <c r="K5" i="4"/>
  <c r="K9" i="4" s="1"/>
  <c r="K10" i="4" s="1"/>
  <c r="K11" i="4" s="1"/>
  <c r="L4" i="3" s="1"/>
  <c r="K2" i="4"/>
  <c r="K3" i="11"/>
  <c r="H6" i="7"/>
  <c r="H10" i="7"/>
  <c r="N7" i="5"/>
  <c r="N11" i="5"/>
  <c r="H6" i="8"/>
  <c r="I13" i="8" s="1"/>
  <c r="I14" i="8" s="1"/>
  <c r="H7" i="6" s="1"/>
  <c r="L9" i="3" l="1"/>
  <c r="K2" i="11"/>
  <c r="K4" i="11" s="1"/>
  <c r="K5" i="3"/>
  <c r="N12" i="5"/>
  <c r="N13" i="5" s="1"/>
  <c r="M5" i="12" s="1"/>
  <c r="N8" i="5"/>
  <c r="N9" i="5" s="1"/>
  <c r="L5" i="4"/>
  <c r="L9" i="4" s="1"/>
  <c r="L10" i="4" s="1"/>
  <c r="L11" i="4" s="1"/>
  <c r="M4" i="3" s="1"/>
  <c r="L2" i="4"/>
  <c r="I4" i="7"/>
  <c r="I6" i="7" s="1"/>
  <c r="L15" i="7"/>
  <c r="L16" i="7" s="1"/>
  <c r="K6" i="6" s="1"/>
  <c r="O11" i="5"/>
  <c r="O7" i="5"/>
  <c r="L3" i="11"/>
  <c r="H8" i="6"/>
  <c r="I7" i="3" s="1"/>
  <c r="I4" i="8"/>
  <c r="H10" i="8"/>
  <c r="M9" i="3" l="1"/>
  <c r="L2" i="11"/>
  <c r="L4" i="11" s="1"/>
  <c r="L5" i="3"/>
  <c r="O12" i="5"/>
  <c r="O8" i="5"/>
  <c r="O9" i="5" s="1"/>
  <c r="M5" i="4"/>
  <c r="M9" i="4" s="1"/>
  <c r="M10" i="4" s="1"/>
  <c r="M11" i="4" s="1"/>
  <c r="N4" i="3" s="1"/>
  <c r="M2" i="4"/>
  <c r="M3" i="11"/>
  <c r="P11" i="5"/>
  <c r="P7" i="5"/>
  <c r="I10" i="7"/>
  <c r="M15" i="7"/>
  <c r="M16" i="7" s="1"/>
  <c r="L6" i="6" s="1"/>
  <c r="J4" i="7"/>
  <c r="J6" i="7" s="1"/>
  <c r="I6" i="8"/>
  <c r="N9" i="3" l="1"/>
  <c r="M2" i="11"/>
  <c r="M4" i="11" s="1"/>
  <c r="M5" i="3"/>
  <c r="P12" i="5"/>
  <c r="P13" i="5" s="1"/>
  <c r="O5" i="12" s="1"/>
  <c r="P8" i="5"/>
  <c r="P9" i="5" s="1"/>
  <c r="O13" i="5"/>
  <c r="N5" i="12" s="1"/>
  <c r="N5" i="4"/>
  <c r="N9" i="4" s="1"/>
  <c r="N10" i="4" s="1"/>
  <c r="N11" i="4" s="1"/>
  <c r="O4" i="3" s="1"/>
  <c r="N2" i="4"/>
  <c r="Q7" i="5"/>
  <c r="Q11" i="5"/>
  <c r="N3" i="11"/>
  <c r="J10" i="7"/>
  <c r="N15" i="7"/>
  <c r="N16" i="7" s="1"/>
  <c r="M6" i="6" s="1"/>
  <c r="K4" i="7"/>
  <c r="K6" i="7" s="1"/>
  <c r="I10" i="8"/>
  <c r="J13" i="8"/>
  <c r="J14" i="8" s="1"/>
  <c r="I7" i="6" s="1"/>
  <c r="J4" i="8"/>
  <c r="O9" i="3" l="1"/>
  <c r="N2" i="11"/>
  <c r="N4" i="11" s="1"/>
  <c r="N5" i="3"/>
  <c r="Q8" i="5"/>
  <c r="Q9" i="5" s="1"/>
  <c r="Q12" i="5"/>
  <c r="O5" i="4"/>
  <c r="O9" i="4" s="1"/>
  <c r="O10" i="4" s="1"/>
  <c r="O11" i="4" s="1"/>
  <c r="P4" i="3" s="1"/>
  <c r="O2" i="4"/>
  <c r="O3" i="11"/>
  <c r="R11" i="5"/>
  <c r="R7" i="5"/>
  <c r="K10" i="7"/>
  <c r="O15" i="7"/>
  <c r="O16" i="7" s="1"/>
  <c r="N6" i="6" s="1"/>
  <c r="L4" i="7"/>
  <c r="L6" i="7" s="1"/>
  <c r="I8" i="6"/>
  <c r="J7" i="3" s="1"/>
  <c r="J6" i="8"/>
  <c r="K13" i="8" s="1"/>
  <c r="K14" i="8" s="1"/>
  <c r="J7" i="6" s="1"/>
  <c r="P9" i="3" l="1"/>
  <c r="O2" i="11"/>
  <c r="O4" i="11" s="1"/>
  <c r="O5" i="3"/>
  <c r="Q13" i="5"/>
  <c r="P5" i="12" s="1"/>
  <c r="R8" i="5"/>
  <c r="R9" i="5" s="1"/>
  <c r="R12" i="5"/>
  <c r="P5" i="4"/>
  <c r="P9" i="4" s="1"/>
  <c r="P10" i="4" s="1"/>
  <c r="P11" i="4" s="1"/>
  <c r="Q4" i="3" s="1"/>
  <c r="P2" i="4"/>
  <c r="S7" i="5"/>
  <c r="S11" i="5"/>
  <c r="P3" i="11"/>
  <c r="L10" i="7"/>
  <c r="P15" i="7"/>
  <c r="P16" i="7" s="1"/>
  <c r="O6" i="6" s="1"/>
  <c r="M4" i="7"/>
  <c r="J10" i="8"/>
  <c r="J8" i="6"/>
  <c r="K7" i="3" s="1"/>
  <c r="K4" i="8"/>
  <c r="Q9" i="3" l="1"/>
  <c r="P2" i="11"/>
  <c r="P4" i="11" s="1"/>
  <c r="P5" i="3"/>
  <c r="Q5" i="4"/>
  <c r="Q9" i="4" s="1"/>
  <c r="Q10" i="4" s="1"/>
  <c r="Q11" i="4" s="1"/>
  <c r="R4" i="3" s="1"/>
  <c r="Q2" i="4"/>
  <c r="S8" i="5"/>
  <c r="S9" i="5" s="1"/>
  <c r="R13" i="5"/>
  <c r="Q5" i="12" s="1"/>
  <c r="S12" i="5"/>
  <c r="S13" i="5" s="1"/>
  <c r="R5" i="12" s="1"/>
  <c r="Q3" i="11"/>
  <c r="T7" i="5"/>
  <c r="T11" i="5"/>
  <c r="M6" i="7"/>
  <c r="M10" i="7" s="1"/>
  <c r="K6" i="8"/>
  <c r="L13" i="8" s="1"/>
  <c r="L14" i="8" s="1"/>
  <c r="K7" i="6" s="1"/>
  <c r="R9" i="3" l="1"/>
  <c r="Q2" i="11"/>
  <c r="Q4" i="11" s="1"/>
  <c r="Q5" i="3"/>
  <c r="R5" i="4"/>
  <c r="R9" i="4" s="1"/>
  <c r="R10" i="4" s="1"/>
  <c r="R11" i="4" s="1"/>
  <c r="S4" i="3" s="1"/>
  <c r="R2" i="4"/>
  <c r="T12" i="5"/>
  <c r="T13" i="5" s="1"/>
  <c r="S5" i="12" s="1"/>
  <c r="T8" i="5"/>
  <c r="T9" i="5" s="1"/>
  <c r="U7" i="5"/>
  <c r="U11" i="5"/>
  <c r="N4" i="7"/>
  <c r="Q15" i="7"/>
  <c r="Q16" i="7" s="1"/>
  <c r="P6" i="6" s="1"/>
  <c r="R3" i="11"/>
  <c r="K8" i="6"/>
  <c r="L7" i="3" s="1"/>
  <c r="K10" i="8"/>
  <c r="L4" i="8"/>
  <c r="S9" i="3" l="1"/>
  <c r="R2" i="11"/>
  <c r="R4" i="11" s="1"/>
  <c r="R5" i="3"/>
  <c r="S5" i="4"/>
  <c r="S9" i="4" s="1"/>
  <c r="S10" i="4" s="1"/>
  <c r="S11" i="4" s="1"/>
  <c r="T4" i="3" s="1"/>
  <c r="S2" i="4"/>
  <c r="U8" i="5"/>
  <c r="U9" i="5" s="1"/>
  <c r="U12" i="5"/>
  <c r="S3" i="11"/>
  <c r="N6" i="7"/>
  <c r="N10" i="7"/>
  <c r="V11" i="5"/>
  <c r="V7" i="5"/>
  <c r="L6" i="8"/>
  <c r="M13" i="8" s="1"/>
  <c r="M14" i="8" s="1"/>
  <c r="L7" i="6" s="1"/>
  <c r="T9" i="3" l="1"/>
  <c r="S2" i="11"/>
  <c r="S4" i="11" s="1"/>
  <c r="S5" i="3"/>
  <c r="T5" i="4"/>
  <c r="T9" i="4" s="1"/>
  <c r="T10" i="4" s="1"/>
  <c r="T11" i="4" s="1"/>
  <c r="U4" i="3" s="1"/>
  <c r="T2" i="4"/>
  <c r="V12" i="5"/>
  <c r="V8" i="5"/>
  <c r="V9" i="5" s="1"/>
  <c r="U13" i="5"/>
  <c r="T5" i="12" s="1"/>
  <c r="W11" i="5"/>
  <c r="W7" i="5"/>
  <c r="R15" i="7"/>
  <c r="R16" i="7" s="1"/>
  <c r="Q6" i="6" s="1"/>
  <c r="O4" i="7"/>
  <c r="O6" i="7" s="1"/>
  <c r="T3" i="11"/>
  <c r="L8" i="6"/>
  <c r="M7" i="3" s="1"/>
  <c r="M4" i="8"/>
  <c r="L10" i="8"/>
  <c r="U9" i="3" l="1"/>
  <c r="T2" i="11"/>
  <c r="T4" i="11" s="1"/>
  <c r="T5" i="3"/>
  <c r="W12" i="5"/>
  <c r="W8" i="5"/>
  <c r="W9" i="5" s="1"/>
  <c r="U5" i="4"/>
  <c r="U9" i="4" s="1"/>
  <c r="U10" i="4" s="1"/>
  <c r="U11" i="4" s="1"/>
  <c r="V4" i="3" s="1"/>
  <c r="U2" i="4"/>
  <c r="V13" i="5"/>
  <c r="U5" i="12" s="1"/>
  <c r="U3" i="11"/>
  <c r="O10" i="7"/>
  <c r="S15" i="7"/>
  <c r="S16" i="7" s="1"/>
  <c r="R6" i="6" s="1"/>
  <c r="P4" i="7"/>
  <c r="P6" i="7" s="1"/>
  <c r="P10" i="7" s="1"/>
  <c r="X11" i="5"/>
  <c r="X7" i="5"/>
  <c r="M6" i="8"/>
  <c r="N13" i="8" s="1"/>
  <c r="N14" i="8" s="1"/>
  <c r="M7" i="6" s="1"/>
  <c r="V9" i="3" l="1"/>
  <c r="U2" i="11"/>
  <c r="U4" i="11" s="1"/>
  <c r="U5" i="3"/>
  <c r="W13" i="5"/>
  <c r="V5" i="12" s="1"/>
  <c r="X8" i="5"/>
  <c r="X9" i="5" s="1"/>
  <c r="X12" i="5"/>
  <c r="V5" i="4"/>
  <c r="V9" i="4" s="1"/>
  <c r="V10" i="4" s="1"/>
  <c r="V11" i="4" s="1"/>
  <c r="W4" i="3" s="1"/>
  <c r="V2" i="4"/>
  <c r="Q4" i="7"/>
  <c r="Y7" i="5"/>
  <c r="Y11" i="5"/>
  <c r="T15" i="7"/>
  <c r="T16" i="7" s="1"/>
  <c r="S6" i="6" s="1"/>
  <c r="V3" i="11"/>
  <c r="M8" i="6"/>
  <c r="N7" i="3" s="1"/>
  <c r="M10" i="8"/>
  <c r="N4" i="8"/>
  <c r="Q6" i="7"/>
  <c r="Q10" i="7" s="1"/>
  <c r="W9" i="3" l="1"/>
  <c r="V2" i="11"/>
  <c r="V4" i="11" s="1"/>
  <c r="V5" i="3"/>
  <c r="Y12" i="5"/>
  <c r="Y13" i="5" s="1"/>
  <c r="X5" i="12" s="1"/>
  <c r="Y8" i="5"/>
  <c r="Y9" i="5" s="1"/>
  <c r="X13" i="5"/>
  <c r="W5" i="12" s="1"/>
  <c r="W5" i="4"/>
  <c r="W9" i="4" s="1"/>
  <c r="W10" i="4" s="1"/>
  <c r="W11" i="4" s="1"/>
  <c r="X4" i="3" s="1"/>
  <c r="W2" i="4"/>
  <c r="W3" i="11"/>
  <c r="Z11" i="5"/>
  <c r="Z7" i="5"/>
  <c r="N6" i="8"/>
  <c r="O13" i="8" s="1"/>
  <c r="O14" i="8" s="1"/>
  <c r="N7" i="6" s="1"/>
  <c r="R4" i="7"/>
  <c r="U15" i="7"/>
  <c r="U16" i="7" s="1"/>
  <c r="T6" i="6" s="1"/>
  <c r="X9" i="3" l="1"/>
  <c r="W2" i="11"/>
  <c r="W4" i="11" s="1"/>
  <c r="W5" i="3"/>
  <c r="Z8" i="5"/>
  <c r="Z9" i="5" s="1"/>
  <c r="Z12" i="5"/>
  <c r="X5" i="4"/>
  <c r="X9" i="4" s="1"/>
  <c r="X10" i="4" s="1"/>
  <c r="X11" i="4" s="1"/>
  <c r="Y4" i="3" s="1"/>
  <c r="X2" i="4"/>
  <c r="AA11" i="5"/>
  <c r="AA7" i="5"/>
  <c r="X3" i="11"/>
  <c r="N8" i="6"/>
  <c r="O7" i="3" s="1"/>
  <c r="O4" i="8"/>
  <c r="N10" i="8"/>
  <c r="R6" i="7"/>
  <c r="R10" i="7" s="1"/>
  <c r="Y9" i="3" l="1"/>
  <c r="X2" i="11"/>
  <c r="X4" i="11" s="1"/>
  <c r="X5" i="3"/>
  <c r="Z13" i="5"/>
  <c r="Y5" i="12" s="1"/>
  <c r="AA8" i="5"/>
  <c r="AA9" i="5" s="1"/>
  <c r="AA12" i="5"/>
  <c r="Y5" i="4"/>
  <c r="Y9" i="4" s="1"/>
  <c r="Y10" i="4" s="1"/>
  <c r="Y11" i="4" s="1"/>
  <c r="Z4" i="3" s="1"/>
  <c r="Y2" i="4"/>
  <c r="Y3" i="11"/>
  <c r="AB7" i="5"/>
  <c r="AB11" i="5"/>
  <c r="O6" i="8"/>
  <c r="P13" i="8" s="1"/>
  <c r="P14" i="8" s="1"/>
  <c r="O7" i="6" s="1"/>
  <c r="S4" i="7"/>
  <c r="V15" i="7"/>
  <c r="V16" i="7" s="1"/>
  <c r="U6" i="6" s="1"/>
  <c r="Z9" i="3" l="1"/>
  <c r="Y2" i="11"/>
  <c r="Y4" i="11" s="1"/>
  <c r="Y5" i="3"/>
  <c r="AA13" i="5"/>
  <c r="Z5" i="12" s="1"/>
  <c r="AB12" i="5"/>
  <c r="AB8" i="5"/>
  <c r="AB9" i="5" s="1"/>
  <c r="Z5" i="4"/>
  <c r="Z9" i="4" s="1"/>
  <c r="Z10" i="4" s="1"/>
  <c r="Z11" i="4" s="1"/>
  <c r="AA4" i="3" s="1"/>
  <c r="Z2" i="4"/>
  <c r="Z3" i="11"/>
  <c r="O8" i="6"/>
  <c r="P7" i="3" s="1"/>
  <c r="P4" i="8"/>
  <c r="O10" i="8"/>
  <c r="S6" i="7"/>
  <c r="S10" i="7"/>
  <c r="AA9" i="3" l="1"/>
  <c r="Z2" i="11"/>
  <c r="Z4" i="11" s="1"/>
  <c r="Z5" i="3"/>
  <c r="AA5" i="4"/>
  <c r="AA9" i="4" s="1"/>
  <c r="AA2" i="4"/>
  <c r="AB13" i="5"/>
  <c r="AA5" i="12" s="1"/>
  <c r="AA3" i="11"/>
  <c r="P6" i="8"/>
  <c r="Q13" i="8" s="1"/>
  <c r="Q14" i="8" s="1"/>
  <c r="P7" i="6" s="1"/>
  <c r="T4" i="7"/>
  <c r="W15" i="7"/>
  <c r="W16" i="7" s="1"/>
  <c r="V6" i="6" s="1"/>
  <c r="AA2" i="11" l="1"/>
  <c r="AB5" i="3" s="1"/>
  <c r="AA5" i="3"/>
  <c r="AB9" i="3"/>
  <c r="AC9" i="3" s="1"/>
  <c r="AA10" i="4"/>
  <c r="P8" i="6"/>
  <c r="Q7" i="3" s="1"/>
  <c r="Q4" i="8"/>
  <c r="P10" i="8"/>
  <c r="T6" i="7"/>
  <c r="T10" i="7" s="1"/>
  <c r="AC5" i="3" l="1"/>
  <c r="AA4" i="11"/>
  <c r="AA11" i="4"/>
  <c r="AB4" i="3" s="1"/>
  <c r="AC4" i="3" s="1"/>
  <c r="Q6" i="8"/>
  <c r="R13" i="8" s="1"/>
  <c r="R14" i="8" s="1"/>
  <c r="Q7" i="6" s="1"/>
  <c r="X15" i="7"/>
  <c r="X16" i="7" s="1"/>
  <c r="W6" i="6" s="1"/>
  <c r="U4" i="7"/>
  <c r="Q8" i="6" l="1"/>
  <c r="R7" i="3" s="1"/>
  <c r="R4" i="8"/>
  <c r="Q10" i="8"/>
  <c r="U6" i="7"/>
  <c r="U10" i="7" s="1"/>
  <c r="R6" i="8" l="1"/>
  <c r="S13" i="8" s="1"/>
  <c r="S14" i="8" s="1"/>
  <c r="R7" i="6" s="1"/>
  <c r="V4" i="7"/>
  <c r="Y15" i="7"/>
  <c r="Y16" i="7" s="1"/>
  <c r="X6" i="6" s="1"/>
  <c r="R10" i="8" l="1"/>
  <c r="R8" i="6"/>
  <c r="S7" i="3" s="1"/>
  <c r="S4" i="8"/>
  <c r="V6" i="7"/>
  <c r="V10" i="7" s="1"/>
  <c r="S6" i="8" l="1"/>
  <c r="T13" i="8" s="1"/>
  <c r="T14" i="8" s="1"/>
  <c r="S7" i="6" s="1"/>
  <c r="W4" i="7"/>
  <c r="Z15" i="7"/>
  <c r="Z16" i="7" s="1"/>
  <c r="Y6" i="6" s="1"/>
  <c r="S8" i="6" l="1"/>
  <c r="T7" i="3" s="1"/>
  <c r="T4" i="8"/>
  <c r="S10" i="8"/>
  <c r="W6" i="7"/>
  <c r="W10" i="7" s="1"/>
  <c r="T6" i="8" l="1"/>
  <c r="X4" i="7"/>
  <c r="AA15" i="7"/>
  <c r="AA16" i="7" s="1"/>
  <c r="Z6" i="6" s="1"/>
  <c r="T10" i="8" l="1"/>
  <c r="U13" i="8"/>
  <c r="U14" i="8" s="1"/>
  <c r="T7" i="6" s="1"/>
  <c r="U4" i="8"/>
  <c r="X6" i="7"/>
  <c r="X10" i="7" s="1"/>
  <c r="T8" i="6" l="1"/>
  <c r="U7" i="3" s="1"/>
  <c r="U6" i="8"/>
  <c r="Y4" i="7"/>
  <c r="AB15" i="7"/>
  <c r="AB16" i="7" s="1"/>
  <c r="AA6" i="6" s="1"/>
  <c r="U10" i="8" l="1"/>
  <c r="V13" i="8"/>
  <c r="V14" i="8" s="1"/>
  <c r="U7" i="6" s="1"/>
  <c r="V4" i="8"/>
  <c r="Y6" i="7"/>
  <c r="Z4" i="7" s="1"/>
  <c r="U8" i="6" l="1"/>
  <c r="V7" i="3" s="1"/>
  <c r="V6" i="8"/>
  <c r="W13" i="8" s="1"/>
  <c r="W14" i="8" s="1"/>
  <c r="V7" i="6" s="1"/>
  <c r="Y10" i="7"/>
  <c r="Z6" i="7"/>
  <c r="AA4" i="7" s="1"/>
  <c r="Z10" i="7"/>
  <c r="V8" i="6" l="1"/>
  <c r="W7" i="3" s="1"/>
  <c r="W4" i="8"/>
  <c r="V10" i="8"/>
  <c r="AA6" i="7"/>
  <c r="AB4" i="7" s="1"/>
  <c r="AA10" i="7"/>
  <c r="W6" i="8" l="1"/>
  <c r="X13" i="8" s="1"/>
  <c r="X14" i="8" s="1"/>
  <c r="W7" i="6" s="1"/>
  <c r="AB6" i="7"/>
  <c r="AB10" i="7" s="1"/>
  <c r="W8" i="6" l="1"/>
  <c r="X7" i="3" s="1"/>
  <c r="X4" i="8"/>
  <c r="W10" i="8"/>
  <c r="X6" i="8" l="1"/>
  <c r="Y13" i="8" s="1"/>
  <c r="Y14" i="8" s="1"/>
  <c r="X7" i="6" s="1"/>
  <c r="X8" i="6" l="1"/>
  <c r="Y7" i="3" s="1"/>
  <c r="Y4" i="8"/>
  <c r="X10" i="8"/>
  <c r="B4" i="10" l="1"/>
  <c r="G4" i="10"/>
  <c r="F4" i="10"/>
  <c r="E4" i="10"/>
  <c r="D4" i="10"/>
  <c r="C4" i="10"/>
  <c r="Y6" i="8"/>
  <c r="Z4" i="8" l="1"/>
  <c r="Z6" i="8" s="1"/>
  <c r="Z10" i="8" s="1"/>
  <c r="Z13" i="8"/>
  <c r="Z14" i="8" s="1"/>
  <c r="Y7" i="6" s="1"/>
  <c r="Y10" i="8"/>
  <c r="Y8" i="6" l="1"/>
  <c r="Z7" i="3" s="1"/>
  <c r="AA4" i="8"/>
  <c r="AA6" i="8" s="1"/>
  <c r="AA13" i="8"/>
  <c r="AA14" i="8" s="1"/>
  <c r="Z7" i="6" s="1"/>
  <c r="Z8" i="6" l="1"/>
  <c r="AA7" i="3" s="1"/>
  <c r="AB4" i="8"/>
  <c r="AB6" i="8" s="1"/>
  <c r="AB10" i="8" s="1"/>
  <c r="AB13" i="8"/>
  <c r="AB14" i="8" s="1"/>
  <c r="AA7" i="6" s="1"/>
  <c r="AA10" i="8"/>
  <c r="AA8" i="6" l="1"/>
  <c r="AB7" i="3" s="1"/>
  <c r="AC7" i="3" l="1"/>
  <c r="H5" i="3"/>
  <c r="C10" i="3" l="1"/>
  <c r="D10" i="3"/>
  <c r="AA10" i="3"/>
  <c r="F10" i="3"/>
  <c r="AB10" i="3"/>
  <c r="E10" i="3"/>
  <c r="G10" i="3"/>
  <c r="S10" i="3" l="1"/>
  <c r="R4" i="14" s="1"/>
  <c r="R5" i="14" s="1"/>
  <c r="R10" i="3"/>
  <c r="Q4" i="14" s="1"/>
  <c r="Q5" i="14" s="1"/>
  <c r="N10" i="3"/>
  <c r="M4" i="14" s="1"/>
  <c r="M5" i="14" s="1"/>
  <c r="L10" i="3"/>
  <c r="K4" i="14" s="1"/>
  <c r="K5" i="14" s="1"/>
  <c r="U10" i="3"/>
  <c r="T4" i="14" s="1"/>
  <c r="T5" i="14" s="1"/>
  <c r="I10" i="3"/>
  <c r="H4" i="14" s="1"/>
  <c r="H5" i="14" s="1"/>
  <c r="P10" i="3"/>
  <c r="O4" i="14" s="1"/>
  <c r="O5" i="14" s="1"/>
  <c r="T10" i="3"/>
  <c r="S4" i="14" s="1"/>
  <c r="S5" i="14" s="1"/>
  <c r="M10" i="3"/>
  <c r="L4" i="14" s="1"/>
  <c r="L5" i="14" s="1"/>
  <c r="Z10" i="3"/>
  <c r="Y4" i="14" s="1"/>
  <c r="Y5" i="14" s="1"/>
  <c r="V10" i="3"/>
  <c r="U4" i="14" s="1"/>
  <c r="U5" i="14" s="1"/>
  <c r="J10" i="3"/>
  <c r="I4" i="14" s="1"/>
  <c r="I5" i="14" s="1"/>
  <c r="O10" i="3"/>
  <c r="N4" i="14" s="1"/>
  <c r="N5" i="14" s="1"/>
  <c r="Y10" i="3"/>
  <c r="X4" i="14" s="1"/>
  <c r="X5" i="14" s="1"/>
  <c r="W10" i="3"/>
  <c r="V4" i="14" s="1"/>
  <c r="V5" i="14" s="1"/>
  <c r="X10" i="3"/>
  <c r="W4" i="14" s="1"/>
  <c r="W5" i="14" s="1"/>
  <c r="K10" i="3"/>
  <c r="J4" i="14" s="1"/>
  <c r="J5" i="14" s="1"/>
  <c r="Q10" i="3"/>
  <c r="P4" i="14" s="1"/>
  <c r="P5" i="14" s="1"/>
  <c r="F4" i="14"/>
  <c r="F5" i="14" s="1"/>
  <c r="E4" i="14"/>
  <c r="E5" i="14" s="1"/>
  <c r="G4" i="14"/>
  <c r="G5" i="14" s="1"/>
  <c r="D4" i="14"/>
  <c r="D5" i="14" s="1"/>
  <c r="AC8" i="3"/>
  <c r="H10" i="3"/>
  <c r="C4" i="14"/>
  <c r="C5" i="14" s="1"/>
  <c r="Z4" i="14"/>
  <c r="Z5" i="14" s="1"/>
  <c r="AA4" i="14" l="1"/>
  <c r="AA5" i="14" s="1"/>
  <c r="AC1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tc={AFCFA386-BD36-44DA-A6C0-ADC6552BEAE4}</author>
    <author>tc={569BD82F-644B-42AB-A49B-C819675E8550}</author>
    <author>tc={37084717-15AF-436F-8B9B-998A3BC2087B}</author>
    <author>tc={8505DCBC-1C66-401E-91CF-8E8584FE0424}</author>
    <author>tc={80D9878B-EA9F-41FE-9193-545905A1F362}</author>
    <author>tc={1A671F25-805C-45D0-B056-6EC17D389B62}</author>
    <author>tc={BD597805-8540-4F55-A1B3-4A645CCA786F}</author>
    <author>tc={8C307449-CE25-4F3D-A3BC-0C22C5064E4A}</author>
    <author>tc={318EAEAB-3C7C-4EAA-B251-770E5B42451F}</author>
    <author>tc={D0240439-F123-4ACF-AF5A-E073A166F89D}</author>
    <author>tc={076613F2-A16A-47B4-9F47-444E891C5EE7}</author>
    <author>tc={8A52243E-6BEC-40DC-AB42-EAF702DE03AC}</author>
    <author>tc={F2CFAEE7-0159-4E8B-953C-3EB150DDC7C5}</author>
  </authors>
  <commentList>
    <comment ref="B2" authorId="0" shapeId="0" xr:uid="{AFCFA386-BD36-44DA-A6C0-ADC6552BEAE4}">
      <text>
        <t>[Threaded comment]
Your version of Excel allows you to read this threaded comment; however, any edits to it will get removed if the file is opened in a newer version of Excel. Learn more: https://go.microsoft.com/fwlink/?linkid=870924
Comment:
    “On average, modern electric cars have an efficiency of 3 to 3.5 miles (4.8 to 5.6 kilometers) per kWh” (cf. https://justwe-gpi.com/ev-charging/electric-car-mileage/). Cf. average fuel economy of 2023 Chevy Bolt (https://www.fueleconomy.gov/feg/noframes/45751.shtml) and 2023 Nissan Leaf (https://www.fueleconomy.gov/feg/noframes/46016.shtml).</t>
      </text>
    </comment>
    <comment ref="B3" authorId="1" shapeId="0" xr:uid="{569BD82F-644B-42AB-A49B-C819675E8550}">
      <text>
        <t>[Threaded comment]
Your version of Excel allows you to read this threaded comment; however, any edits to it will get removed if the file is opened in a newer version of Excel. Learn more: https://go.microsoft.com/fwlink/?linkid=870924
Comment:
    https://tpec.umn.edu/sites/tpec.umn.edu/files/2023-06/Motorization_June%202023.pdf p. 12.</t>
      </text>
    </comment>
    <comment ref="B4" authorId="2" shapeId="0" xr:uid="{37084717-15AF-436F-8B9B-998A3BC2087B}">
      <text>
        <t xml:space="preserve">[Threaded comment]
Your version of Excel allows you to read this threaded comment; however, any edits to it will get removed if the file is opened in a newer version of Excel. Learn more: https://go.microsoft.com/fwlink/?linkid=870924
Comment:
    Cf. Technical Appendix section on "Mode Shift." </t>
      </text>
    </comment>
    <comment ref="B5" authorId="3" shapeId="0" xr:uid="{8505DCBC-1C66-401E-91CF-8E8584FE0424}">
      <text>
        <t>[Threaded comment]
Your version of Excel allows you to read this threaded comment; however, any edits to it will get removed if the file is opened in a newer version of Excel. Learn more: https://go.microsoft.com/fwlink/?linkid=870924
Comment:
    https://www.fhwa.dot.gov/policyinformation/statistics/2018/pdf/vm1.pdf</t>
      </text>
    </comment>
    <comment ref="B6" authorId="4" shapeId="0" xr:uid="{80D9878B-EA9F-41FE-9193-545905A1F362}">
      <text>
        <t>[Threaded comment]
Your version of Excel allows you to read this threaded comment; however, any edits to it will get removed if the file is opened in a newer version of Excel. Learn more: https://go.microsoft.com/fwlink/?linkid=870924
Comment:
    Cf. Technical Appendix section on "Accelerated Adoption."</t>
      </text>
    </comment>
    <comment ref="B7" authorId="5" shapeId="0" xr:uid="{1A671F25-805C-45D0-B056-6EC17D389B62}">
      <text>
        <t>[Threaded comment]
Your version of Excel allows you to read this threaded comment; however, any edits to it will get removed if the file is opened in a newer version of Excel. Learn more: https://go.microsoft.com/fwlink/?linkid=870924
Comment:
    Cf. Technical Appendix section on "Accelerated Adoption."</t>
      </text>
    </comment>
    <comment ref="B8" authorId="6" shapeId="0" xr:uid="{BD597805-8540-4F55-A1B3-4A645CCA786F}">
      <text>
        <t>[Threaded comment]
Your version of Excel allows you to read this threaded comment; however, any edits to it will get removed if the file is opened in a newer version of Excel. Learn more: https://go.microsoft.com/fwlink/?linkid=870924
Comment:
    Average high- and low-end estimates annualized from http://innovativemobility.org/wp-content/uploads/Innovative-Mobility-Industry-Outlook_SM-Spring-2015.pdf</t>
      </text>
    </comment>
    <comment ref="B9" authorId="7" shapeId="0" xr:uid="{8C307449-CE25-4F3D-A3BC-0C22C5064E4A}">
      <text>
        <t>[Threaded comment]
Your version of Excel allows you to read this threaded comment; however, any edits to it will get removed if the file is opened in a newer version of Excel. Learn more: https://go.microsoft.com/fwlink/?linkid=870924
Comment:
    Growth assumption based on economic analysis and projection prepared by the Electrification Coalition for the original EV Spot Network project.</t>
      </text>
    </comment>
    <comment ref="B10" authorId="8" shapeId="0" xr:uid="{318EAEAB-3C7C-4EAA-B251-770E5B42451F}">
      <text>
        <t>[Threaded comment]
Your version of Excel allows you to read this threaded comment; however, any edits to it will get removed if the file is opened in a newer version of Excel. Learn more: https://go.microsoft.com/fwlink/?linkid=870924
Comment:
    Based on economic analysis and projection prepared by the Electrification Coalition for the original EV Spot Network project.</t>
      </text>
    </comment>
    <comment ref="B11" authorId="9" shapeId="0" xr:uid="{D0240439-F123-4ACF-AF5A-E073A166F89D}">
      <text>
        <t>[Threaded comment]
Your version of Excel allows you to read this threaded comment; however, any edits to it will get removed if the file is opened in a newer version of Excel. Learn more: https://go.microsoft.com/fwlink/?linkid=870924
Comment:
    Cf. https://www.dot.state.mn.us/roadway/data/reports/vmt/22_ccr.pdf p. 56.</t>
      </text>
    </comment>
    <comment ref="B12" authorId="10" shapeId="0" xr:uid="{076613F2-A16A-47B4-9F47-444E891C5EE7}">
      <text>
        <t>[Threaded comment]
Your version of Excel allows you to read this threaded comment; however, any edits to it will get removed if the file is opened in a newer version of Excel. Learn more: https://go.microsoft.com/fwlink/?linkid=870924
Comment:
    Cf. https://www.dot.state.mn.us/roadway/data/reports/vmt/22_ccr.pdf p. 116.</t>
      </text>
    </comment>
    <comment ref="B14" authorId="11" shapeId="0" xr:uid="{8A52243E-6BEC-40DC-AB42-EAF702DE03AC}">
      <text>
        <t>[Threaded comment]
Your version of Excel allows you to read this threaded comment; however, any edits to it will get removed if the file is opened in a newer version of Excel. Learn more: https://go.microsoft.com/fwlink/?linkid=870924
Comment:
    Per FHWA: https://www.fhwa.dot.gov/Policyinformation/tables/vmt/2023_vmt_forecast_sum.pdf</t>
      </text>
    </comment>
    <comment ref="A16" authorId="12" shapeId="0" xr:uid="{F2CFAEE7-0159-4E8B-953C-3EB150DDC7C5}">
      <text>
        <t>[Threaded comment]
Your version of Excel allows you to read this threaded comment; however, any edits to it will get removed if the file is opened in a newer version of Excel. Learn more: https://go.microsoft.com/fwlink/?linkid=870924
Comment:
    “An Economic Analysis of U.S. Public Transit Carbon Emissions Dynamics,” Table 5: https://www.nber.org/system/files/working_papers/w29900/w29900.pdf</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tc={B5D01202-43B7-40E3-BB7A-1988F3CDAFD0}</author>
    <author>tc={3A1F05D8-5358-447F-8BAA-DCDA7CB57FA0}</author>
    <author>tc={187C8B42-5643-4695-B9EF-6F6CD206EDFB}</author>
  </authors>
  <commentList>
    <comment ref="B2" authorId="0" shapeId="0" xr:uid="{B5D01202-43B7-40E3-BB7A-1988F3CDAFD0}">
      <text>
        <t>[Threaded comment]
Your version of Excel allows you to read this threaded comment; however, any edits to it will get removed if the file is opened in a newer version of Excel. Learn more: https://go.microsoft.com/fwlink/?linkid=870924
Comment:
    Baseline assumption taken from Xcel's most recent carbon intensity report: https://www.xcelenergy.com/staticfiles/xe-responsive/Environment/Carbon/Carbon-Emission-Intensities-Info-Sheet.pdf. Declines to zero by 2040 per Minnesota's new law requiring carbon-free electricity by 2040.</t>
      </text>
    </comment>
    <comment ref="B6" authorId="1" shapeId="0" xr:uid="{3A1F05D8-5358-447F-8BAA-DCDA7CB57FA0}">
      <text>
        <t>[Threaded comment]
Your version of Excel allows you to read this threaded comment; however, any edits to it will get removed if the file is opened in a newer version of Excel. Learn more: https://go.microsoft.com/fwlink/?linkid=870924
Comment:
    Baseline assumption of 400 grams (0.88 lbs.) CO2e per passenger-mile per EPA statistic: https://nepis.epa.gov/Exe/ZyPDF.cgi?Dockey=P1017FP5.pdf. Carbon intensity declines to 95% by 2030, 85% by 2040, and 70% by 2050 per BAU case in the Minnesota Clean Transportation Standard Workgroup report: https://www.dot.state.mn.us/sustainability/clean-transportation-fuel-standard-working-group.html.</t>
      </text>
    </comment>
    <comment ref="B10" authorId="2" shapeId="0" xr:uid="{187C8B42-5643-4695-B9EF-6F6CD206EDFB}">
      <text>
        <t>[Threaded comment]
Your version of Excel allows you to read this threaded comment; however, any edits to it will get removed if the file is opened in a newer version of Excel. Learn more: https://go.microsoft.com/fwlink/?linkid=870924
Comment:
    Derived by averaging average GHG emissions per passenger mile of the 15 largest transit agencies in the US as reported in “An Economic Analysis of U.S. Public Transit Carbon Emissions Dynamics,” Table 5: https://www.nber.org/system/files/working_papers/w29900/w29900.pdf. Declines to zero by 2050; ff. https://www.metrotransit.org/Data/Sites/1/media/about/improvements/electric_buses/220210_zebtp_finalreport.pdf.</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tc={660B7127-FE45-4743-B6B4-E168D8150E5E}</author>
    <author>tc={A5DB10D9-816F-4B72-972C-B8E56F7BAF60}</author>
  </authors>
  <commentList>
    <comment ref="C7" authorId="0" shapeId="0" xr:uid="{660B7127-FE45-4743-B6B4-E168D8150E5E}">
      <text>
        <t>[Threaded comment]
Your version of Excel allows you to read this threaded comment; however, any edits to it will get removed if the file is opened in a newer version of Excel. Learn more: https://go.microsoft.com/fwlink/?linkid=870924
Comment:
    Starting assumption based on economic analysis and projection prepared by the Electrification Coalition for the original EV Spot Network project.</t>
      </text>
    </comment>
    <comment ref="U7" authorId="1" shapeId="0" xr:uid="{A5DB10D9-816F-4B72-972C-B8E56F7BAF60}">
      <text>
        <t>[Threaded comment]
Your version of Excel allows you to read this threaded comment; however, any edits to it will get removed if the file is opened in a newer version of Excel. Learn more: https://go.microsoft.com/fwlink/?linkid=870924
Comment:
    Functional ceiling of 6 charge sessions per day.</t>
      </text>
    </comment>
  </commentList>
</comments>
</file>

<file path=xl/sharedStrings.xml><?xml version="1.0" encoding="utf-8"?>
<sst xmlns="http://schemas.openxmlformats.org/spreadsheetml/2006/main" count="124" uniqueCount="108">
  <si>
    <t>TOTAL
 2025-2030</t>
  </si>
  <si>
    <t>TOTAL
2025-2050</t>
  </si>
  <si>
    <t>Direct Replacement of VMT</t>
  </si>
  <si>
    <t>Public Charging with 100% Renewable Energy</t>
  </si>
  <si>
    <t>Mode shift to Transit/Non-Motorized Trips</t>
  </si>
  <si>
    <t>TOTAL Overall GHG reduction (metric tons)</t>
  </si>
  <si>
    <t>Reference Case GHG Emissions</t>
  </si>
  <si>
    <t>Emissions as Reduced by project activities</t>
  </si>
  <si>
    <t>Pounds to metric Tons (mT) conversion</t>
  </si>
  <si>
    <t>Average electric car miles per kWh</t>
  </si>
  <si>
    <t>Average VMT per capita in the metro area</t>
  </si>
  <si>
    <t>Estimated reduction of VMT per household</t>
  </si>
  <si>
    <t>Estimated Adoptions per Added Vehicle</t>
  </si>
  <si>
    <t>Estimated Adoptions per Added Public Charge Port</t>
  </si>
  <si>
    <t>Annual cost savings per carshare member</t>
  </si>
  <si>
    <t>Annual growth rate of charging sessions</t>
  </si>
  <si>
    <t>Average kWh per charging session</t>
  </si>
  <si>
    <t>US Largest Transit Agencies</t>
  </si>
  <si>
    <t>Massachusetts Bay Transportation Authority</t>
  </si>
  <si>
    <t>MTA New York City Trnsit</t>
  </si>
  <si>
    <t>MTA Metro North Railroad</t>
  </si>
  <si>
    <t>New Jersey Transit Coporation</t>
  </si>
  <si>
    <t>MTA Long Island Rail Road</t>
  </si>
  <si>
    <t>Southeastern Pennsylvania Transportation Authority</t>
  </si>
  <si>
    <t>Washington Metropolitan Area Transportation Authority</t>
  </si>
  <si>
    <t>Maryland Transit Administration</t>
  </si>
  <si>
    <t>Metropolitan Atlanta Rapid Transit Authority</t>
  </si>
  <si>
    <t>Miami-Dade Transport</t>
  </si>
  <si>
    <t>Chicago Transit Authority</t>
  </si>
  <si>
    <t>Northeast Illinois Regional Commuter Railroad Association</t>
  </si>
  <si>
    <t>Metropolitan Transit Authority of Harris County Texas</t>
  </si>
  <si>
    <t>San Francisco Bay Area Rapid Transit District</t>
  </si>
  <si>
    <t>Los Angeles County Metropolitan Transportation Authority</t>
  </si>
  <si>
    <t>Transit Emissions per passenger mile</t>
  </si>
  <si>
    <t>Estimated GHG emitted per kWh (pounds)</t>
  </si>
  <si>
    <t>Estimated GHG emitted per kWh (mT)</t>
  </si>
  <si>
    <t>GHG emitted by EV per mile (Xcel Upper Midwest Mix)</t>
  </si>
  <si>
    <t>Average LDV GHG emissions per passenger mile (pounds)</t>
  </si>
  <si>
    <t>GHG emitted by average LDV per mile (mT)</t>
  </si>
  <si>
    <t>GHG emitted by EV fuled by renewable energy per mile (mT)</t>
  </si>
  <si>
    <t>Average transit emissions per passenger mile</t>
  </si>
  <si>
    <t>Estimated GHG redution per passenger miles from mode shift</t>
  </si>
  <si>
    <t>GHG reduction per adoption (mT)</t>
  </si>
  <si>
    <t>Cumulative adoptions through increased familiarity</t>
  </si>
  <si>
    <t>TOTAL Adoptions (cumulative)</t>
  </si>
  <si>
    <t>VMT Reduced through Mode Shift</t>
  </si>
  <si>
    <t>GHG reduced through mode shift</t>
  </si>
  <si>
    <t>Vehicles taken off the road equivalent</t>
  </si>
  <si>
    <t>Vehicles taken off the road per carshare vehicle</t>
  </si>
  <si>
    <t>One-way cost savings</t>
  </si>
  <si>
    <t>Round-trip cost savings</t>
  </si>
  <si>
    <t>Overall cost savings</t>
  </si>
  <si>
    <t>Vehicles added</t>
  </si>
  <si>
    <t xml:space="preserve">One way </t>
  </si>
  <si>
    <t>Two way</t>
  </si>
  <si>
    <t>Total additions</t>
  </si>
  <si>
    <t>Average vehicles</t>
  </si>
  <si>
    <t>One way</t>
  </si>
  <si>
    <t>Total Average Vehicles</t>
  </si>
  <si>
    <t>Vehicle Count (EOY)</t>
  </si>
  <si>
    <t>Total vehicles</t>
  </si>
  <si>
    <t>Public Charging Ports Beginning of Year</t>
  </si>
  <si>
    <t>Public Charging Ports added</t>
  </si>
  <si>
    <t>Public Charging Ports Operational End of Year</t>
  </si>
  <si>
    <t>Average Annual Public Charging Ports</t>
  </si>
  <si>
    <t>Estimated daily sessions per charge port</t>
  </si>
  <si>
    <t>Estimated annual sessions per charge port</t>
  </si>
  <si>
    <t>Total Charge Sessions</t>
  </si>
  <si>
    <t>Total kWh</t>
  </si>
  <si>
    <t>GHG reduced (mT)</t>
  </si>
  <si>
    <t>One way avg. miles per trip</t>
  </si>
  <si>
    <t>Two-way avg miles per trip</t>
  </si>
  <si>
    <t>One-way annual miles</t>
  </si>
  <si>
    <t>Two-way annual miles</t>
  </si>
  <si>
    <t>TOTAL MILES</t>
  </si>
  <si>
    <t>Annual Trips (One-Way)</t>
  </si>
  <si>
    <t>Number of Vehicles</t>
  </si>
  <si>
    <t>Start of Year</t>
  </si>
  <si>
    <t>Vehicle additions</t>
  </si>
  <si>
    <t>Vehicles End of year</t>
  </si>
  <si>
    <t>Estimated Availability Threshold (% vehicles available for use)</t>
  </si>
  <si>
    <t>Average Vehicles in Service</t>
  </si>
  <si>
    <t>Average Trips per Month per Active Vehicle by Vintage</t>
  </si>
  <si>
    <t>Total Trips</t>
  </si>
  <si>
    <t>Annual Trips (Two-Way)</t>
  </si>
  <si>
    <t>One-Way Vehicles</t>
  </si>
  <si>
    <t>One-Way Member Additions</t>
  </si>
  <si>
    <t>Total Vehicles Added</t>
  </si>
  <si>
    <t>Year 1</t>
  </si>
  <si>
    <t>Year 2</t>
  </si>
  <si>
    <t>Year 3</t>
  </si>
  <si>
    <t>Members (EOY)</t>
  </si>
  <si>
    <t>Round-Trip Vehicles</t>
  </si>
  <si>
    <t>Round-Trip Member Additions</t>
  </si>
  <si>
    <t>Total Member Adds</t>
  </si>
  <si>
    <t>Reference Case VMT</t>
  </si>
  <si>
    <t>Total VMT Minneapolis (2022)</t>
  </si>
  <si>
    <t>Total VMT Saint Paul (2022)</t>
  </si>
  <si>
    <t>Twin Cities Total VMT (2022)</t>
  </si>
  <si>
    <t>Accelerated Adoption of Evs (Familiarity)</t>
  </si>
  <si>
    <t>Accelerated Adoption of Evs (Public Charging Access)</t>
  </si>
  <si>
    <t>FHWA average annual miles per vehicle</t>
  </si>
  <si>
    <t>Cumulative adoptions through increased public charging access</t>
  </si>
  <si>
    <t>Projected LDV VMT growth YOY</t>
  </si>
  <si>
    <t>Measure 1.1.2: Increase Equitable Public Charging Access</t>
  </si>
  <si>
    <t>Measure 1.2.3: Facilitate Equitable Access to Electric Carshare</t>
  </si>
  <si>
    <t>GHG reduction by member from mode shift (mT)</t>
  </si>
  <si>
    <t>Emissions Reductions as a Percentage of All Emissions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</si>
</sst>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0.0"/>
    <numFmt numFmtId="165" formatCode="&quot;$&quot;#,##0"/>
    <numFmt numFmtId="166" formatCode="_(* #,##0_);_(* \(#,##0\);_(* &quot;-&quot;??_);_(@_)"/>
    <numFmt numFmtId="167" formatCode="0.000000"/>
    <numFmt numFmtId="168" formatCode="0.0000000"/>
    <numFmt numFmtId="169" formatCode="0.00000000"/>
    <numFmt numFmtId="170" formatCode="0.000"/>
    <numFmt numFmtId="171" formatCode="#,##0.0"/>
    <numFmt numFmtId="172" formatCode="0.0%"/>
  </numFmts>
  <fonts count="5" x14ac:knownFonts="1">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b/>
      <sz val="11"/>
      <color indexed="8"/>
      <name val="Calibri"/>
      <family val="2"/>
      <scheme val="minor"/>
    </font>
  </fonts>
  <fills count="5">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s>
  <borders count="14">
    <border>
      <left/>
      <right/>
      <top/>
      <bottom/>
      <diagonal/>
    </border>
    <border>
      <left/>
      <right/>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bottom style="thin">
        <color indexed="64"/>
      </bottom>
      <diagonal/>
    </border>
    <border>
      <left style="medium">
        <color indexed="64"/>
      </left>
      <right style="medium">
        <color indexed="64"/>
      </right>
      <top style="medium">
        <color indexed="64"/>
      </top>
      <bottom style="thin">
        <color indexed="64"/>
      </bottom>
      <diagonal/>
    </border>
    <border>
      <left style="medium">
        <color auto="1"/>
      </left>
      <right style="medium">
        <color auto="1"/>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63">
    <xf numFmtId="0" fontId="0" fillId="0" borderId="0" xfId="0"/>
    <xf numFmtId="3" fontId="0" fillId="0" borderId="0" xfId="0" applyNumberFormat="1"/>
    <xf numFmtId="164" fontId="0" fillId="0" borderId="0" xfId="0" applyNumberFormat="1"/>
    <xf numFmtId="1" fontId="0" fillId="0" borderId="0" xfId="0" applyNumberFormat="1"/>
    <xf numFmtId="0" fontId="0" fillId="0" borderId="0" xfId="0" applyAlignment="1">
      <alignment horizontal="left"/>
    </xf>
    <xf numFmtId="165" fontId="0" fillId="0" borderId="0" xfId="2" applyNumberFormat="1" applyFont="1"/>
    <xf numFmtId="165" fontId="0" fillId="0" borderId="0" xfId="0" applyNumberFormat="1"/>
    <xf numFmtId="0" fontId="0" fillId="0" borderId="1" xfId="0" applyBorder="1"/>
    <xf numFmtId="9" fontId="0" fillId="0" borderId="0" xfId="0" applyNumberFormat="1"/>
    <xf numFmtId="0" fontId="0" fillId="0" borderId="0" xfId="0" applyAlignment="1">
      <alignment horizontal="centerContinuous"/>
    </xf>
    <xf numFmtId="0" fontId="0" fillId="0" borderId="0" xfId="0" applyAlignment="1">
      <alignment horizontal="right"/>
    </xf>
    <xf numFmtId="0" fontId="2" fillId="0" borderId="0" xfId="0" applyFont="1"/>
    <xf numFmtId="0" fontId="0" fillId="0" borderId="3" xfId="0" applyBorder="1"/>
    <xf numFmtId="0" fontId="0" fillId="0" borderId="4" xfId="0" applyBorder="1"/>
    <xf numFmtId="0" fontId="0" fillId="0" borderId="2" xfId="0" applyBorder="1"/>
    <xf numFmtId="1" fontId="0" fillId="0" borderId="0" xfId="3" applyNumberFormat="1" applyFont="1"/>
    <xf numFmtId="0" fontId="0" fillId="0" borderId="5" xfId="0" applyBorder="1"/>
    <xf numFmtId="166" fontId="0" fillId="0" borderId="0" xfId="1" applyNumberFormat="1" applyFont="1"/>
    <xf numFmtId="43" fontId="0" fillId="0" borderId="0" xfId="1" applyFont="1"/>
    <xf numFmtId="166" fontId="0" fillId="0" borderId="0" xfId="0" applyNumberFormat="1"/>
    <xf numFmtId="166" fontId="0" fillId="0" borderId="1" xfId="1" applyNumberFormat="1" applyFont="1" applyBorder="1"/>
    <xf numFmtId="166" fontId="0" fillId="0" borderId="0" xfId="1" applyNumberFormat="1" applyFont="1" applyBorder="1"/>
    <xf numFmtId="0" fontId="0" fillId="0" borderId="2"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9" fontId="0" fillId="0" borderId="0" xfId="3" applyFont="1"/>
    <xf numFmtId="43" fontId="0" fillId="0" borderId="0" xfId="0" applyNumberFormat="1"/>
    <xf numFmtId="2" fontId="0" fillId="0" borderId="0" xfId="0" applyNumberFormat="1"/>
    <xf numFmtId="0" fontId="3" fillId="2" borderId="1" xfId="0" applyFont="1" applyFill="1" applyBorder="1"/>
    <xf numFmtId="166" fontId="3" fillId="2" borderId="0" xfId="0" applyNumberFormat="1" applyFont="1" applyFill="1"/>
    <xf numFmtId="166" fontId="3" fillId="2" borderId="1" xfId="0" applyNumberFormat="1" applyFont="1" applyFill="1" applyBorder="1"/>
    <xf numFmtId="166" fontId="3" fillId="3" borderId="0" xfId="0" applyNumberFormat="1" applyFont="1" applyFill="1"/>
    <xf numFmtId="166" fontId="3" fillId="0" borderId="0" xfId="0" applyNumberFormat="1" applyFont="1"/>
    <xf numFmtId="0" fontId="4" fillId="3" borderId="6" xfId="0" applyFont="1" applyFill="1" applyBorder="1" applyAlignment="1">
      <alignment horizontal="center" wrapText="1"/>
    </xf>
    <xf numFmtId="166" fontId="4" fillId="3" borderId="3" xfId="0" applyNumberFormat="1" applyFont="1" applyFill="1" applyBorder="1"/>
    <xf numFmtId="166" fontId="4" fillId="3" borderId="7" xfId="0" applyNumberFormat="1" applyFont="1" applyFill="1" applyBorder="1"/>
    <xf numFmtId="166" fontId="4" fillId="3" borderId="4" xfId="0" applyNumberFormat="1" applyFont="1" applyFill="1" applyBorder="1"/>
    <xf numFmtId="166" fontId="3" fillId="4" borderId="0" xfId="0" applyNumberFormat="1" applyFont="1" applyFill="1"/>
    <xf numFmtId="166" fontId="3" fillId="4" borderId="0" xfId="0" applyNumberFormat="1" applyFont="1" applyFill="1" applyAlignment="1">
      <alignment horizontal="left" indent="2"/>
    </xf>
    <xf numFmtId="0" fontId="0" fillId="0" borderId="0" xfId="0" applyAlignment="1">
      <alignment wrapText="1"/>
    </xf>
    <xf numFmtId="166" fontId="0" fillId="4" borderId="0" xfId="0" applyNumberFormat="1" applyFill="1"/>
    <xf numFmtId="165" fontId="0" fillId="0" borderId="0" xfId="2" applyNumberFormat="1" applyFont="1" applyFill="1"/>
    <xf numFmtId="165" fontId="0" fillId="0" borderId="1" xfId="0" applyNumberFormat="1" applyBorder="1"/>
    <xf numFmtId="2" fontId="0" fillId="0" borderId="0" xfId="2" applyNumberFormat="1" applyFont="1"/>
    <xf numFmtId="1" fontId="0" fillId="0" borderId="0" xfId="2" applyNumberFormat="1" applyFont="1"/>
    <xf numFmtId="167" fontId="0" fillId="0" borderId="0" xfId="2" applyNumberFormat="1" applyFont="1"/>
    <xf numFmtId="168" fontId="0" fillId="0" borderId="0" xfId="0" applyNumberFormat="1"/>
    <xf numFmtId="169" fontId="0" fillId="0" borderId="0" xfId="0" applyNumberFormat="1"/>
    <xf numFmtId="0" fontId="0" fillId="0" borderId="8" xfId="0" applyBorder="1"/>
    <xf numFmtId="0" fontId="0" fillId="0" borderId="9" xfId="0" applyBorder="1" applyAlignment="1">
      <alignment wrapText="1"/>
    </xf>
    <xf numFmtId="0" fontId="0" fillId="0" borderId="10" xfId="0" applyBorder="1" applyAlignment="1">
      <alignment wrapText="1"/>
    </xf>
    <xf numFmtId="0" fontId="0" fillId="0" borderId="11" xfId="0" applyBorder="1"/>
    <xf numFmtId="0" fontId="0" fillId="0" borderId="12" xfId="0" applyBorder="1"/>
    <xf numFmtId="0" fontId="0" fillId="0" borderId="13" xfId="0" applyBorder="1"/>
    <xf numFmtId="170" fontId="0" fillId="0" borderId="0" xfId="2" applyNumberFormat="1" applyFont="1"/>
    <xf numFmtId="170" fontId="0" fillId="0" borderId="0" xfId="0" applyNumberFormat="1"/>
    <xf numFmtId="0" fontId="0" fillId="0" borderId="0" xfId="1" applyNumberFormat="1" applyFont="1"/>
    <xf numFmtId="166" fontId="0" fillId="0" borderId="0" xfId="1" applyNumberFormat="1" applyFont="1" applyAlignment="1">
      <alignment horizontal="left" indent="2"/>
    </xf>
    <xf numFmtId="171" fontId="0" fillId="0" borderId="0" xfId="0" applyNumberFormat="1"/>
    <xf numFmtId="3" fontId="0" fillId="0" borderId="1" xfId="0" applyNumberFormat="1" applyBorder="1"/>
    <xf numFmtId="172" fontId="0" fillId="0" borderId="0" xfId="3" applyNumberFormat="1" applyFont="1"/>
    <xf numFmtId="166" fontId="4" fillId="4" borderId="0" xfId="0" applyNumberFormat="1" applyFont="1" applyFill="1"/>
    <xf numFmtId="0" fontId="0" fillId="0" borderId="0" xfId="0" applyAlignment="1">
      <alignment horizontal="center"/>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colors>
    <mruColors>
      <color rgb="FFE1FF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Reference Case vs. Project</a:t>
            </a:r>
            <a:r>
              <a:rPr lang="en-US" baseline="0"/>
              <a:t> Activities Case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tx>
            <c:strRef>
              <c:f>'Reference Case'!$A$3</c:f>
              <c:strCache>
                <c:ptCount val="1"/>
                <c:pt idx="0">
                  <c:v>Reference Case GHG Emissions</c:v>
                </c:pt>
              </c:strCache>
            </c:strRef>
          </c:tx>
          <c:spPr>
            <a:solidFill>
              <a:schemeClr val="accent1"/>
            </a:solidFill>
            <a:ln>
              <a:noFill/>
            </a:ln>
            <a:effectLst/>
          </c:spPr>
          <c:cat>
            <c:numRef>
              <c:f>'Reference Case'!$B$1:$AA$1</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cat>
          <c:val>
            <c:numRef>
              <c:f>'Reference Case'!$B$3:$AA$3</c:f>
              <c:numCache>
                <c:formatCode>_(* #,##0.00_);_(* \(#,##0.00\);_(* "-"??_);_(@_)</c:formatCode>
                <c:ptCount val="26"/>
                <c:pt idx="0">
                  <c:v>1549517.0481488332</c:v>
                </c:pt>
                <c:pt idx="1">
                  <c:v>1543226.008933349</c:v>
                </c:pt>
                <c:pt idx="2">
                  <c:v>1536803.6946335456</c:v>
                </c:pt>
                <c:pt idx="3">
                  <c:v>1530248.7564258229</c:v>
                </c:pt>
                <c:pt idx="4">
                  <c:v>1523559.8340266007</c:v>
                </c:pt>
                <c:pt idx="5">
                  <c:v>1516735.5556033563</c:v>
                </c:pt>
                <c:pt idx="6">
                  <c:v>1509774.5376850083</c:v>
                </c:pt>
                <c:pt idx="7">
                  <c:v>1502675.3850716383</c:v>
                </c:pt>
                <c:pt idx="8">
                  <c:v>1495436.6907435511</c:v>
                </c:pt>
                <c:pt idx="9">
                  <c:v>1488057.0357696644</c:v>
                </c:pt>
                <c:pt idx="10">
                  <c:v>1480534.9892152243</c:v>
                </c:pt>
                <c:pt idx="11">
                  <c:v>1472869.1080488432</c:v>
                </c:pt>
                <c:pt idx="12">
                  <c:v>1465057.9370488538</c:v>
                </c:pt>
                <c:pt idx="13">
                  <c:v>1457100.0087089748</c:v>
                </c:pt>
                <c:pt idx="14">
                  <c:v>1448993.8431432834</c:v>
                </c:pt>
                <c:pt idx="15">
                  <c:v>1440737.9479904901</c:v>
                </c:pt>
                <c:pt idx="16">
                  <c:v>1423805.039637049</c:v>
                </c:pt>
                <c:pt idx="17">
                  <c:v>1406617.0698172392</c:v>
                </c:pt>
                <c:pt idx="18">
                  <c:v>1389171.5873781643</c:v>
                </c:pt>
                <c:pt idx="19">
                  <c:v>1371466.1209353074</c:v>
                </c:pt>
                <c:pt idx="20">
                  <c:v>1353498.1787179904</c:v>
                </c:pt>
                <c:pt idx="21">
                  <c:v>1335265.2484137118</c:v>
                </c:pt>
                <c:pt idx="22">
                  <c:v>1316764.7970113482</c:v>
                </c:pt>
                <c:pt idx="23">
                  <c:v>1297994.2706432133</c:v>
                </c:pt>
                <c:pt idx="24">
                  <c:v>1278951.0944259684</c:v>
                </c:pt>
                <c:pt idx="25">
                  <c:v>1259632.6723003734</c:v>
                </c:pt>
              </c:numCache>
            </c:numRef>
          </c:val>
          <c:extLst>
            <c:ext xmlns:c16="http://schemas.microsoft.com/office/drawing/2014/chart" uri="{C3380CC4-5D6E-409C-BE32-E72D297353CC}">
              <c16:uniqueId val="{00000000-FCE5-3646-B88A-D54DB7A0F127}"/>
            </c:ext>
          </c:extLst>
        </c:ser>
        <c:ser>
          <c:idx val="1"/>
          <c:order val="1"/>
          <c:tx>
            <c:strRef>
              <c:f>'Reference Case'!$A$4</c:f>
              <c:strCache>
                <c:ptCount val="1"/>
                <c:pt idx="0">
                  <c:v>Emissions as Reduced by project activities</c:v>
                </c:pt>
              </c:strCache>
            </c:strRef>
          </c:tx>
          <c:spPr>
            <a:solidFill>
              <a:schemeClr val="accent2"/>
            </a:solidFill>
            <a:ln>
              <a:noFill/>
            </a:ln>
            <a:effectLst/>
          </c:spPr>
          <c:cat>
            <c:numRef>
              <c:f>'Reference Case'!$B$1:$AA$1</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cat>
          <c:val>
            <c:numRef>
              <c:f>'Reference Case'!$B$4:$AA$4</c:f>
              <c:numCache>
                <c:formatCode>_(* #,##0.00_);_(* \(#,##0.00\);_(* "-"??_);_(@_)</c:formatCode>
                <c:ptCount val="26"/>
                <c:pt idx="0">
                  <c:v>1547494.669389358</c:v>
                </c:pt>
                <c:pt idx="1">
                  <c:v>1535195.9799530881</c:v>
                </c:pt>
                <c:pt idx="2">
                  <c:v>1521248.9414235598</c:v>
                </c:pt>
                <c:pt idx="3">
                  <c:v>1507995.3667335068</c:v>
                </c:pt>
                <c:pt idx="4">
                  <c:v>1496134.9624901519</c:v>
                </c:pt>
                <c:pt idx="5">
                  <c:v>1484970.6604057313</c:v>
                </c:pt>
                <c:pt idx="6">
                  <c:v>1474542.3538717995</c:v>
                </c:pt>
                <c:pt idx="7">
                  <c:v>1464094.2737257376</c:v>
                </c:pt>
                <c:pt idx="8">
                  <c:v>1453478.118160178</c:v>
                </c:pt>
                <c:pt idx="9">
                  <c:v>1442693.1604198052</c:v>
                </c:pt>
                <c:pt idx="10">
                  <c:v>1431738.8224292924</c:v>
                </c:pt>
                <c:pt idx="11">
                  <c:v>1420614.7073314828</c:v>
                </c:pt>
                <c:pt idx="12">
                  <c:v>1409320.638198847</c:v>
                </c:pt>
                <c:pt idx="13">
                  <c:v>1397856.7040362009</c:v>
                </c:pt>
                <c:pt idx="14">
                  <c:v>1386223.3143891487</c:v>
                </c:pt>
                <c:pt idx="15">
                  <c:v>1374421.2641029858</c:v>
                </c:pt>
                <c:pt idx="16">
                  <c:v>1355101.054331573</c:v>
                </c:pt>
                <c:pt idx="17">
                  <c:v>1335638.381690508</c:v>
                </c:pt>
                <c:pt idx="18">
                  <c:v>1316030.7950268947</c:v>
                </c:pt>
                <c:pt idx="19">
                  <c:v>1296275.8229562158</c:v>
                </c:pt>
                <c:pt idx="20">
                  <c:v>1276370.9737077937</c:v>
                </c:pt>
                <c:pt idx="21">
                  <c:v>1256313.7349691268</c:v>
                </c:pt>
                <c:pt idx="22">
                  <c:v>1236101.5737290913</c:v>
                </c:pt>
                <c:pt idx="23">
                  <c:v>1215731.9361200014</c:v>
                </c:pt>
                <c:pt idx="24">
                  <c:v>1195202.2472585181</c:v>
                </c:pt>
                <c:pt idx="25">
                  <c:v>1174509.9110854014</c:v>
                </c:pt>
              </c:numCache>
            </c:numRef>
          </c:val>
          <c:extLst>
            <c:ext xmlns:c16="http://schemas.microsoft.com/office/drawing/2014/chart" uri="{C3380CC4-5D6E-409C-BE32-E72D297353CC}">
              <c16:uniqueId val="{00000001-FCE5-3646-B88A-D54DB7A0F127}"/>
            </c:ext>
          </c:extLst>
        </c:ser>
        <c:dLbls>
          <c:showLegendKey val="0"/>
          <c:showVal val="0"/>
          <c:showCatName val="0"/>
          <c:showSerName val="0"/>
          <c:showPercent val="0"/>
          <c:showBubbleSize val="0"/>
        </c:dLbls>
        <c:axId val="909745583"/>
        <c:axId val="877111375"/>
      </c:areaChart>
      <c:catAx>
        <c:axId val="909745583"/>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77111375"/>
        <c:crosses val="autoZero"/>
        <c:auto val="0"/>
        <c:lblAlgn val="ctr"/>
        <c:lblOffset val="100"/>
        <c:noMultiLvlLbl val="0"/>
      </c:catAx>
      <c:valAx>
        <c:axId val="877111375"/>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9745583"/>
        <c:crossesAt val="1"/>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5</xdr:row>
      <xdr:rowOff>69850</xdr:rowOff>
    </xdr:from>
    <xdr:to>
      <xdr:col>6</xdr:col>
      <xdr:colOff>469900</xdr:colOff>
      <xdr:row>27</xdr:row>
      <xdr:rowOff>152400</xdr:rowOff>
    </xdr:to>
    <xdr:graphicFrame macro="">
      <xdr:nvGraphicFramePr>
        <xdr:cNvPr id="4" name="Chart 3">
          <a:extLst>
            <a:ext uri="{FF2B5EF4-FFF2-40B4-BE49-F238E27FC236}">
              <a16:creationId xmlns:a16="http://schemas.microsoft.com/office/drawing/2014/main" id="{EE58F9AE-B0C6-F9CD-9DCC-11BE549A32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333375</xdr:colOff>
      <xdr:row>8</xdr:row>
      <xdr:rowOff>57150</xdr:rowOff>
    </xdr:from>
    <xdr:to>
      <xdr:col>14</xdr:col>
      <xdr:colOff>228600</xdr:colOff>
      <xdr:row>12</xdr:row>
      <xdr:rowOff>57150</xdr:rowOff>
    </xdr:to>
    <xdr:sp macro="" textlink="">
      <xdr:nvSpPr>
        <xdr:cNvPr id="2" name="TextBox 1">
          <a:extLst>
            <a:ext uri="{FF2B5EF4-FFF2-40B4-BE49-F238E27FC236}">
              <a16:creationId xmlns:a16="http://schemas.microsoft.com/office/drawing/2014/main" id="{E3DC0AED-8C6D-AFBD-352E-245F741CD786}"/>
            </a:ext>
            <a:ext uri="{147F2762-F138-4A5C-976F-8EAC2B608ADB}">
              <a16:predDERef xmlns:a16="http://schemas.microsoft.com/office/drawing/2014/main" pred="{EE58F9AE-B0C6-F9CD-9DCC-11BE549A329D}"/>
            </a:ext>
          </a:extLst>
        </xdr:cNvPr>
        <xdr:cNvSpPr txBox="1"/>
      </xdr:nvSpPr>
      <xdr:spPr>
        <a:xfrm>
          <a:off x="8877300" y="3105150"/>
          <a:ext cx="5962650" cy="762000"/>
        </a:xfrm>
        <a:prstGeom prst="rect">
          <a:avLst/>
        </a:prstGeom>
        <a:solidFill>
          <a:schemeClr val="lt1"/>
        </a:solidFill>
        <a:ln w="9525" cmpd="sng">
          <a:solidFill>
            <a:schemeClr val="lt1">
              <a:shade val="50000"/>
            </a:schemeClr>
          </a:solidFill>
        </a:ln>
      </xdr:spPr>
      <xdr:txBody>
        <a:bodyPr spcFirstLastPara="0" vertOverflow="clip" horzOverflow="clip" wrap="square" lIns="91440" tIns="45720" rIns="91440" bIns="45720" rtlCol="0" anchor="t">
          <a:noAutofit/>
        </a:bodyPr>
        <a:lstStyle/>
        <a:p>
          <a:pPr marL="0" indent="0" algn="l"/>
          <a:r>
            <a:rPr lang="en-US" sz="1100" b="0" i="0" u="none" strike="noStrike">
              <a:solidFill>
                <a:srgbClr val="000000"/>
              </a:solidFill>
              <a:latin typeface="Calibri" panose="020F0502020204030204" pitchFamily="34" charset="0"/>
              <a:cs typeface="Calibri" panose="020F0502020204030204" pitchFamily="34" charset="0"/>
            </a:rPr>
            <a:t>The reference case scenario for this measure is business-as-usual, where VMT continues to rise 0.6% annually and carbon intensity of transportation fuels decrease 5% by 2030, 15% by 2040, and 30% by 2050. </a:t>
          </a:r>
        </a:p>
      </xdr:txBody>
    </xdr:sp>
    <xdr:clientData/>
  </xdr:twoCellAnchor>
</xdr:wsDr>
</file>

<file path=xl/persons/person.xml><?xml version="1.0" encoding="utf-8"?>
<personList xmlns="http://schemas.microsoft.com/office/spreadsheetml/2018/threadedcomments" xmlns:x="http://schemas.openxmlformats.org/spreadsheetml/2006/main">
  <person displayName="Paul Schroeder1" id="{DB8A6A4C-6A2F-45D3-B0DE-A00603714A07}" userId="Paul Schroeder1"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 dT="2024-03-22T20:12:22.84" personId="{DB8A6A4C-6A2F-45D3-B0DE-A00603714A07}" id="{AFCFA386-BD36-44DA-A6C0-ADC6552BEAE4}">
    <text>“On average, modern electric cars have an efficiency of 3 to 3.5 miles (4.8 to 5.6 kilometers) per kWh” (cf. https://justwe-gpi.com/ev-charging/electric-car-mileage/). Cf. average fuel economy of 2023 Chevy Bolt (https://www.fueleconomy.gov/feg/noframes/45751.shtml) and 2023 Nissan Leaf (https://www.fueleconomy.gov/feg/noframes/46016.shtml).</text>
    <extLst>
      <x:ext xmlns:xltc2="http://schemas.microsoft.com/office/spreadsheetml/2020/threadedcomments2" uri="{F7C98A9C-CBB3-438F-8F68-D28B6AF4A901}">
        <xltc2:checksum>4156954198</xltc2:checksum>
        <xltc2:hyperlink startIndex="109" length="56" url="https://justwe-gpi.com/ev-charging/electric-car-mileage/"/>
        <xltc2:hyperlink startIndex="213" length="52" url="https://www.fueleconomy.gov/feg/noframes/45751.shtml"/>
        <xltc2:hyperlink startIndex="289" length="52" url="https://www.fueleconomy.gov/feg/noframes/46016.shtml"/>
      </x:ext>
    </extLst>
  </threadedComment>
  <threadedComment ref="B3" dT="2024-03-22T16:34:22.74" personId="{DB8A6A4C-6A2F-45D3-B0DE-A00603714A07}" id="{569BD82F-644B-42AB-A49B-C819675E8550}">
    <text>https://tpec.umn.edu/sites/tpec.umn.edu/files/2023-06/Motorization_June%202023.pdf p. 12.</text>
    <extLst>
      <x:ext xmlns:xltc2="http://schemas.microsoft.com/office/spreadsheetml/2020/threadedcomments2" uri="{F7C98A9C-CBB3-438F-8F68-D28B6AF4A901}">
        <xltc2:checksum>1755349384</xltc2:checksum>
        <xltc2:hyperlink startIndex="0" length="82" url="https://tpec.umn.edu/sites/tpec.umn.edu/files/2023-06/Motorization_June%202023.pdf"/>
      </x:ext>
    </extLst>
  </threadedComment>
  <threadedComment ref="B4" dT="2024-03-22T16:41:04.11" personId="{DB8A6A4C-6A2F-45D3-B0DE-A00603714A07}" id="{37084717-15AF-436F-8B9B-998A3BC2087B}">
    <text xml:space="preserve">Cf. Technical Appendix section on "Mode Shift." </text>
  </threadedComment>
  <threadedComment ref="B5" dT="2024-03-22T16:48:09.67" personId="{DB8A6A4C-6A2F-45D3-B0DE-A00603714A07}" id="{8505DCBC-1C66-401E-91CF-8E8584FE0424}">
    <text>https://www.fhwa.dot.gov/policyinformation/statistics/2018/pdf/vm1.pdf</text>
  </threadedComment>
  <threadedComment ref="B6" dT="2024-03-22T16:47:10.42" personId="{DB8A6A4C-6A2F-45D3-B0DE-A00603714A07}" id="{80D9878B-EA9F-41FE-9193-545905A1F362}">
    <text>Cf. Technical Appendix section on "Accelerated Adoption."</text>
  </threadedComment>
  <threadedComment ref="B7" dT="2024-03-22T16:47:18.74" personId="{DB8A6A4C-6A2F-45D3-B0DE-A00603714A07}" id="{1A671F25-805C-45D0-B056-6EC17D389B62}">
    <text>Cf. Technical Appendix section on "Accelerated Adoption."</text>
  </threadedComment>
  <threadedComment ref="B8" dT="2024-03-22T16:51:06.30" personId="{DB8A6A4C-6A2F-45D3-B0DE-A00603714A07}" id="{BD597805-8540-4F55-A1B3-4A645CCA786F}">
    <text>Average high- and low-end estimates annualized from http://innovativemobility.org/wp-content/uploads/Innovative-Mobility-Industry-Outlook_SM-Spring-2015.pdf</text>
    <extLst>
      <x:ext xmlns:xltc2="http://schemas.microsoft.com/office/spreadsheetml/2020/threadedcomments2" uri="{F7C98A9C-CBB3-438F-8F68-D28B6AF4A901}">
        <xltc2:checksum>2634192056</xltc2:checksum>
        <xltc2:hyperlink startIndex="52" length="104" url="http://innovativemobility.org/wp-content/uploads/Innovative-Mobility-Industry-Outlook_SM-Spring-2015.pdf"/>
      </x:ext>
    </extLst>
  </threadedComment>
  <threadedComment ref="B9" dT="2024-03-22T20:14:35.66" personId="{DB8A6A4C-6A2F-45D3-B0DE-A00603714A07}" id="{8C307449-CE25-4F3D-A3BC-0C22C5064E4A}">
    <text>Growth assumption based on economic analysis and projection prepared by the Electrification Coalition for the original EV Spot Network project.</text>
  </threadedComment>
  <threadedComment ref="B10" dT="2024-03-22T20:14:39.80" personId="{DB8A6A4C-6A2F-45D3-B0DE-A00603714A07}" id="{318EAEAB-3C7C-4EAA-B251-770E5B42451F}">
    <text>Based on economic analysis and projection prepared by the Electrification Coalition for the original EV Spot Network project.</text>
  </threadedComment>
  <threadedComment ref="B11" dT="2024-03-28T17:33:52.17" personId="{DB8A6A4C-6A2F-45D3-B0DE-A00603714A07}" id="{D0240439-F123-4ACF-AF5A-E073A166F89D}">
    <text>Cf. https://www.dot.state.mn.us/roadway/data/reports/vmt/22_ccr.pdf p. 56.</text>
    <extLst>
      <x:ext xmlns:xltc2="http://schemas.microsoft.com/office/spreadsheetml/2020/threadedcomments2" uri="{F7C98A9C-CBB3-438F-8F68-D28B6AF4A901}">
        <xltc2:checksum>2768960697</xltc2:checksum>
        <xltc2:hyperlink startIndex="4" length="63" url="https://www.dot.state.mn.us/roadway/data/reports/vmt/22_ccr.pdf"/>
      </x:ext>
    </extLst>
  </threadedComment>
  <threadedComment ref="B12" dT="2024-03-28T17:35:08.72" personId="{DB8A6A4C-6A2F-45D3-B0DE-A00603714A07}" id="{076613F2-A16A-47B4-9F47-444E891C5EE7}">
    <text>Cf. https://www.dot.state.mn.us/roadway/data/reports/vmt/22_ccr.pdf p. 116.</text>
    <extLst>
      <x:ext xmlns:xltc2="http://schemas.microsoft.com/office/spreadsheetml/2020/threadedcomments2" uri="{F7C98A9C-CBB3-438F-8F68-D28B6AF4A901}">
        <xltc2:checksum>557253964</xltc2:checksum>
        <xltc2:hyperlink startIndex="4" length="63" url="https://www.dot.state.mn.us/roadway/data/reports/vmt/22_ccr.pdf"/>
      </x:ext>
    </extLst>
  </threadedComment>
  <threadedComment ref="B14" dT="2024-03-28T16:49:40.81" personId="{DB8A6A4C-6A2F-45D3-B0DE-A00603714A07}" id="{8A52243E-6BEC-40DC-AB42-EAF702DE03AC}">
    <text>Per FHWA: https://www.fhwa.dot.gov/Policyinformation/tables/vmt/2023_vmt_forecast_sum.pdf</text>
    <extLst>
      <x:ext xmlns:xltc2="http://schemas.microsoft.com/office/spreadsheetml/2020/threadedcomments2" uri="{F7C98A9C-CBB3-438F-8F68-D28B6AF4A901}">
        <xltc2:checksum>1518275406</xltc2:checksum>
        <xltc2:hyperlink startIndex="10" length="79" url="https://www.fhwa.dot.gov/Policyinformation/tables/vmt/2023_vmt_forecast_sum.pdf"/>
      </x:ext>
    </extLst>
  </threadedComment>
  <threadedComment ref="A16" dT="2024-03-22T16:37:00.68" personId="{DB8A6A4C-6A2F-45D3-B0DE-A00603714A07}" id="{F2CFAEE7-0159-4E8B-953C-3EB150DDC7C5}">
    <text>“An Economic Analysis of U.S. Public Transit Carbon Emissions Dynamics,” Table 5: https://www.nber.org/system/files/working_papers/w29900/w29900.pdf</text>
    <extLst>
      <x:ext xmlns:xltc2="http://schemas.microsoft.com/office/spreadsheetml/2020/threadedcomments2" uri="{F7C98A9C-CBB3-438F-8F68-D28B6AF4A901}">
        <xltc2:checksum>3444789668</xltc2:checksum>
        <xltc2:hyperlink startIndex="82" length="66" url="https://www.nber.org/system/files/working_papers/w29900/w29900.pdf"/>
      </x:ext>
    </extLst>
  </threadedComment>
</ThreadedComments>
</file>

<file path=xl/threadedComments/threadedComment2.xml><?xml version="1.0" encoding="utf-8"?>
<ThreadedComments xmlns="http://schemas.microsoft.com/office/spreadsheetml/2018/threadedcomments" xmlns:x="http://schemas.openxmlformats.org/spreadsheetml/2006/main">
  <threadedComment ref="B2" dT="2024-03-22T20:24:15.88" personId="{DB8A6A4C-6A2F-45D3-B0DE-A00603714A07}" id="{B5D01202-43B7-40E3-BB7A-1988F3CDAFD0}">
    <text>Baseline assumption taken from Xcel's most recent carbon intensity report: https://www.xcelenergy.com/staticfiles/xe-responsive/Environment/Carbon/Carbon-Emission-Intensities-Info-Sheet.pdf. Declines to zero by 2040 per Minnesota's new law requiring carbon-free electricity by 2040.</text>
    <extLst>
      <x:ext xmlns:xltc2="http://schemas.microsoft.com/office/spreadsheetml/2020/threadedcomments2" uri="{F7C98A9C-CBB3-438F-8F68-D28B6AF4A901}">
        <xltc2:checksum>3651606312</xltc2:checksum>
        <xltc2:hyperlink startIndex="75" length="114" url="https://www.xcelenergy.com/staticfiles/xe-responsive/Environment/Carbon/Carbon-Emission-Intensities-Info-Sheet.pdf"/>
      </x:ext>
    </extLst>
  </threadedComment>
  <threadedComment ref="B6" dT="2024-03-22T20:20:47.35" personId="{DB8A6A4C-6A2F-45D3-B0DE-A00603714A07}" id="{3A1F05D8-5358-447F-8BAA-DCDA7CB57FA0}">
    <text>Baseline assumption of 400 grams (0.88 lbs.) CO2e per passenger-mile per EPA statistic: https://nepis.epa.gov/Exe/ZyPDF.cgi?Dockey=P1017FP5.pdf. Carbon intensity declines to 95% by 2030, 85% by 2040, and 70% by 2050 per BAU case in the Minnesota Clean Transportation Standard Workgroup report: https://www.dot.state.mn.us/sustainability/clean-transportation-fuel-standard-working-group.html.</text>
    <extLst>
      <x:ext xmlns:xltc2="http://schemas.microsoft.com/office/spreadsheetml/2020/threadedcomments2" uri="{F7C98A9C-CBB3-438F-8F68-D28B6AF4A901}">
        <xltc2:checksum>183224591</xltc2:checksum>
        <xltc2:hyperlink startIndex="88" length="55" url="https://nepis.epa.gov/Exe/ZyPDF.cgi?Dockey=P1017FP5.pdf"/>
        <xltc2:hyperlink startIndex="294" length="96" url="https://www.dot.state.mn.us/sustainability/clean-transportation-fuel-standard-working-group.html"/>
      </x:ext>
    </extLst>
  </threadedComment>
  <threadedComment ref="B10" dT="2024-03-22T16:38:43.09" personId="{DB8A6A4C-6A2F-45D3-B0DE-A00603714A07}" id="{187C8B42-5643-4695-B9EF-6F6CD206EDFB}">
    <text>Derived by averaging average GHG emissions per passenger mile of the 15 largest transit agencies in the US as reported in “An Economic Analysis of U.S. Public Transit Carbon Emissions Dynamics,” Table 5: https://www.nber.org/system/files/working_papers/w29900/w29900.pdf. Declines to zero by 2050; ff. https://www.metrotransit.org/Data/Sites/1/media/about/improvements/electric_buses/220210_zebtp_finalreport.pdf.</text>
    <extLst>
      <x:ext xmlns:xltc2="http://schemas.microsoft.com/office/spreadsheetml/2020/threadedcomments2" uri="{F7C98A9C-CBB3-438F-8F68-D28B6AF4A901}">
        <xltc2:checksum>2762191140</xltc2:checksum>
        <xltc2:hyperlink startIndex="204" length="66" url="https://www.nber.org/system/files/working_papers/w29900/w29900.pdf"/>
        <xltc2:hyperlink startIndex="302" length="110" url="https://www.metrotransit.org/Data/Sites/1/media/about/improvements/electric_buses/220210_zebtp_finalreport.pdf"/>
      </x:ext>
    </extLst>
  </threadedComment>
</ThreadedComments>
</file>

<file path=xl/threadedComments/threadedComment3.xml><?xml version="1.0" encoding="utf-8"?>
<ThreadedComments xmlns="http://schemas.microsoft.com/office/spreadsheetml/2018/threadedcomments" xmlns:x="http://schemas.openxmlformats.org/spreadsheetml/2006/main">
  <threadedComment ref="C7" dT="2024-03-22T21:19:37.67" personId="{DB8A6A4C-6A2F-45D3-B0DE-A00603714A07}" id="{660B7127-FE45-4743-B6B4-E168D8150E5E}">
    <text>Starting assumption based on economic analysis and projection prepared by the Electrification Coalition for the original EV Spot Network project.</text>
  </threadedComment>
  <threadedComment ref="U7" dT="2024-03-22T21:23:48.07" personId="{DB8A6A4C-6A2F-45D3-B0DE-A00603714A07}" id="{A5DB10D9-816F-4B72-972C-B8E56F7BAF60}">
    <text>Functional ceiling of 6 charge sessions per day.</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4EB9F-17FB-49C8-9B0A-CC1744380480}">
  <dimension ref="A1:AC11"/>
  <sheetViews>
    <sheetView tabSelected="1" workbookViewId="0">
      <pane xSplit="1" topLeftCell="E1" activePane="topRight" state="frozen"/>
      <selection pane="topRight" activeCell="H9" sqref="H9"/>
    </sheetView>
  </sheetViews>
  <sheetFormatPr defaultColWidth="9.109375" defaultRowHeight="14.4" x14ac:dyDescent="0.3"/>
  <cols>
    <col min="1" max="1" width="56.88671875" style="19" customWidth="1"/>
    <col min="2" max="7" width="10.109375" style="19" customWidth="1"/>
    <col min="8" max="8" width="12.44140625" style="19" customWidth="1"/>
    <col min="9" max="28" width="7.88671875" style="19" customWidth="1"/>
    <col min="29" max="29" width="12.44140625" style="19" customWidth="1"/>
    <col min="30" max="16384" width="9.109375" style="19"/>
  </cols>
  <sheetData>
    <row r="1" spans="1:29" ht="15" thickBot="1" x14ac:dyDescent="0.35">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row>
    <row r="2" spans="1:29" ht="28.8" x14ac:dyDescent="0.3">
      <c r="A2" s="37"/>
      <c r="B2" s="28">
        <v>2025</v>
      </c>
      <c r="C2" s="28">
        <v>2026</v>
      </c>
      <c r="D2" s="28">
        <v>2027</v>
      </c>
      <c r="E2" s="28">
        <v>2028</v>
      </c>
      <c r="F2" s="28">
        <v>2029</v>
      </c>
      <c r="G2" s="28">
        <v>2030</v>
      </c>
      <c r="H2" s="33" t="s">
        <v>0</v>
      </c>
      <c r="I2" s="28">
        <v>2031</v>
      </c>
      <c r="J2" s="28">
        <v>2032</v>
      </c>
      <c r="K2" s="28">
        <v>2033</v>
      </c>
      <c r="L2" s="28">
        <v>2034</v>
      </c>
      <c r="M2" s="28">
        <v>2035</v>
      </c>
      <c r="N2" s="28">
        <v>2036</v>
      </c>
      <c r="O2" s="28">
        <v>2037</v>
      </c>
      <c r="P2" s="28">
        <v>2038</v>
      </c>
      <c r="Q2" s="28">
        <v>2039</v>
      </c>
      <c r="R2" s="28">
        <v>2040</v>
      </c>
      <c r="S2" s="28">
        <v>2041</v>
      </c>
      <c r="T2" s="28">
        <v>2042</v>
      </c>
      <c r="U2" s="28">
        <v>2043</v>
      </c>
      <c r="V2" s="28">
        <v>2044</v>
      </c>
      <c r="W2" s="28">
        <v>2045</v>
      </c>
      <c r="X2" s="28">
        <v>2046</v>
      </c>
      <c r="Y2" s="28">
        <v>2047</v>
      </c>
      <c r="Z2" s="28">
        <v>2048</v>
      </c>
      <c r="AA2" s="28">
        <v>2049</v>
      </c>
      <c r="AB2" s="28">
        <v>2050</v>
      </c>
      <c r="AC2" s="33" t="s">
        <v>1</v>
      </c>
    </row>
    <row r="3" spans="1:29" x14ac:dyDescent="0.3">
      <c r="A3" s="61" t="s">
        <v>104</v>
      </c>
      <c r="B3" s="29"/>
      <c r="C3" s="29"/>
      <c r="D3" s="29"/>
      <c r="E3" s="29"/>
      <c r="F3" s="29"/>
      <c r="G3" s="29"/>
      <c r="H3" s="34"/>
      <c r="I3" s="29"/>
      <c r="J3" s="29"/>
      <c r="K3" s="29"/>
      <c r="L3" s="29"/>
      <c r="M3" s="29"/>
      <c r="N3" s="29"/>
      <c r="O3" s="29"/>
      <c r="P3" s="29"/>
      <c r="Q3" s="29"/>
      <c r="R3" s="29"/>
      <c r="S3" s="29"/>
      <c r="T3" s="29"/>
      <c r="U3" s="29"/>
      <c r="V3" s="29"/>
      <c r="W3" s="29"/>
      <c r="X3" s="29"/>
      <c r="Y3" s="29"/>
      <c r="Z3" s="29"/>
      <c r="AA3" s="29"/>
      <c r="AB3" s="29"/>
      <c r="AC3" s="34"/>
    </row>
    <row r="4" spans="1:29" s="17" customFormat="1" x14ac:dyDescent="0.3">
      <c r="A4" s="38" t="s">
        <v>3</v>
      </c>
      <c r="B4" s="29">
        <f>'Public Charging Ports'!B11</f>
        <v>0</v>
      </c>
      <c r="C4" s="29">
        <f>'Public Charging Ports'!C11</f>
        <v>24.149732495279999</v>
      </c>
      <c r="D4" s="29">
        <f>'Public Charging Ports'!D11</f>
        <v>68.769238248463978</v>
      </c>
      <c r="E4" s="29">
        <f>'Public Charging Ports'!E11</f>
        <v>103.41835444288238</v>
      </c>
      <c r="F4" s="29">
        <f>'Public Charging Ports'!F11</f>
        <v>121.84608573699401</v>
      </c>
      <c r="G4" s="29">
        <f>'Public Charging Ports'!G11</f>
        <v>127.38454417958461</v>
      </c>
      <c r="H4" s="34">
        <f>SUM(B4:G4)</f>
        <v>445.56795510320501</v>
      </c>
      <c r="I4" s="29">
        <f>'Public Charging Ports'!H11</f>
        <v>131.84300322587006</v>
      </c>
      <c r="J4" s="29">
        <f>'Public Charging Ports'!I11</f>
        <v>134.77284774200049</v>
      </c>
      <c r="K4" s="29">
        <f>'Public Charging Ports'!J11</f>
        <v>135.615178040388</v>
      </c>
      <c r="L4" s="29">
        <f>'Public Charging Ports'!K11</f>
        <v>133.67781835409673</v>
      </c>
      <c r="M4" s="29">
        <f>'Public Charging Ports'!L11</f>
        <v>128.10790925600932</v>
      </c>
      <c r="N4" s="29">
        <f>'Public Charging Ports'!M11</f>
        <v>117.85927651552858</v>
      </c>
      <c r="O4" s="29">
        <f>'Public Charging Ports'!N11</f>
        <v>101.65362599464336</v>
      </c>
      <c r="P4" s="29">
        <f>'Public Charging Ports'!O11</f>
        <v>77.934446595893206</v>
      </c>
      <c r="Q4" s="29">
        <f>'Public Charging Ports'!P11</f>
        <v>44.81230679263853</v>
      </c>
      <c r="R4" s="29">
        <f>'Public Charging Ports'!Q11</f>
        <v>0</v>
      </c>
      <c r="S4" s="29">
        <f>'Public Charging Ports'!R11</f>
        <v>0</v>
      </c>
      <c r="T4" s="29">
        <f>'Public Charging Ports'!S11</f>
        <v>0</v>
      </c>
      <c r="U4" s="29">
        <f>'Public Charging Ports'!T11</f>
        <v>0</v>
      </c>
      <c r="V4" s="29">
        <f>'Public Charging Ports'!U11</f>
        <v>0</v>
      </c>
      <c r="W4" s="29">
        <f>'Public Charging Ports'!V11</f>
        <v>0</v>
      </c>
      <c r="X4" s="29">
        <f>'Public Charging Ports'!W11</f>
        <v>0</v>
      </c>
      <c r="Y4" s="29">
        <f>'Public Charging Ports'!X11</f>
        <v>0</v>
      </c>
      <c r="Z4" s="29">
        <f>'Public Charging Ports'!Y11</f>
        <v>0</v>
      </c>
      <c r="AA4" s="29">
        <f>'Public Charging Ports'!Z11</f>
        <v>0</v>
      </c>
      <c r="AB4" s="29">
        <f>'Public Charging Ports'!AA11</f>
        <v>0</v>
      </c>
      <c r="AC4" s="34">
        <f>SUM(B4:G4,I4:AB4)</f>
        <v>1451.8443676202733</v>
      </c>
    </row>
    <row r="5" spans="1:29" s="17" customFormat="1" x14ac:dyDescent="0.3">
      <c r="A5" s="38" t="s">
        <v>100</v>
      </c>
      <c r="B5" s="29">
        <f>Adoptions!B2*'Carbon Intensity of Fuels'!B14</f>
        <v>0</v>
      </c>
      <c r="C5" s="29">
        <f>Adoptions!C2*'Carbon Intensity of Fuels'!C14</f>
        <v>163.31405710888615</v>
      </c>
      <c r="D5" s="29">
        <f>Adoptions!D2*'Carbon Intensity of Fuels'!D14</f>
        <v>601.89900277408003</v>
      </c>
      <c r="E5" s="29">
        <f>Adoptions!E2*'Carbon Intensity of Fuels'!E14</f>
        <v>1228.2923133932429</v>
      </c>
      <c r="F5" s="29">
        <f>Adoptions!F2*'Carbon Intensity of Fuels'!F14</f>
        <v>1934.738239393723</v>
      </c>
      <c r="G5" s="29">
        <f>Adoptions!G2*'Carbon Intensity of Fuels'!G14</f>
        <v>2648.2793258938127</v>
      </c>
      <c r="H5" s="34">
        <f>SUM(B5:G5)</f>
        <v>6576.5229385637449</v>
      </c>
      <c r="I5" s="29">
        <f>Adoptions!H2*'Carbon Intensity of Fuels'!H14</f>
        <v>3368.9155728935129</v>
      </c>
      <c r="J5" s="29">
        <f>Adoptions!I2*'Carbon Intensity of Fuels'!I14</f>
        <v>4096.6469803928239</v>
      </c>
      <c r="K5" s="29">
        <f>Adoptions!J2*'Carbon Intensity of Fuels'!J14</f>
        <v>4831.4735483917439</v>
      </c>
      <c r="L5" s="29">
        <f>Adoptions!K2*'Carbon Intensity of Fuels'!K14</f>
        <v>5573.3952768902755</v>
      </c>
      <c r="M5" s="29">
        <f>Adoptions!L2*'Carbon Intensity of Fuels'!L14</f>
        <v>6322.412165888416</v>
      </c>
      <c r="N5" s="29">
        <f>Adoptions!M2*'Carbon Intensity of Fuels'!M14</f>
        <v>7078.5242153861673</v>
      </c>
      <c r="O5" s="29">
        <f>Adoptions!N2*'Carbon Intensity of Fuels'!N14</f>
        <v>7841.7314253835293</v>
      </c>
      <c r="P5" s="29">
        <f>Adoptions!O2*'Carbon Intensity of Fuels'!O14</f>
        <v>8612.0337958804994</v>
      </c>
      <c r="Q5" s="29">
        <f>Adoptions!P2*'Carbon Intensity of Fuels'!P14</f>
        <v>9389.4313268770838</v>
      </c>
      <c r="R5" s="29">
        <f>Adoptions!Q2*'Carbon Intensity of Fuels'!Q14</f>
        <v>10173.924018373273</v>
      </c>
      <c r="S5" s="29">
        <f>Adoptions!R2*'Carbon Intensity of Fuels'!R14</f>
        <v>10720.553588002889</v>
      </c>
      <c r="T5" s="29">
        <f>Adoptions!S2*'Carbon Intensity of Fuels'!S14</f>
        <v>11241.093238881082</v>
      </c>
      <c r="U5" s="29">
        <f>Adoptions!T2*'Carbon Intensity of Fuels'!T14</f>
        <v>11735.54297100785</v>
      </c>
      <c r="V5" s="29">
        <f>Adoptions!U2*'Carbon Intensity of Fuels'!U14</f>
        <v>12203.902784383194</v>
      </c>
      <c r="W5" s="29">
        <f>Adoptions!V2*'Carbon Intensity of Fuels'!V14</f>
        <v>12646.172679007113</v>
      </c>
      <c r="X5" s="29">
        <f>Adoptions!W2*'Carbon Intensity of Fuels'!W14</f>
        <v>13062.352654879609</v>
      </c>
      <c r="Y5" s="29">
        <f>Adoptions!X2*'Carbon Intensity of Fuels'!X14</f>
        <v>13452.442712000679</v>
      </c>
      <c r="Z5" s="29">
        <f>Adoptions!Y2*'Carbon Intensity of Fuels'!Y14</f>
        <v>13816.442850370328</v>
      </c>
      <c r="AA5" s="29">
        <f>Adoptions!Z2*'Carbon Intensity of Fuels'!Z14</f>
        <v>14154.353069988552</v>
      </c>
      <c r="AB5" s="29">
        <f>Adoptions!AA2*'Carbon Intensity of Fuels'!AA14</f>
        <v>14466.173370855353</v>
      </c>
      <c r="AC5" s="34">
        <f>SUM(B5:G5,I5:AB5)</f>
        <v>201364.04118429773</v>
      </c>
    </row>
    <row r="6" spans="1:29" s="17" customFormat="1" x14ac:dyDescent="0.3">
      <c r="A6" s="61" t="s">
        <v>105</v>
      </c>
      <c r="B6" s="29"/>
      <c r="C6" s="29"/>
      <c r="D6" s="29"/>
      <c r="E6" s="29"/>
      <c r="F6" s="29"/>
      <c r="G6" s="29"/>
      <c r="H6" s="34"/>
      <c r="I6" s="29"/>
      <c r="J6" s="29"/>
      <c r="K6" s="29"/>
      <c r="L6" s="29"/>
      <c r="M6" s="29"/>
      <c r="N6" s="29"/>
      <c r="O6" s="29"/>
      <c r="P6" s="29"/>
      <c r="Q6" s="29"/>
      <c r="R6" s="29"/>
      <c r="S6" s="29"/>
      <c r="T6" s="29"/>
      <c r="U6" s="29"/>
      <c r="V6" s="29"/>
      <c r="W6" s="29"/>
      <c r="X6" s="29"/>
      <c r="Y6" s="29"/>
      <c r="Z6" s="29"/>
      <c r="AA6" s="29"/>
      <c r="AB6" s="29"/>
      <c r="AC6" s="34"/>
    </row>
    <row r="7" spans="1:29" x14ac:dyDescent="0.3">
      <c r="A7" s="38" t="s">
        <v>2</v>
      </c>
      <c r="B7" s="29">
        <f>'Direct Replacement of VMT'!B8*'Carbon Intensity of Fuels'!B7</f>
        <v>307.8009994752</v>
      </c>
      <c r="C7" s="29">
        <f>'Direct Replacement of VMT'!C8*'Carbon Intensity of Fuels'!C7</f>
        <v>996.39580687257592</v>
      </c>
      <c r="D7" s="29">
        <f>'Direct Replacement of VMT'!D8*'Carbon Intensity of Fuels'!D7</f>
        <v>1744.034663137536</v>
      </c>
      <c r="E7" s="29">
        <f>'Direct Replacement of VMT'!E8*'Carbon Intensity of Fuels'!E7</f>
        <v>2233.3283233747197</v>
      </c>
      <c r="F7" s="29">
        <f>'Direct Replacement of VMT'!F8*'Carbon Intensity of Fuels'!F7</f>
        <v>2463.5805710376958</v>
      </c>
      <c r="G7" s="29">
        <f>'Direct Replacement of VMT'!G8*'Carbon Intensity of Fuels'!G7</f>
        <v>2903.2229986214393</v>
      </c>
      <c r="H7" s="34">
        <f>SUM(B7:G7)</f>
        <v>10648.363362519167</v>
      </c>
      <c r="I7" s="29">
        <f>'Direct Replacement of VMT'!H8*'Carbon Intensity of Fuels'!H7</f>
        <v>2872.6627565306876</v>
      </c>
      <c r="J7" s="29">
        <f>'Direct Replacement of VMT'!I8*'Carbon Intensity of Fuels'!I7</f>
        <v>2842.1025144399355</v>
      </c>
      <c r="K7" s="29">
        <f>'Direct Replacement of VMT'!J8*'Carbon Intensity of Fuels'!J7</f>
        <v>2811.5422723491829</v>
      </c>
      <c r="L7" s="29">
        <f>'Direct Replacement of VMT'!K8*'Carbon Intensity of Fuels'!K7</f>
        <v>2780.9820302584312</v>
      </c>
      <c r="M7" s="29">
        <f>'Direct Replacement of VMT'!L8*'Carbon Intensity of Fuels'!L7</f>
        <v>2750.4217881676786</v>
      </c>
      <c r="N7" s="29">
        <f>'Direct Replacement of VMT'!M8*'Carbon Intensity of Fuels'!M7</f>
        <v>2719.861546076927</v>
      </c>
      <c r="O7" s="29">
        <f>'Direct Replacement of VMT'!N8*'Carbon Intensity of Fuels'!N7</f>
        <v>2689.3013039861748</v>
      </c>
      <c r="P7" s="29">
        <f>'Direct Replacement of VMT'!O8*'Carbon Intensity of Fuels'!O7</f>
        <v>2658.7410618954227</v>
      </c>
      <c r="Q7" s="29">
        <f>'Direct Replacement of VMT'!P8*'Carbon Intensity of Fuels'!P7</f>
        <v>2628.1808198046706</v>
      </c>
      <c r="R7" s="29">
        <f>'Direct Replacement of VMT'!Q8*'Carbon Intensity of Fuels'!Q7</f>
        <v>2597.6205777139185</v>
      </c>
      <c r="S7" s="29">
        <f>'Direct Replacement of VMT'!R8*'Carbon Intensity of Fuels'!R7</f>
        <v>2551.7802145777905</v>
      </c>
      <c r="T7" s="29">
        <f>'Direct Replacement of VMT'!S8*'Carbon Intensity of Fuels'!S7</f>
        <v>2505.9398514416625</v>
      </c>
      <c r="U7" s="29">
        <f>'Direct Replacement of VMT'!T8*'Carbon Intensity of Fuels'!T7</f>
        <v>2460.0994883055346</v>
      </c>
      <c r="V7" s="29">
        <f>'Direct Replacement of VMT'!U8*'Carbon Intensity of Fuels'!U7</f>
        <v>2414.2591251694066</v>
      </c>
      <c r="W7" s="29">
        <f>'Direct Replacement of VMT'!V8*'Carbon Intensity of Fuels'!V7</f>
        <v>2368.4187620332787</v>
      </c>
      <c r="X7" s="29">
        <f>'Direct Replacement of VMT'!W8*'Carbon Intensity of Fuels'!W7</f>
        <v>2322.5783988971507</v>
      </c>
      <c r="Y7" s="29">
        <f>'Direct Replacement of VMT'!X8*'Carbon Intensity of Fuels'!X7</f>
        <v>2276.7380357610227</v>
      </c>
      <c r="Z7" s="29">
        <f>'Direct Replacement of VMT'!Y8*'Carbon Intensity of Fuels'!Y7</f>
        <v>2230.8976726248948</v>
      </c>
      <c r="AA7" s="29">
        <f>'Direct Replacement of VMT'!Z8*'Carbon Intensity of Fuels'!Z7</f>
        <v>2185.0573094887668</v>
      </c>
      <c r="AB7" s="29">
        <f>'Direct Replacement of VMT'!AA8*'Carbon Intensity of Fuels'!AA7</f>
        <v>2139.2169463526388</v>
      </c>
      <c r="AC7" s="34">
        <f>SUM(B7:G7,I7:AB7)</f>
        <v>61454.765838394349</v>
      </c>
    </row>
    <row r="8" spans="1:29" s="17" customFormat="1" x14ac:dyDescent="0.3">
      <c r="A8" s="57" t="s">
        <v>4</v>
      </c>
      <c r="B8" s="29">
        <f>'Mode Shift'!B3</f>
        <v>1714.5777600000001</v>
      </c>
      <c r="C8" s="29">
        <f>'Mode Shift'!C3</f>
        <v>5829.9930284399998</v>
      </c>
      <c r="D8" s="29">
        <f>'Mode Shift'!D3</f>
        <v>10331.188292879999</v>
      </c>
      <c r="E8" s="29">
        <f>'Mode Shift'!E3</f>
        <v>13760.515270655997</v>
      </c>
      <c r="F8" s="29">
        <f>'Mode Shift'!F3</f>
        <v>15630.090860159999</v>
      </c>
      <c r="G8" s="29">
        <f>'Mode Shift'!G3</f>
        <v>16441.086140639996</v>
      </c>
      <c r="H8" s="34">
        <f>SUM(B8:G8)</f>
        <v>63707.451352775985</v>
      </c>
      <c r="I8" s="29">
        <f>'Mode Shift'!H3</f>
        <v>16820.007825599998</v>
      </c>
      <c r="J8" s="29">
        <f>'Mode Shift'!I3</f>
        <v>17051.475823199995</v>
      </c>
      <c r="K8" s="29">
        <f>'Mode Shift'!J3</f>
        <v>17282.943820799996</v>
      </c>
      <c r="L8" s="29">
        <f>'Mode Shift'!K3</f>
        <v>17514.411818399993</v>
      </c>
      <c r="M8" s="29">
        <f>'Mode Shift'!L3</f>
        <v>17745.879815999997</v>
      </c>
      <c r="N8" s="29">
        <f>'Mode Shift'!M3</f>
        <v>17977.347813599994</v>
      </c>
      <c r="O8" s="29">
        <f>'Mode Shift'!N3</f>
        <v>18208.815811199995</v>
      </c>
      <c r="P8" s="29">
        <f>'Mode Shift'!O3</f>
        <v>18440.283808799992</v>
      </c>
      <c r="Q8" s="29">
        <f>'Mode Shift'!P3</f>
        <v>18671.751806399992</v>
      </c>
      <c r="R8" s="29">
        <f>'Mode Shift'!Q3</f>
        <v>18903.219803999989</v>
      </c>
      <c r="S8" s="29">
        <f>'Mode Shift'!R3</f>
        <v>18993.235136399991</v>
      </c>
      <c r="T8" s="29">
        <f>'Mode Shift'!S3</f>
        <v>19083.250468799994</v>
      </c>
      <c r="U8" s="29">
        <f>'Mode Shift'!T3</f>
        <v>19173.265801199996</v>
      </c>
      <c r="V8" s="29">
        <f>'Mode Shift'!U3</f>
        <v>19263.281133599998</v>
      </c>
      <c r="W8" s="29">
        <f>'Mode Shift'!V3</f>
        <v>19353.296465999996</v>
      </c>
      <c r="X8" s="29">
        <f>'Mode Shift'!W3</f>
        <v>19443.311798399991</v>
      </c>
      <c r="Y8" s="29">
        <f>'Mode Shift'!X3</f>
        <v>19533.327130799993</v>
      </c>
      <c r="Z8" s="29">
        <f>'Mode Shift'!Y3</f>
        <v>19623.342463199995</v>
      </c>
      <c r="AA8" s="29">
        <f>'Mode Shift'!Z3</f>
        <v>19713.357795599994</v>
      </c>
      <c r="AB8" s="29">
        <f>'Mode Shift'!AA3</f>
        <v>19803.373127999988</v>
      </c>
      <c r="AC8" s="34">
        <f>SUM(B8:G8,I8:AB8)</f>
        <v>436306.63082277594</v>
      </c>
    </row>
    <row r="9" spans="1:29" s="17" customFormat="1" x14ac:dyDescent="0.3">
      <c r="A9" s="38" t="s">
        <v>99</v>
      </c>
      <c r="B9" s="30">
        <f>Adoptions!B3*'Carbon Intensity of Fuels'!B14</f>
        <v>0</v>
      </c>
      <c r="C9" s="30">
        <f>Adoptions!C3*'Carbon Intensity of Fuels'!C14</f>
        <v>1016.1763553441804</v>
      </c>
      <c r="D9" s="30">
        <f>Adoptions!D3*'Carbon Intensity of Fuels'!D14</f>
        <v>2808.8620129457072</v>
      </c>
      <c r="E9" s="30">
        <f>Adoptions!E3*'Carbon Intensity of Fuels'!E14</f>
        <v>4927.8354304493087</v>
      </c>
      <c r="F9" s="30">
        <f>Adoptions!F3*'Carbon Intensity of Fuels'!F14</f>
        <v>7274.6157801203981</v>
      </c>
      <c r="G9" s="30">
        <f>Adoptions!G3*'Carbon Intensity of Fuels'!G14</f>
        <v>9644.9221882901929</v>
      </c>
      <c r="H9" s="35">
        <f>SUM(B9:G9)</f>
        <v>25672.411767149788</v>
      </c>
      <c r="I9" s="30">
        <f>Adoptions!H3*'Carbon Intensity of Fuels'!H14</f>
        <v>12038.754654958697</v>
      </c>
      <c r="J9" s="30">
        <f>Adoptions!I3*'Carbon Intensity of Fuels'!I14</f>
        <v>14456.113180125911</v>
      </c>
      <c r="K9" s="30">
        <f>Adoptions!J3*'Carbon Intensity of Fuels'!J14</f>
        <v>16896.997763791827</v>
      </c>
      <c r="L9" s="30">
        <f>Adoptions!K3*'Carbon Intensity of Fuels'!K14</f>
        <v>19361.408405956456</v>
      </c>
      <c r="M9" s="30">
        <f>Adoptions!L3*'Carbon Intensity of Fuels'!L14</f>
        <v>21849.345106619785</v>
      </c>
      <c r="N9" s="30">
        <f>Adoptions!M3*'Carbon Intensity of Fuels'!M14</f>
        <v>24360.807865781826</v>
      </c>
      <c r="O9" s="30">
        <f>Adoptions!N3*'Carbon Intensity of Fuels'!N14</f>
        <v>26895.796683442579</v>
      </c>
      <c r="P9" s="30">
        <f>Adoptions!O3*'Carbon Intensity of Fuels'!O14</f>
        <v>29454.311559602033</v>
      </c>
      <c r="Q9" s="30">
        <f>Adoptions!P3*'Carbon Intensity of Fuels'!P14</f>
        <v>32036.352494260202</v>
      </c>
      <c r="R9" s="30">
        <f>Adoptions!Q3*'Carbon Intensity of Fuels'!Q14</f>
        <v>34641.919487417064</v>
      </c>
      <c r="S9" s="30">
        <f>Adoptions!R3*'Carbon Intensity of Fuels'!R14</f>
        <v>36438.416366495381</v>
      </c>
      <c r="T9" s="30">
        <f>Adoptions!S3*'Carbon Intensity of Fuels'!S14</f>
        <v>38148.40456760845</v>
      </c>
      <c r="U9" s="30">
        <f>Adoptions!T3*'Carbon Intensity of Fuels'!T14</f>
        <v>39771.88409075627</v>
      </c>
      <c r="V9" s="30">
        <f>Adoptions!U3*'Carbon Intensity of Fuels'!U14</f>
        <v>41308.854935938842</v>
      </c>
      <c r="W9" s="30">
        <f>Adoptions!V3*'Carbon Intensity of Fuels'!V14</f>
        <v>42759.317103156172</v>
      </c>
      <c r="X9" s="30">
        <f>Adoptions!W3*'Carbon Intensity of Fuels'!W14</f>
        <v>44123.270592408247</v>
      </c>
      <c r="Y9" s="30">
        <f>Adoptions!X3*'Carbon Intensity of Fuels'!X14</f>
        <v>45400.715403695067</v>
      </c>
      <c r="Z9" s="30">
        <f>Adoptions!Y3*'Carbon Intensity of Fuels'!Y14</f>
        <v>46591.651537016653</v>
      </c>
      <c r="AA9" s="30">
        <f>Adoptions!Z3*'Carbon Intensity of Fuels'!Z14</f>
        <v>47696.078992372983</v>
      </c>
      <c r="AB9" s="30">
        <f>Adoptions!AA3*'Carbon Intensity of Fuels'!AA14</f>
        <v>48713.997769764072</v>
      </c>
      <c r="AC9" s="35">
        <f>SUM(B9:G9,I9:AB9)</f>
        <v>688616.81032831827</v>
      </c>
    </row>
    <row r="10" spans="1:29" s="17" customFormat="1" ht="15" thickBot="1" x14ac:dyDescent="0.35">
      <c r="A10" s="61" t="s">
        <v>5</v>
      </c>
      <c r="B10" s="31">
        <f>SUM(B4:B9)</f>
        <v>2022.3787594752002</v>
      </c>
      <c r="C10" s="31">
        <f t="shared" ref="C10:H10" si="0">SUM(C4:C9)</f>
        <v>8030.0289802609223</v>
      </c>
      <c r="D10" s="31">
        <f t="shared" si="0"/>
        <v>15554.753209985785</v>
      </c>
      <c r="E10" s="31">
        <f t="shared" si="0"/>
        <v>22253.389692316148</v>
      </c>
      <c r="F10" s="31">
        <f t="shared" si="0"/>
        <v>27424.871536448813</v>
      </c>
      <c r="G10" s="31">
        <f t="shared" si="0"/>
        <v>31764.895197625025</v>
      </c>
      <c r="H10" s="36">
        <f t="shared" si="0"/>
        <v>107050.3173761119</v>
      </c>
      <c r="I10" s="31">
        <f>SUM(I4:I9)</f>
        <v>35232.183813208765</v>
      </c>
      <c r="J10" s="31">
        <f t="shared" ref="J10:AB10" si="1">SUM(J4:J9)</f>
        <v>38581.111345900666</v>
      </c>
      <c r="K10" s="31">
        <f t="shared" si="1"/>
        <v>41958.572583373141</v>
      </c>
      <c r="L10" s="31">
        <f t="shared" si="1"/>
        <v>45363.875349859256</v>
      </c>
      <c r="M10" s="31">
        <f t="shared" si="1"/>
        <v>48796.166785931884</v>
      </c>
      <c r="N10" s="31">
        <f t="shared" si="1"/>
        <v>52254.400717360448</v>
      </c>
      <c r="O10" s="31">
        <f t="shared" si="1"/>
        <v>55737.298850006919</v>
      </c>
      <c r="P10" s="31">
        <f t="shared" si="1"/>
        <v>59243.30467277384</v>
      </c>
      <c r="Q10" s="31">
        <f t="shared" si="1"/>
        <v>62770.52875413459</v>
      </c>
      <c r="R10" s="31">
        <f t="shared" si="1"/>
        <v>66316.683887504245</v>
      </c>
      <c r="S10" s="31">
        <f t="shared" si="1"/>
        <v>68703.985305476061</v>
      </c>
      <c r="T10" s="31">
        <f t="shared" si="1"/>
        <v>70978.688126731184</v>
      </c>
      <c r="U10" s="31">
        <f t="shared" si="1"/>
        <v>73140.792351269658</v>
      </c>
      <c r="V10" s="31">
        <f t="shared" si="1"/>
        <v>75190.29797909144</v>
      </c>
      <c r="W10" s="31">
        <f t="shared" si="1"/>
        <v>77127.205010196572</v>
      </c>
      <c r="X10" s="31">
        <f t="shared" si="1"/>
        <v>78951.513444584998</v>
      </c>
      <c r="Y10" s="31">
        <f t="shared" si="1"/>
        <v>80663.22328225676</v>
      </c>
      <c r="Z10" s="31">
        <f t="shared" si="1"/>
        <v>82262.334523211874</v>
      </c>
      <c r="AA10" s="31">
        <f t="shared" si="1"/>
        <v>83748.847167450294</v>
      </c>
      <c r="AB10" s="31">
        <f t="shared" si="1"/>
        <v>85122.761214972052</v>
      </c>
      <c r="AC10" s="36">
        <f>SUM(B10:G10,I10:AB10)</f>
        <v>1389194.0925414064</v>
      </c>
    </row>
    <row r="11" spans="1:29" x14ac:dyDescent="0.3">
      <c r="I11" s="32"/>
      <c r="J11" s="32"/>
      <c r="K11" s="32"/>
      <c r="L11" s="32"/>
      <c r="M11" s="32"/>
      <c r="N11" s="32"/>
      <c r="O11" s="32"/>
      <c r="P11" s="32"/>
      <c r="Q11" s="32"/>
      <c r="R11" s="32"/>
      <c r="S11" s="32"/>
      <c r="T11" s="32"/>
      <c r="U11" s="32"/>
      <c r="V11" s="32"/>
      <c r="W11" s="32"/>
      <c r="X11" s="32"/>
      <c r="Y11" s="32"/>
      <c r="Z11" s="32"/>
      <c r="AA11" s="32"/>
      <c r="AB11" s="32"/>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4D11E-39AE-45CF-A205-00CE9F913578}">
  <dimension ref="A2:AA8"/>
  <sheetViews>
    <sheetView topLeftCell="F1" workbookViewId="0">
      <selection activeCell="B8" sqref="B8:AA8"/>
    </sheetView>
  </sheetViews>
  <sheetFormatPr defaultColWidth="8.88671875" defaultRowHeight="14.4" x14ac:dyDescent="0.3"/>
  <cols>
    <col min="1" max="1" width="34" customWidth="1"/>
    <col min="2" max="27" width="11.33203125" customWidth="1"/>
  </cols>
  <sheetData>
    <row r="2" spans="1:27" x14ac:dyDescent="0.3">
      <c r="A2" t="s">
        <v>70</v>
      </c>
      <c r="B2">
        <v>10.199999999999999</v>
      </c>
    </row>
    <row r="3" spans="1:27" x14ac:dyDescent="0.3">
      <c r="A3" t="s">
        <v>71</v>
      </c>
      <c r="B3">
        <v>44</v>
      </c>
    </row>
    <row r="5" spans="1:27" x14ac:dyDescent="0.3">
      <c r="B5">
        <v>2025</v>
      </c>
      <c r="C5">
        <v>2026</v>
      </c>
      <c r="D5">
        <v>2027</v>
      </c>
      <c r="E5">
        <v>2028</v>
      </c>
      <c r="F5">
        <v>2029</v>
      </c>
      <c r="G5">
        <v>2030</v>
      </c>
      <c r="H5">
        <v>2031</v>
      </c>
      <c r="I5">
        <v>2032</v>
      </c>
      <c r="J5">
        <v>2033</v>
      </c>
      <c r="K5">
        <v>2034</v>
      </c>
      <c r="L5">
        <v>2035</v>
      </c>
      <c r="M5">
        <v>2036</v>
      </c>
      <c r="N5">
        <v>2037</v>
      </c>
      <c r="O5">
        <v>2038</v>
      </c>
      <c r="P5">
        <v>2039</v>
      </c>
      <c r="Q5">
        <v>2040</v>
      </c>
      <c r="R5">
        <v>2041</v>
      </c>
      <c r="S5">
        <v>2042</v>
      </c>
      <c r="T5">
        <v>2043</v>
      </c>
      <c r="U5">
        <v>2044</v>
      </c>
      <c r="V5">
        <v>2045</v>
      </c>
      <c r="W5">
        <v>2046</v>
      </c>
      <c r="X5">
        <v>2047</v>
      </c>
      <c r="Y5">
        <v>2048</v>
      </c>
      <c r="Z5">
        <v>2049</v>
      </c>
      <c r="AA5">
        <v>2050</v>
      </c>
    </row>
    <row r="6" spans="1:27" x14ac:dyDescent="0.3">
      <c r="A6" t="s">
        <v>72</v>
      </c>
      <c r="B6" s="17">
        <f>'One-Way Trips'!C16*'Direct Replacement of VMT'!$B$2</f>
        <v>771120</v>
      </c>
      <c r="C6" s="17">
        <f>'One-Way Trips'!D16*'Direct Replacement of VMT'!$B$2</f>
        <v>2184840</v>
      </c>
      <c r="D6" s="17">
        <f>'One-Way Trips'!E16*'Direct Replacement of VMT'!$B$2</f>
        <v>3213000</v>
      </c>
      <c r="E6" s="17">
        <f>'One-Way Trips'!F16*'Direct Replacement of VMT'!$B$2</f>
        <v>3984119.9999999995</v>
      </c>
      <c r="F6" s="17">
        <f>'One-Way Trips'!G16*'Direct Replacement of VMT'!$B$2</f>
        <v>4241160</v>
      </c>
      <c r="G6" s="17">
        <f>'One-Way Trips'!H16*'Direct Replacement of VMT'!$B$2</f>
        <v>4626720</v>
      </c>
      <c r="H6" s="17">
        <f>'One-Way Trips'!I16*'Direct Replacement of VMT'!$B$2</f>
        <v>4626720</v>
      </c>
      <c r="I6" s="17">
        <f>'One-Way Trips'!J16*'Direct Replacement of VMT'!$B$2</f>
        <v>4626720</v>
      </c>
      <c r="J6" s="17">
        <f>'One-Way Trips'!K16*'Direct Replacement of VMT'!$B$2</f>
        <v>4626720</v>
      </c>
      <c r="K6" s="17">
        <f>'One-Way Trips'!L16*'Direct Replacement of VMT'!$B$2</f>
        <v>4626720</v>
      </c>
      <c r="L6" s="17">
        <f>'One-Way Trips'!M16*'Direct Replacement of VMT'!$B$2</f>
        <v>4626720</v>
      </c>
      <c r="M6" s="17">
        <f>'One-Way Trips'!N16*'Direct Replacement of VMT'!$B$2</f>
        <v>4626720</v>
      </c>
      <c r="N6" s="17">
        <f>'One-Way Trips'!O16*'Direct Replacement of VMT'!$B$2</f>
        <v>4626720</v>
      </c>
      <c r="O6" s="17">
        <f>'One-Way Trips'!P16*'Direct Replacement of VMT'!$B$2</f>
        <v>4626720</v>
      </c>
      <c r="P6" s="17">
        <f>'One-Way Trips'!Q16*'Direct Replacement of VMT'!$B$2</f>
        <v>4626720</v>
      </c>
      <c r="Q6" s="17">
        <f>'One-Way Trips'!R16*'Direct Replacement of VMT'!$B$2</f>
        <v>4626720</v>
      </c>
      <c r="R6" s="17">
        <f>'One-Way Trips'!S16*'Direct Replacement of VMT'!$B$2</f>
        <v>4626720</v>
      </c>
      <c r="S6" s="17">
        <f>'One-Way Trips'!T16*'Direct Replacement of VMT'!$B$2</f>
        <v>4626720</v>
      </c>
      <c r="T6" s="17">
        <f>'One-Way Trips'!U16*'Direct Replacement of VMT'!$B$2</f>
        <v>4626720</v>
      </c>
      <c r="U6" s="17">
        <f>'One-Way Trips'!V16*'Direct Replacement of VMT'!$B$2</f>
        <v>4626720</v>
      </c>
      <c r="V6" s="17">
        <f>'One-Way Trips'!W16*'Direct Replacement of VMT'!$B$2</f>
        <v>4626720</v>
      </c>
      <c r="W6" s="17">
        <f>'One-Way Trips'!X16*'Direct Replacement of VMT'!$B$2</f>
        <v>4626720</v>
      </c>
      <c r="X6" s="17">
        <f>'One-Way Trips'!Y16*'Direct Replacement of VMT'!$B$2</f>
        <v>4626720</v>
      </c>
      <c r="Y6" s="17">
        <f>'One-Way Trips'!Z16*'Direct Replacement of VMT'!$B$2</f>
        <v>4626720</v>
      </c>
      <c r="Z6" s="17">
        <f>'One-Way Trips'!AA16*'Direct Replacement of VMT'!$B$2</f>
        <v>4626720</v>
      </c>
      <c r="AA6" s="17">
        <f>'One-Way Trips'!AB16*'Direct Replacement of VMT'!$B$2</f>
        <v>4626720</v>
      </c>
    </row>
    <row r="7" spans="1:27" x14ac:dyDescent="0.3">
      <c r="A7" t="s">
        <v>73</v>
      </c>
      <c r="B7" s="20">
        <f>'Two-Way Trips'!C14*'Direct Replacement of VMT'!$B$3</f>
        <v>0</v>
      </c>
      <c r="C7" s="20">
        <f>'Two-Way Trips'!D14*'Direct Replacement of VMT'!$B$3</f>
        <v>336600</v>
      </c>
      <c r="D7" s="20">
        <f>'Two-Way Trips'!E14*'Direct Replacement of VMT'!$B$3</f>
        <v>1245420</v>
      </c>
      <c r="E7" s="20">
        <f>'Two-Way Trips'!F14*'Direct Replacement of VMT'!$B$3</f>
        <v>1783980</v>
      </c>
      <c r="F7" s="20">
        <f>'Two-Way Trips'!G14*'Direct Replacement of VMT'!$B$3</f>
        <v>2187900</v>
      </c>
      <c r="G7" s="20">
        <f>'Two-Way Trips'!H14*'Direct Replacement of VMT'!$B$3</f>
        <v>3029400</v>
      </c>
      <c r="H7" s="20">
        <f>'Two-Way Trips'!I14*'Direct Replacement of VMT'!$B$3</f>
        <v>3029400</v>
      </c>
      <c r="I7" s="20">
        <f>'Two-Way Trips'!J14*'Direct Replacement of VMT'!$B$3</f>
        <v>3029400</v>
      </c>
      <c r="J7" s="20">
        <f>'Two-Way Trips'!K14*'Direct Replacement of VMT'!$B$3</f>
        <v>3029400</v>
      </c>
      <c r="K7" s="20">
        <f>'Two-Way Trips'!L14*'Direct Replacement of VMT'!$B$3</f>
        <v>3029400</v>
      </c>
      <c r="L7" s="20">
        <f>'Two-Way Trips'!M14*'Direct Replacement of VMT'!$B$3</f>
        <v>3029400</v>
      </c>
      <c r="M7" s="20">
        <f>'Two-Way Trips'!N14*'Direct Replacement of VMT'!$B$3</f>
        <v>3029400</v>
      </c>
      <c r="N7" s="20">
        <f>'Two-Way Trips'!O14*'Direct Replacement of VMT'!$B$3</f>
        <v>3029400</v>
      </c>
      <c r="O7" s="20">
        <f>'Two-Way Trips'!P14*'Direct Replacement of VMT'!$B$3</f>
        <v>3029400</v>
      </c>
      <c r="P7" s="20">
        <f>'Two-Way Trips'!Q14*'Direct Replacement of VMT'!$B$3</f>
        <v>3029400</v>
      </c>
      <c r="Q7" s="20">
        <f>'Two-Way Trips'!R14*'Direct Replacement of VMT'!$B$3</f>
        <v>3029400</v>
      </c>
      <c r="R7" s="20">
        <f>'Two-Way Trips'!S14*'Direct Replacement of VMT'!$B$3</f>
        <v>3029400</v>
      </c>
      <c r="S7" s="20">
        <f>'Two-Way Trips'!T14*'Direct Replacement of VMT'!$B$3</f>
        <v>3029400</v>
      </c>
      <c r="T7" s="20">
        <f>'Two-Way Trips'!U14*'Direct Replacement of VMT'!$B$3</f>
        <v>3029400</v>
      </c>
      <c r="U7" s="20">
        <f>'Two-Way Trips'!V14*'Direct Replacement of VMT'!$B$3</f>
        <v>3029400</v>
      </c>
      <c r="V7" s="20">
        <f>'Two-Way Trips'!W14*'Direct Replacement of VMT'!$B$3</f>
        <v>3029400</v>
      </c>
      <c r="W7" s="20">
        <f>'Two-Way Trips'!X14*'Direct Replacement of VMT'!$B$3</f>
        <v>3029400</v>
      </c>
      <c r="X7" s="20">
        <f>'Two-Way Trips'!Y14*'Direct Replacement of VMT'!$B$3</f>
        <v>3029400</v>
      </c>
      <c r="Y7" s="20">
        <f>'Two-Way Trips'!Z14*'Direct Replacement of VMT'!$B$3</f>
        <v>3029400</v>
      </c>
      <c r="Z7" s="20">
        <f>'Two-Way Trips'!AA14*'Direct Replacement of VMT'!$B$3</f>
        <v>3029400</v>
      </c>
      <c r="AA7" s="20">
        <f>'Two-Way Trips'!AB14*'Direct Replacement of VMT'!$B$3</f>
        <v>3029400</v>
      </c>
    </row>
    <row r="8" spans="1:27" x14ac:dyDescent="0.3">
      <c r="A8" t="s">
        <v>74</v>
      </c>
      <c r="B8" s="19">
        <f>SUM(B6:B7)</f>
        <v>771120</v>
      </c>
      <c r="C8" s="19">
        <f t="shared" ref="C8:AA8" si="0">SUM(C6:C7)</f>
        <v>2521440</v>
      </c>
      <c r="D8" s="19">
        <f t="shared" si="0"/>
        <v>4458420</v>
      </c>
      <c r="E8" s="19">
        <f t="shared" si="0"/>
        <v>5768100</v>
      </c>
      <c r="F8" s="19">
        <f t="shared" si="0"/>
        <v>6429060</v>
      </c>
      <c r="G8" s="19">
        <f t="shared" si="0"/>
        <v>7656120</v>
      </c>
      <c r="H8" s="19">
        <f t="shared" si="0"/>
        <v>7656120</v>
      </c>
      <c r="I8" s="19">
        <f t="shared" si="0"/>
        <v>7656120</v>
      </c>
      <c r="J8" s="19">
        <f t="shared" si="0"/>
        <v>7656120</v>
      </c>
      <c r="K8" s="19">
        <f t="shared" si="0"/>
        <v>7656120</v>
      </c>
      <c r="L8" s="19">
        <f t="shared" si="0"/>
        <v>7656120</v>
      </c>
      <c r="M8" s="19">
        <f t="shared" si="0"/>
        <v>7656120</v>
      </c>
      <c r="N8" s="19">
        <f t="shared" si="0"/>
        <v>7656120</v>
      </c>
      <c r="O8" s="19">
        <f t="shared" si="0"/>
        <v>7656120</v>
      </c>
      <c r="P8" s="19">
        <f t="shared" si="0"/>
        <v>7656120</v>
      </c>
      <c r="Q8" s="19">
        <f t="shared" si="0"/>
        <v>7656120</v>
      </c>
      <c r="R8" s="19">
        <f t="shared" si="0"/>
        <v>7656120</v>
      </c>
      <c r="S8" s="19">
        <f t="shared" si="0"/>
        <v>7656120</v>
      </c>
      <c r="T8" s="19">
        <f t="shared" si="0"/>
        <v>7656120</v>
      </c>
      <c r="U8" s="19">
        <f t="shared" si="0"/>
        <v>7656120</v>
      </c>
      <c r="V8" s="19">
        <f t="shared" si="0"/>
        <v>7656120</v>
      </c>
      <c r="W8" s="19">
        <f t="shared" si="0"/>
        <v>7656120</v>
      </c>
      <c r="X8" s="19">
        <f t="shared" si="0"/>
        <v>7656120</v>
      </c>
      <c r="Y8" s="19">
        <f t="shared" si="0"/>
        <v>7656120</v>
      </c>
      <c r="Z8" s="19">
        <f t="shared" si="0"/>
        <v>7656120</v>
      </c>
      <c r="AA8" s="19">
        <f t="shared" si="0"/>
        <v>7656120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FFACB-5301-43AD-8447-1CF73271E549}">
  <dimension ref="A1:AB22"/>
  <sheetViews>
    <sheetView workbookViewId="0">
      <selection activeCell="C25" sqref="C25"/>
    </sheetView>
  </sheetViews>
  <sheetFormatPr defaultColWidth="8.88671875" defaultRowHeight="14.4" x14ac:dyDescent="0.3"/>
  <cols>
    <col min="1" max="1" width="60.88671875" customWidth="1"/>
    <col min="2" max="2" width="6.44140625" style="10" customWidth="1"/>
    <col min="5" max="5" width="14.33203125" bestFit="1" customWidth="1"/>
  </cols>
  <sheetData>
    <row r="1" spans="1:28" x14ac:dyDescent="0.3">
      <c r="B1" s="62" t="s">
        <v>75</v>
      </c>
      <c r="C1" s="62"/>
      <c r="D1" s="62"/>
      <c r="E1" s="62"/>
      <c r="F1" s="62"/>
      <c r="G1" s="62"/>
      <c r="H1" s="62"/>
      <c r="I1" s="62"/>
      <c r="J1" s="62"/>
      <c r="K1" s="62"/>
      <c r="L1" s="62"/>
      <c r="M1" s="62"/>
      <c r="N1" s="62"/>
      <c r="O1" s="62"/>
      <c r="P1" s="62"/>
      <c r="Q1" s="62"/>
      <c r="R1" s="62"/>
      <c r="S1" s="62"/>
      <c r="T1" s="62"/>
      <c r="U1" s="62"/>
      <c r="V1" s="62"/>
      <c r="W1" s="62"/>
      <c r="X1" s="62"/>
      <c r="Y1" s="62"/>
      <c r="Z1" s="62"/>
      <c r="AA1" s="62"/>
      <c r="AB1" s="62"/>
    </row>
    <row r="2" spans="1:28" x14ac:dyDescent="0.3">
      <c r="C2" s="11">
        <v>2025</v>
      </c>
      <c r="D2" s="11">
        <v>2026</v>
      </c>
      <c r="E2" s="11">
        <v>2027</v>
      </c>
      <c r="F2" s="11">
        <v>2028</v>
      </c>
      <c r="G2" s="11">
        <v>2029</v>
      </c>
      <c r="H2" s="11">
        <v>2030</v>
      </c>
      <c r="I2" s="11">
        <v>2031</v>
      </c>
      <c r="J2" s="11">
        <v>2032</v>
      </c>
      <c r="K2" s="11">
        <v>2033</v>
      </c>
      <c r="L2" s="11">
        <v>2034</v>
      </c>
      <c r="M2" s="11">
        <v>2035</v>
      </c>
      <c r="N2" s="11">
        <v>2036</v>
      </c>
      <c r="O2" s="11">
        <v>2037</v>
      </c>
      <c r="P2" s="11">
        <v>2038</v>
      </c>
      <c r="Q2" s="11">
        <v>2039</v>
      </c>
      <c r="R2" s="11">
        <v>2040</v>
      </c>
      <c r="S2" s="11">
        <v>2041</v>
      </c>
      <c r="T2" s="11">
        <v>2042</v>
      </c>
      <c r="U2" s="11">
        <v>2043</v>
      </c>
      <c r="V2" s="11">
        <v>2044</v>
      </c>
      <c r="W2" s="11">
        <v>2045</v>
      </c>
      <c r="X2" s="11">
        <v>2046</v>
      </c>
      <c r="Y2" s="11">
        <v>2047</v>
      </c>
      <c r="Z2" s="11">
        <v>2048</v>
      </c>
      <c r="AA2" s="11">
        <v>2049</v>
      </c>
      <c r="AB2" s="11">
        <v>2050</v>
      </c>
    </row>
    <row r="3" spans="1:28" x14ac:dyDescent="0.3">
      <c r="A3" s="10" t="s">
        <v>76</v>
      </c>
      <c r="C3" s="9"/>
      <c r="D3" s="9"/>
      <c r="E3" s="9"/>
      <c r="F3" s="9"/>
      <c r="G3" s="9"/>
    </row>
    <row r="4" spans="1:28" x14ac:dyDescent="0.3">
      <c r="B4" s="10" t="s">
        <v>77</v>
      </c>
      <c r="C4">
        <v>0</v>
      </c>
      <c r="D4" s="3">
        <f>C6</f>
        <v>200</v>
      </c>
      <c r="E4" s="3">
        <f t="shared" ref="E4:G4" si="0">D6</f>
        <v>300</v>
      </c>
      <c r="F4" s="3">
        <f t="shared" si="0"/>
        <v>300</v>
      </c>
      <c r="G4" s="3">
        <f t="shared" si="0"/>
        <v>300</v>
      </c>
      <c r="H4" s="3">
        <f t="shared" ref="H4:AB4" si="1">G6</f>
        <v>300</v>
      </c>
      <c r="I4" s="3">
        <f t="shared" si="1"/>
        <v>300</v>
      </c>
      <c r="J4" s="3">
        <f t="shared" si="1"/>
        <v>300</v>
      </c>
      <c r="K4" s="3">
        <f t="shared" si="1"/>
        <v>300</v>
      </c>
      <c r="L4" s="3">
        <f t="shared" si="1"/>
        <v>300</v>
      </c>
      <c r="M4" s="3">
        <f t="shared" si="1"/>
        <v>300</v>
      </c>
      <c r="N4" s="3">
        <f t="shared" si="1"/>
        <v>300</v>
      </c>
      <c r="O4" s="3">
        <f t="shared" si="1"/>
        <v>300</v>
      </c>
      <c r="P4" s="3">
        <f t="shared" si="1"/>
        <v>300</v>
      </c>
      <c r="Q4" s="3">
        <f t="shared" si="1"/>
        <v>300</v>
      </c>
      <c r="R4" s="3">
        <f t="shared" si="1"/>
        <v>300</v>
      </c>
      <c r="S4" s="3">
        <f t="shared" si="1"/>
        <v>300</v>
      </c>
      <c r="T4" s="3">
        <f t="shared" si="1"/>
        <v>300</v>
      </c>
      <c r="U4" s="3">
        <f t="shared" si="1"/>
        <v>300</v>
      </c>
      <c r="V4" s="3">
        <f t="shared" si="1"/>
        <v>300</v>
      </c>
      <c r="W4" s="3">
        <f t="shared" si="1"/>
        <v>300</v>
      </c>
      <c r="X4" s="3">
        <f t="shared" si="1"/>
        <v>300</v>
      </c>
      <c r="Y4" s="3">
        <f t="shared" si="1"/>
        <v>300</v>
      </c>
      <c r="Z4" s="3">
        <f t="shared" si="1"/>
        <v>300</v>
      </c>
      <c r="AA4" s="3">
        <f t="shared" si="1"/>
        <v>300</v>
      </c>
      <c r="AB4" s="3">
        <f t="shared" si="1"/>
        <v>300</v>
      </c>
    </row>
    <row r="5" spans="1:28" x14ac:dyDescent="0.3">
      <c r="B5" s="10" t="s">
        <v>78</v>
      </c>
      <c r="C5" s="3">
        <f>'Vehicle Count'!C2</f>
        <v>200</v>
      </c>
      <c r="D5" s="3">
        <f>'Vehicle Count'!D2</f>
        <v>100</v>
      </c>
      <c r="E5" s="3">
        <f>'Vehicle Count'!E2</f>
        <v>0</v>
      </c>
      <c r="F5" s="3">
        <f>'Vehicle Count'!F2</f>
        <v>0</v>
      </c>
      <c r="G5" s="3">
        <f>'Vehicle Count'!G2</f>
        <v>0</v>
      </c>
      <c r="H5" s="3">
        <f>'Vehicle Count'!H2</f>
        <v>0</v>
      </c>
      <c r="I5" s="3">
        <f>'Vehicle Count'!I2</f>
        <v>0</v>
      </c>
      <c r="J5" s="3">
        <f>'Vehicle Count'!J2</f>
        <v>0</v>
      </c>
      <c r="K5" s="3">
        <f>'Vehicle Count'!K2</f>
        <v>0</v>
      </c>
      <c r="L5" s="3">
        <f>'Vehicle Count'!L2</f>
        <v>0</v>
      </c>
      <c r="M5" s="3">
        <f>'Vehicle Count'!M2</f>
        <v>0</v>
      </c>
      <c r="N5" s="3">
        <f>'Vehicle Count'!N2</f>
        <v>0</v>
      </c>
      <c r="O5" s="3">
        <f>'Vehicle Count'!O2</f>
        <v>0</v>
      </c>
      <c r="P5" s="3">
        <f>'Vehicle Count'!P2</f>
        <v>0</v>
      </c>
      <c r="Q5" s="3">
        <f>'Vehicle Count'!Q2</f>
        <v>0</v>
      </c>
      <c r="R5" s="3">
        <f>'Vehicle Count'!R2</f>
        <v>0</v>
      </c>
      <c r="S5" s="3">
        <f>'Vehicle Count'!S2</f>
        <v>0</v>
      </c>
      <c r="T5" s="3">
        <f>'Vehicle Count'!T2</f>
        <v>0</v>
      </c>
      <c r="U5" s="3">
        <f>'Vehicle Count'!U2</f>
        <v>0</v>
      </c>
      <c r="V5" s="3">
        <f>'Vehicle Count'!V2</f>
        <v>0</v>
      </c>
      <c r="W5" s="3">
        <f>'Vehicle Count'!W2</f>
        <v>0</v>
      </c>
      <c r="X5" s="3">
        <f>'Vehicle Count'!X2</f>
        <v>0</v>
      </c>
      <c r="Y5" s="3">
        <f>'Vehicle Count'!Y2</f>
        <v>0</v>
      </c>
      <c r="Z5" s="3">
        <f>'Vehicle Count'!Z2</f>
        <v>0</v>
      </c>
      <c r="AA5" s="3">
        <f>'Vehicle Count'!AA2</f>
        <v>0</v>
      </c>
      <c r="AB5" s="3">
        <f>'Vehicle Count'!AB2</f>
        <v>0</v>
      </c>
    </row>
    <row r="6" spans="1:28" x14ac:dyDescent="0.3">
      <c r="B6" s="10" t="s">
        <v>79</v>
      </c>
      <c r="C6">
        <f t="shared" ref="C6:AB6" si="2">SUM(C4:C5)</f>
        <v>200</v>
      </c>
      <c r="D6">
        <f t="shared" si="2"/>
        <v>300</v>
      </c>
      <c r="E6">
        <f t="shared" si="2"/>
        <v>300</v>
      </c>
      <c r="F6">
        <f t="shared" si="2"/>
        <v>300</v>
      </c>
      <c r="G6">
        <f t="shared" si="2"/>
        <v>300</v>
      </c>
      <c r="H6">
        <f t="shared" si="2"/>
        <v>300</v>
      </c>
      <c r="I6">
        <f t="shared" si="2"/>
        <v>300</v>
      </c>
      <c r="J6">
        <f t="shared" si="2"/>
        <v>300</v>
      </c>
      <c r="K6">
        <f t="shared" si="2"/>
        <v>300</v>
      </c>
      <c r="L6">
        <f t="shared" si="2"/>
        <v>300</v>
      </c>
      <c r="M6">
        <f t="shared" si="2"/>
        <v>300</v>
      </c>
      <c r="N6">
        <f t="shared" si="2"/>
        <v>300</v>
      </c>
      <c r="O6">
        <f t="shared" si="2"/>
        <v>300</v>
      </c>
      <c r="P6">
        <f t="shared" si="2"/>
        <v>300</v>
      </c>
      <c r="Q6">
        <f t="shared" si="2"/>
        <v>300</v>
      </c>
      <c r="R6">
        <f t="shared" si="2"/>
        <v>300</v>
      </c>
      <c r="S6">
        <f t="shared" si="2"/>
        <v>300</v>
      </c>
      <c r="T6">
        <f t="shared" si="2"/>
        <v>300</v>
      </c>
      <c r="U6">
        <f t="shared" si="2"/>
        <v>300</v>
      </c>
      <c r="V6">
        <f t="shared" si="2"/>
        <v>300</v>
      </c>
      <c r="W6">
        <f t="shared" si="2"/>
        <v>300</v>
      </c>
      <c r="X6">
        <f t="shared" si="2"/>
        <v>300</v>
      </c>
      <c r="Y6">
        <f t="shared" si="2"/>
        <v>300</v>
      </c>
      <c r="Z6">
        <f t="shared" si="2"/>
        <v>300</v>
      </c>
      <c r="AA6">
        <f t="shared" si="2"/>
        <v>300</v>
      </c>
      <c r="AB6">
        <f t="shared" si="2"/>
        <v>300</v>
      </c>
    </row>
    <row r="8" spans="1:28" x14ac:dyDescent="0.3">
      <c r="B8" s="10" t="s">
        <v>80</v>
      </c>
      <c r="C8" s="8">
        <v>0.7</v>
      </c>
    </row>
    <row r="10" spans="1:28" x14ac:dyDescent="0.3">
      <c r="B10" s="10" t="s">
        <v>81</v>
      </c>
      <c r="C10">
        <f>(C4+C6)/2*$C$8</f>
        <v>70</v>
      </c>
      <c r="D10">
        <f t="shared" ref="D10:AB10" si="3">(D4+D6)/2*$C$8</f>
        <v>175</v>
      </c>
      <c r="E10">
        <f t="shared" si="3"/>
        <v>210</v>
      </c>
      <c r="F10">
        <f t="shared" si="3"/>
        <v>210</v>
      </c>
      <c r="G10">
        <f t="shared" si="3"/>
        <v>210</v>
      </c>
      <c r="H10">
        <f t="shared" si="3"/>
        <v>210</v>
      </c>
      <c r="I10">
        <f t="shared" si="3"/>
        <v>210</v>
      </c>
      <c r="J10">
        <f t="shared" si="3"/>
        <v>210</v>
      </c>
      <c r="K10">
        <f t="shared" si="3"/>
        <v>210</v>
      </c>
      <c r="L10">
        <f t="shared" si="3"/>
        <v>210</v>
      </c>
      <c r="M10">
        <f t="shared" si="3"/>
        <v>210</v>
      </c>
      <c r="N10">
        <f t="shared" si="3"/>
        <v>210</v>
      </c>
      <c r="O10">
        <f t="shared" si="3"/>
        <v>210</v>
      </c>
      <c r="P10">
        <f t="shared" si="3"/>
        <v>210</v>
      </c>
      <c r="Q10">
        <f t="shared" si="3"/>
        <v>210</v>
      </c>
      <c r="R10">
        <f t="shared" si="3"/>
        <v>210</v>
      </c>
      <c r="S10">
        <f t="shared" si="3"/>
        <v>210</v>
      </c>
      <c r="T10">
        <f t="shared" si="3"/>
        <v>210</v>
      </c>
      <c r="U10">
        <f t="shared" si="3"/>
        <v>210</v>
      </c>
      <c r="V10">
        <f t="shared" si="3"/>
        <v>210</v>
      </c>
      <c r="W10">
        <f t="shared" si="3"/>
        <v>210</v>
      </c>
      <c r="X10">
        <f t="shared" si="3"/>
        <v>210</v>
      </c>
      <c r="Y10">
        <f t="shared" si="3"/>
        <v>210</v>
      </c>
      <c r="Z10">
        <f t="shared" si="3"/>
        <v>210</v>
      </c>
      <c r="AA10">
        <f t="shared" si="3"/>
        <v>210</v>
      </c>
      <c r="AB10">
        <f t="shared" si="3"/>
        <v>210</v>
      </c>
    </row>
    <row r="11" spans="1:28" ht="15" thickBot="1" x14ac:dyDescent="0.35"/>
    <row r="12" spans="1:28" x14ac:dyDescent="0.3">
      <c r="A12" s="10" t="s">
        <v>82</v>
      </c>
      <c r="B12" s="14">
        <v>90</v>
      </c>
      <c r="C12" s="15">
        <f>C5/2*$C$8*$B$12*12</f>
        <v>75600</v>
      </c>
      <c r="D12">
        <f>(C5+D5)/2*$C$8*$B$12*12</f>
        <v>113400</v>
      </c>
      <c r="E12">
        <f t="shared" ref="E12:AB12" si="4">(D5+E5)/2*$C$8*$B$12*12</f>
        <v>37800</v>
      </c>
      <c r="F12">
        <f t="shared" si="4"/>
        <v>0</v>
      </c>
      <c r="G12">
        <f t="shared" si="4"/>
        <v>0</v>
      </c>
      <c r="H12">
        <f t="shared" si="4"/>
        <v>0</v>
      </c>
      <c r="I12">
        <f t="shared" si="4"/>
        <v>0</v>
      </c>
      <c r="J12">
        <f t="shared" si="4"/>
        <v>0</v>
      </c>
      <c r="K12">
        <f t="shared" si="4"/>
        <v>0</v>
      </c>
      <c r="L12">
        <f t="shared" si="4"/>
        <v>0</v>
      </c>
      <c r="M12">
        <f t="shared" si="4"/>
        <v>0</v>
      </c>
      <c r="N12">
        <f t="shared" si="4"/>
        <v>0</v>
      </c>
      <c r="O12">
        <f t="shared" si="4"/>
        <v>0</v>
      </c>
      <c r="P12">
        <f t="shared" si="4"/>
        <v>0</v>
      </c>
      <c r="Q12">
        <f t="shared" si="4"/>
        <v>0</v>
      </c>
      <c r="R12">
        <f t="shared" si="4"/>
        <v>0</v>
      </c>
      <c r="S12">
        <f t="shared" si="4"/>
        <v>0</v>
      </c>
      <c r="T12">
        <f t="shared" si="4"/>
        <v>0</v>
      </c>
      <c r="U12">
        <f t="shared" si="4"/>
        <v>0</v>
      </c>
      <c r="V12">
        <f t="shared" si="4"/>
        <v>0</v>
      </c>
      <c r="W12">
        <f t="shared" si="4"/>
        <v>0</v>
      </c>
      <c r="X12">
        <f t="shared" si="4"/>
        <v>0</v>
      </c>
      <c r="Y12">
        <f t="shared" si="4"/>
        <v>0</v>
      </c>
      <c r="Z12">
        <f t="shared" si="4"/>
        <v>0</v>
      </c>
      <c r="AA12">
        <f t="shared" si="4"/>
        <v>0</v>
      </c>
      <c r="AB12">
        <f t="shared" si="4"/>
        <v>0</v>
      </c>
    </row>
    <row r="13" spans="1:28" x14ac:dyDescent="0.3">
      <c r="B13" s="12">
        <v>120</v>
      </c>
      <c r="C13">
        <v>0</v>
      </c>
      <c r="D13">
        <f>C5/2*$C$8*$B$13*12</f>
        <v>100800</v>
      </c>
      <c r="E13">
        <f>(C5+D5)/2*$C$8*$B$13*12</f>
        <v>151200</v>
      </c>
      <c r="F13">
        <f t="shared" ref="F13:AB13" si="5">(D5+E5)/2*$C$8*$B$13*12</f>
        <v>50400</v>
      </c>
      <c r="G13">
        <f t="shared" si="5"/>
        <v>0</v>
      </c>
      <c r="H13">
        <f t="shared" si="5"/>
        <v>0</v>
      </c>
      <c r="I13">
        <f t="shared" si="5"/>
        <v>0</v>
      </c>
      <c r="J13">
        <f t="shared" si="5"/>
        <v>0</v>
      </c>
      <c r="K13">
        <f t="shared" si="5"/>
        <v>0</v>
      </c>
      <c r="L13">
        <f t="shared" si="5"/>
        <v>0</v>
      </c>
      <c r="M13">
        <f t="shared" si="5"/>
        <v>0</v>
      </c>
      <c r="N13">
        <f t="shared" si="5"/>
        <v>0</v>
      </c>
      <c r="O13">
        <f t="shared" si="5"/>
        <v>0</v>
      </c>
      <c r="P13">
        <f t="shared" si="5"/>
        <v>0</v>
      </c>
      <c r="Q13">
        <f t="shared" si="5"/>
        <v>0</v>
      </c>
      <c r="R13">
        <f t="shared" si="5"/>
        <v>0</v>
      </c>
      <c r="S13">
        <f t="shared" si="5"/>
        <v>0</v>
      </c>
      <c r="T13">
        <f t="shared" si="5"/>
        <v>0</v>
      </c>
      <c r="U13">
        <f t="shared" si="5"/>
        <v>0</v>
      </c>
      <c r="V13">
        <f t="shared" si="5"/>
        <v>0</v>
      </c>
      <c r="W13">
        <f t="shared" si="5"/>
        <v>0</v>
      </c>
      <c r="X13">
        <f t="shared" si="5"/>
        <v>0</v>
      </c>
      <c r="Y13">
        <f t="shared" si="5"/>
        <v>0</v>
      </c>
      <c r="Z13">
        <f t="shared" si="5"/>
        <v>0</v>
      </c>
      <c r="AA13">
        <f t="shared" si="5"/>
        <v>0</v>
      </c>
      <c r="AB13">
        <f t="shared" si="5"/>
        <v>0</v>
      </c>
    </row>
    <row r="14" spans="1:28" x14ac:dyDescent="0.3">
      <c r="B14" s="12">
        <v>150</v>
      </c>
      <c r="C14">
        <v>0</v>
      </c>
      <c r="D14">
        <v>0</v>
      </c>
      <c r="E14">
        <f>C5/2*$C$8*$B$14*12</f>
        <v>126000</v>
      </c>
      <c r="F14">
        <f>(C5+D5)/2*$C$8*$B$14*12</f>
        <v>189000</v>
      </c>
      <c r="G14">
        <f>(C5+D5+E5)/2*$C$8*$B$14*12</f>
        <v>189000</v>
      </c>
      <c r="H14">
        <f t="shared" ref="H14:AB14" si="6">(E5+F5)/2*$C$8*$B$14*12</f>
        <v>0</v>
      </c>
      <c r="I14">
        <f t="shared" si="6"/>
        <v>0</v>
      </c>
      <c r="J14">
        <f t="shared" si="6"/>
        <v>0</v>
      </c>
      <c r="K14">
        <f t="shared" si="6"/>
        <v>0</v>
      </c>
      <c r="L14">
        <f t="shared" si="6"/>
        <v>0</v>
      </c>
      <c r="M14">
        <f t="shared" si="6"/>
        <v>0</v>
      </c>
      <c r="N14">
        <f t="shared" si="6"/>
        <v>0</v>
      </c>
      <c r="O14">
        <f t="shared" si="6"/>
        <v>0</v>
      </c>
      <c r="P14">
        <f t="shared" si="6"/>
        <v>0</v>
      </c>
      <c r="Q14">
        <f t="shared" si="6"/>
        <v>0</v>
      </c>
      <c r="R14">
        <f t="shared" si="6"/>
        <v>0</v>
      </c>
      <c r="S14">
        <f t="shared" si="6"/>
        <v>0</v>
      </c>
      <c r="T14">
        <f t="shared" si="6"/>
        <v>0</v>
      </c>
      <c r="U14">
        <f t="shared" si="6"/>
        <v>0</v>
      </c>
      <c r="V14">
        <f t="shared" si="6"/>
        <v>0</v>
      </c>
      <c r="W14">
        <f t="shared" si="6"/>
        <v>0</v>
      </c>
      <c r="X14">
        <f t="shared" si="6"/>
        <v>0</v>
      </c>
      <c r="Y14">
        <f t="shared" si="6"/>
        <v>0</v>
      </c>
      <c r="Z14">
        <f t="shared" si="6"/>
        <v>0</v>
      </c>
      <c r="AA14">
        <f t="shared" si="6"/>
        <v>0</v>
      </c>
      <c r="AB14">
        <f t="shared" si="6"/>
        <v>0</v>
      </c>
    </row>
    <row r="15" spans="1:28" ht="15" thickBot="1" x14ac:dyDescent="0.35">
      <c r="B15" s="13">
        <v>180</v>
      </c>
      <c r="C15" s="16">
        <v>0</v>
      </c>
      <c r="D15" s="7">
        <v>0</v>
      </c>
      <c r="E15" s="7">
        <v>0</v>
      </c>
      <c r="F15" s="7">
        <f>C5/2*$C$8*$B$15*12</f>
        <v>151200</v>
      </c>
      <c r="G15" s="7">
        <f>(C5+D5)/2*$C$8*$B$15*12</f>
        <v>226800</v>
      </c>
      <c r="H15" s="7">
        <f>D6*$C$8*$B$15*12</f>
        <v>453600</v>
      </c>
      <c r="I15" s="7">
        <f t="shared" ref="I15:AB15" si="7">E6*$C$8*$B$15*12</f>
        <v>453600</v>
      </c>
      <c r="J15" s="7">
        <f t="shared" si="7"/>
        <v>453600</v>
      </c>
      <c r="K15" s="7">
        <f t="shared" si="7"/>
        <v>453600</v>
      </c>
      <c r="L15" s="7">
        <f t="shared" si="7"/>
        <v>453600</v>
      </c>
      <c r="M15" s="7">
        <f t="shared" si="7"/>
        <v>453600</v>
      </c>
      <c r="N15" s="7">
        <f t="shared" si="7"/>
        <v>453600</v>
      </c>
      <c r="O15" s="7">
        <f t="shared" si="7"/>
        <v>453600</v>
      </c>
      <c r="P15" s="7">
        <f t="shared" si="7"/>
        <v>453600</v>
      </c>
      <c r="Q15" s="7">
        <f t="shared" si="7"/>
        <v>453600</v>
      </c>
      <c r="R15" s="7">
        <f t="shared" si="7"/>
        <v>453600</v>
      </c>
      <c r="S15" s="7">
        <f t="shared" si="7"/>
        <v>453600</v>
      </c>
      <c r="T15" s="7">
        <f t="shared" si="7"/>
        <v>453600</v>
      </c>
      <c r="U15" s="7">
        <f t="shared" si="7"/>
        <v>453600</v>
      </c>
      <c r="V15" s="7">
        <f t="shared" si="7"/>
        <v>453600</v>
      </c>
      <c r="W15" s="7">
        <f t="shared" si="7"/>
        <v>453600</v>
      </c>
      <c r="X15" s="7">
        <f t="shared" si="7"/>
        <v>453600</v>
      </c>
      <c r="Y15" s="7">
        <f t="shared" si="7"/>
        <v>453600</v>
      </c>
      <c r="Z15" s="7">
        <f t="shared" si="7"/>
        <v>453600</v>
      </c>
      <c r="AA15" s="7">
        <f t="shared" si="7"/>
        <v>453600</v>
      </c>
      <c r="AB15" s="7">
        <f t="shared" si="7"/>
        <v>453600</v>
      </c>
    </row>
    <row r="16" spans="1:28" x14ac:dyDescent="0.3">
      <c r="B16" s="10" t="s">
        <v>83</v>
      </c>
      <c r="C16" s="3">
        <f>SUM(C12:C15)</f>
        <v>75600</v>
      </c>
      <c r="D16" s="3">
        <f t="shared" ref="D16:AB16" si="8">SUM(D12:D15)</f>
        <v>214200</v>
      </c>
      <c r="E16" s="3">
        <f t="shared" si="8"/>
        <v>315000</v>
      </c>
      <c r="F16" s="3">
        <f t="shared" si="8"/>
        <v>390600</v>
      </c>
      <c r="G16" s="3">
        <f t="shared" si="8"/>
        <v>415800</v>
      </c>
      <c r="H16" s="3">
        <f t="shared" si="8"/>
        <v>453600</v>
      </c>
      <c r="I16" s="3">
        <f t="shared" si="8"/>
        <v>453600</v>
      </c>
      <c r="J16" s="3">
        <f t="shared" si="8"/>
        <v>453600</v>
      </c>
      <c r="K16" s="3">
        <f t="shared" si="8"/>
        <v>453600</v>
      </c>
      <c r="L16" s="3">
        <f t="shared" si="8"/>
        <v>453600</v>
      </c>
      <c r="M16" s="3">
        <f t="shared" si="8"/>
        <v>453600</v>
      </c>
      <c r="N16" s="3">
        <f t="shared" si="8"/>
        <v>453600</v>
      </c>
      <c r="O16" s="3">
        <f t="shared" si="8"/>
        <v>453600</v>
      </c>
      <c r="P16" s="3">
        <f t="shared" si="8"/>
        <v>453600</v>
      </c>
      <c r="Q16" s="3">
        <f t="shared" si="8"/>
        <v>453600</v>
      </c>
      <c r="R16" s="3">
        <f t="shared" si="8"/>
        <v>453600</v>
      </c>
      <c r="S16" s="3">
        <f t="shared" si="8"/>
        <v>453600</v>
      </c>
      <c r="T16" s="3">
        <f t="shared" si="8"/>
        <v>453600</v>
      </c>
      <c r="U16" s="3">
        <f t="shared" si="8"/>
        <v>453600</v>
      </c>
      <c r="V16" s="3">
        <f t="shared" si="8"/>
        <v>453600</v>
      </c>
      <c r="W16" s="3">
        <f t="shared" si="8"/>
        <v>453600</v>
      </c>
      <c r="X16" s="3">
        <f t="shared" si="8"/>
        <v>453600</v>
      </c>
      <c r="Y16" s="3">
        <f t="shared" si="8"/>
        <v>453600</v>
      </c>
      <c r="Z16" s="3">
        <f t="shared" si="8"/>
        <v>453600</v>
      </c>
      <c r="AA16" s="3">
        <f t="shared" si="8"/>
        <v>453600</v>
      </c>
      <c r="AB16" s="3">
        <f t="shared" si="8"/>
        <v>453600</v>
      </c>
    </row>
    <row r="22" spans="5:5" x14ac:dyDescent="0.3">
      <c r="E22" s="18"/>
    </row>
  </sheetData>
  <mergeCells count="1">
    <mergeCell ref="B1:A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6ABA0-B505-45DC-9BC3-C510A7063E6C}">
  <dimension ref="A1:AB14"/>
  <sheetViews>
    <sheetView topLeftCell="E1" workbookViewId="0">
      <selection activeCell="A18" sqref="A18"/>
    </sheetView>
  </sheetViews>
  <sheetFormatPr defaultColWidth="8.88671875" defaultRowHeight="14.4" x14ac:dyDescent="0.3"/>
  <cols>
    <col min="1" max="1" width="50.6640625" customWidth="1"/>
    <col min="2" max="2" width="6.44140625" style="10" customWidth="1"/>
  </cols>
  <sheetData>
    <row r="1" spans="1:28" x14ac:dyDescent="0.3">
      <c r="B1" s="62" t="s">
        <v>84</v>
      </c>
      <c r="C1" s="62"/>
      <c r="D1" s="62"/>
      <c r="E1" s="62"/>
      <c r="F1" s="62"/>
      <c r="G1" s="62"/>
      <c r="H1" s="62"/>
      <c r="I1" s="62"/>
      <c r="J1" s="62"/>
      <c r="K1" s="62"/>
      <c r="L1" s="62"/>
      <c r="M1" s="62"/>
      <c r="N1" s="62"/>
      <c r="O1" s="62"/>
      <c r="P1" s="62"/>
      <c r="Q1" s="62"/>
      <c r="R1" s="62"/>
      <c r="S1" s="62"/>
      <c r="T1" s="62"/>
      <c r="U1" s="62"/>
      <c r="V1" s="62"/>
      <c r="W1" s="62"/>
      <c r="X1" s="62"/>
      <c r="Y1" s="62"/>
      <c r="Z1" s="62"/>
      <c r="AA1" s="62"/>
      <c r="AB1" s="62"/>
    </row>
    <row r="2" spans="1:28" x14ac:dyDescent="0.3">
      <c r="C2">
        <v>2025</v>
      </c>
      <c r="D2">
        <v>2026</v>
      </c>
      <c r="E2">
        <v>2027</v>
      </c>
      <c r="F2">
        <v>2028</v>
      </c>
      <c r="G2">
        <v>2029</v>
      </c>
      <c r="H2">
        <v>2030</v>
      </c>
      <c r="I2">
        <v>2031</v>
      </c>
      <c r="J2">
        <v>2032</v>
      </c>
      <c r="K2">
        <v>2033</v>
      </c>
      <c r="L2">
        <v>2034</v>
      </c>
      <c r="M2">
        <v>2035</v>
      </c>
      <c r="N2">
        <v>2036</v>
      </c>
      <c r="O2">
        <v>2037</v>
      </c>
      <c r="P2">
        <v>2038</v>
      </c>
      <c r="Q2">
        <v>2039</v>
      </c>
      <c r="R2">
        <v>2040</v>
      </c>
      <c r="S2">
        <v>2041</v>
      </c>
      <c r="T2">
        <v>2042</v>
      </c>
      <c r="U2">
        <v>2043</v>
      </c>
      <c r="V2">
        <v>2044</v>
      </c>
      <c r="W2">
        <v>2045</v>
      </c>
      <c r="X2">
        <v>2046</v>
      </c>
      <c r="Y2">
        <v>2047</v>
      </c>
      <c r="Z2">
        <v>2048</v>
      </c>
      <c r="AA2">
        <v>2049</v>
      </c>
      <c r="AB2">
        <v>2050</v>
      </c>
    </row>
    <row r="3" spans="1:28" x14ac:dyDescent="0.3">
      <c r="A3" s="10" t="s">
        <v>76</v>
      </c>
      <c r="C3" s="9"/>
      <c r="D3" s="9"/>
      <c r="E3" s="9"/>
      <c r="F3" s="9"/>
      <c r="G3" s="9"/>
    </row>
    <row r="4" spans="1:28" x14ac:dyDescent="0.3">
      <c r="B4" s="10" t="s">
        <v>77</v>
      </c>
      <c r="C4">
        <v>0</v>
      </c>
      <c r="D4" s="3">
        <f>C6</f>
        <v>0</v>
      </c>
      <c r="E4" s="3">
        <f t="shared" ref="E4:AB4" si="0">D6</f>
        <v>50</v>
      </c>
      <c r="F4" s="3">
        <f t="shared" si="0"/>
        <v>110</v>
      </c>
      <c r="G4" s="3">
        <f t="shared" si="0"/>
        <v>150</v>
      </c>
      <c r="H4" s="3">
        <f t="shared" si="0"/>
        <v>150</v>
      </c>
      <c r="I4" s="3">
        <f t="shared" si="0"/>
        <v>150</v>
      </c>
      <c r="J4" s="3">
        <f t="shared" si="0"/>
        <v>150</v>
      </c>
      <c r="K4" s="3">
        <f t="shared" si="0"/>
        <v>150</v>
      </c>
      <c r="L4" s="3">
        <f t="shared" si="0"/>
        <v>150</v>
      </c>
      <c r="M4" s="3">
        <f t="shared" si="0"/>
        <v>150</v>
      </c>
      <c r="N4" s="3">
        <f t="shared" si="0"/>
        <v>150</v>
      </c>
      <c r="O4" s="3">
        <f t="shared" si="0"/>
        <v>150</v>
      </c>
      <c r="P4" s="3">
        <f t="shared" si="0"/>
        <v>150</v>
      </c>
      <c r="Q4" s="3">
        <f t="shared" si="0"/>
        <v>150</v>
      </c>
      <c r="R4" s="3">
        <f t="shared" si="0"/>
        <v>150</v>
      </c>
      <c r="S4" s="3">
        <f t="shared" si="0"/>
        <v>150</v>
      </c>
      <c r="T4" s="3">
        <f t="shared" si="0"/>
        <v>150</v>
      </c>
      <c r="U4" s="3">
        <f t="shared" si="0"/>
        <v>150</v>
      </c>
      <c r="V4" s="3">
        <f t="shared" si="0"/>
        <v>150</v>
      </c>
      <c r="W4" s="3">
        <f t="shared" si="0"/>
        <v>150</v>
      </c>
      <c r="X4" s="3">
        <f t="shared" si="0"/>
        <v>150</v>
      </c>
      <c r="Y4" s="3">
        <f t="shared" si="0"/>
        <v>150</v>
      </c>
      <c r="Z4" s="3">
        <f t="shared" si="0"/>
        <v>150</v>
      </c>
      <c r="AA4" s="3">
        <f t="shared" si="0"/>
        <v>150</v>
      </c>
      <c r="AB4" s="3">
        <f t="shared" si="0"/>
        <v>150</v>
      </c>
    </row>
    <row r="5" spans="1:28" x14ac:dyDescent="0.3">
      <c r="B5" s="10" t="s">
        <v>78</v>
      </c>
      <c r="C5" s="3">
        <f>'Vehicle Count'!C3</f>
        <v>0</v>
      </c>
      <c r="D5" s="3">
        <f>'Vehicle Count'!D3</f>
        <v>50</v>
      </c>
      <c r="E5" s="3">
        <f>'Vehicle Count'!E3</f>
        <v>60</v>
      </c>
      <c r="F5" s="3">
        <f>'Vehicle Count'!F3</f>
        <v>40</v>
      </c>
      <c r="G5" s="3">
        <f>'Vehicle Count'!G3</f>
        <v>0</v>
      </c>
      <c r="H5" s="3">
        <f>'Vehicle Count'!H3</f>
        <v>0</v>
      </c>
      <c r="I5" s="3">
        <f>'Vehicle Count'!I3</f>
        <v>0</v>
      </c>
      <c r="J5" s="3">
        <f>'Vehicle Count'!J3</f>
        <v>0</v>
      </c>
      <c r="K5" s="3">
        <f>'Vehicle Count'!K3</f>
        <v>0</v>
      </c>
      <c r="L5" s="3">
        <f>'Vehicle Count'!L3</f>
        <v>0</v>
      </c>
      <c r="M5" s="3">
        <f>'Vehicle Count'!M3</f>
        <v>0</v>
      </c>
      <c r="N5" s="3">
        <f>'Vehicle Count'!N3</f>
        <v>0</v>
      </c>
      <c r="O5" s="3">
        <f>'Vehicle Count'!O3</f>
        <v>0</v>
      </c>
      <c r="P5" s="3">
        <f>'Vehicle Count'!P3</f>
        <v>0</v>
      </c>
      <c r="Q5" s="3">
        <f>'Vehicle Count'!Q3</f>
        <v>0</v>
      </c>
      <c r="R5" s="3">
        <f>'Vehicle Count'!R3</f>
        <v>0</v>
      </c>
      <c r="S5" s="3">
        <f>'Vehicle Count'!S3</f>
        <v>0</v>
      </c>
      <c r="T5" s="3">
        <f>'Vehicle Count'!T3</f>
        <v>0</v>
      </c>
      <c r="U5" s="3">
        <f>'Vehicle Count'!U3</f>
        <v>0</v>
      </c>
      <c r="V5" s="3">
        <f>'Vehicle Count'!V3</f>
        <v>0</v>
      </c>
      <c r="W5" s="3">
        <f>'Vehicle Count'!W3</f>
        <v>0</v>
      </c>
      <c r="X5" s="3">
        <f>'Vehicle Count'!X3</f>
        <v>0</v>
      </c>
      <c r="Y5" s="3">
        <f>'Vehicle Count'!Y3</f>
        <v>0</v>
      </c>
      <c r="Z5" s="3">
        <f>'Vehicle Count'!Z3</f>
        <v>0</v>
      </c>
      <c r="AA5" s="3">
        <f>'Vehicle Count'!AA3</f>
        <v>0</v>
      </c>
      <c r="AB5" s="3">
        <f>'Vehicle Count'!AB3</f>
        <v>0</v>
      </c>
    </row>
    <row r="6" spans="1:28" x14ac:dyDescent="0.3">
      <c r="B6" s="10" t="s">
        <v>79</v>
      </c>
      <c r="C6">
        <f t="shared" ref="C6:AB6" si="1">SUM(C4:C5)</f>
        <v>0</v>
      </c>
      <c r="D6">
        <f t="shared" si="1"/>
        <v>50</v>
      </c>
      <c r="E6">
        <f t="shared" si="1"/>
        <v>110</v>
      </c>
      <c r="F6">
        <f t="shared" si="1"/>
        <v>150</v>
      </c>
      <c r="G6">
        <f t="shared" si="1"/>
        <v>150</v>
      </c>
      <c r="H6">
        <f t="shared" si="1"/>
        <v>150</v>
      </c>
      <c r="I6">
        <f t="shared" si="1"/>
        <v>150</v>
      </c>
      <c r="J6">
        <f t="shared" si="1"/>
        <v>150</v>
      </c>
      <c r="K6">
        <f t="shared" si="1"/>
        <v>150</v>
      </c>
      <c r="L6">
        <f t="shared" si="1"/>
        <v>150</v>
      </c>
      <c r="M6">
        <f t="shared" si="1"/>
        <v>150</v>
      </c>
      <c r="N6">
        <f t="shared" si="1"/>
        <v>150</v>
      </c>
      <c r="O6">
        <f t="shared" si="1"/>
        <v>150</v>
      </c>
      <c r="P6">
        <f t="shared" si="1"/>
        <v>150</v>
      </c>
      <c r="Q6">
        <f t="shared" si="1"/>
        <v>150</v>
      </c>
      <c r="R6">
        <f t="shared" si="1"/>
        <v>150</v>
      </c>
      <c r="S6">
        <f t="shared" si="1"/>
        <v>150</v>
      </c>
      <c r="T6">
        <f t="shared" si="1"/>
        <v>150</v>
      </c>
      <c r="U6">
        <f t="shared" si="1"/>
        <v>150</v>
      </c>
      <c r="V6">
        <f t="shared" si="1"/>
        <v>150</v>
      </c>
      <c r="W6">
        <f t="shared" si="1"/>
        <v>150</v>
      </c>
      <c r="X6">
        <f t="shared" si="1"/>
        <v>150</v>
      </c>
      <c r="Y6">
        <f t="shared" si="1"/>
        <v>150</v>
      </c>
      <c r="Z6">
        <f t="shared" si="1"/>
        <v>150</v>
      </c>
      <c r="AA6">
        <f t="shared" si="1"/>
        <v>150</v>
      </c>
      <c r="AB6">
        <f t="shared" si="1"/>
        <v>150</v>
      </c>
    </row>
    <row r="8" spans="1:28" x14ac:dyDescent="0.3">
      <c r="B8" s="10" t="s">
        <v>80</v>
      </c>
      <c r="C8" s="8">
        <v>0.85</v>
      </c>
    </row>
    <row r="10" spans="1:28" x14ac:dyDescent="0.3">
      <c r="B10" s="10" t="s">
        <v>81</v>
      </c>
      <c r="C10" s="3">
        <f>(C4+C6)/2*$C$8</f>
        <v>0</v>
      </c>
      <c r="D10" s="3">
        <f t="shared" ref="D10:AB10" si="2">(D4+D6)/2*$C$8</f>
        <v>21.25</v>
      </c>
      <c r="E10" s="3">
        <f t="shared" si="2"/>
        <v>68</v>
      </c>
      <c r="F10" s="3">
        <f t="shared" si="2"/>
        <v>110.5</v>
      </c>
      <c r="G10" s="3">
        <f t="shared" si="2"/>
        <v>127.5</v>
      </c>
      <c r="H10" s="3">
        <f t="shared" si="2"/>
        <v>127.5</v>
      </c>
      <c r="I10" s="3">
        <f t="shared" si="2"/>
        <v>127.5</v>
      </c>
      <c r="J10" s="3">
        <f t="shared" si="2"/>
        <v>127.5</v>
      </c>
      <c r="K10" s="3">
        <f t="shared" si="2"/>
        <v>127.5</v>
      </c>
      <c r="L10" s="3">
        <f t="shared" si="2"/>
        <v>127.5</v>
      </c>
      <c r="M10" s="3">
        <f t="shared" si="2"/>
        <v>127.5</v>
      </c>
      <c r="N10" s="3">
        <f t="shared" si="2"/>
        <v>127.5</v>
      </c>
      <c r="O10" s="3">
        <f t="shared" si="2"/>
        <v>127.5</v>
      </c>
      <c r="P10" s="3">
        <f t="shared" si="2"/>
        <v>127.5</v>
      </c>
      <c r="Q10" s="3">
        <f t="shared" si="2"/>
        <v>127.5</v>
      </c>
      <c r="R10" s="3">
        <f t="shared" si="2"/>
        <v>127.5</v>
      </c>
      <c r="S10" s="3">
        <f t="shared" si="2"/>
        <v>127.5</v>
      </c>
      <c r="T10" s="3">
        <f t="shared" si="2"/>
        <v>127.5</v>
      </c>
      <c r="U10" s="3">
        <f t="shared" si="2"/>
        <v>127.5</v>
      </c>
      <c r="V10" s="3">
        <f t="shared" si="2"/>
        <v>127.5</v>
      </c>
      <c r="W10" s="3">
        <f t="shared" si="2"/>
        <v>127.5</v>
      </c>
      <c r="X10" s="3">
        <f t="shared" si="2"/>
        <v>127.5</v>
      </c>
      <c r="Y10" s="3">
        <f t="shared" si="2"/>
        <v>127.5</v>
      </c>
      <c r="Z10" s="3">
        <f t="shared" si="2"/>
        <v>127.5</v>
      </c>
      <c r="AA10" s="3">
        <f t="shared" si="2"/>
        <v>127.5</v>
      </c>
      <c r="AB10" s="3">
        <f t="shared" si="2"/>
        <v>127.5</v>
      </c>
    </row>
    <row r="11" spans="1:28" ht="15" thickBot="1" x14ac:dyDescent="0.35"/>
    <row r="12" spans="1:28" x14ac:dyDescent="0.3">
      <c r="A12" s="10" t="s">
        <v>82</v>
      </c>
      <c r="B12" s="14">
        <v>30</v>
      </c>
      <c r="C12" s="15">
        <f>C5/2*$C$8*$B$12*12</f>
        <v>0</v>
      </c>
      <c r="D12">
        <f>(D5)/2*$C$8*$B$12*12</f>
        <v>7650</v>
      </c>
      <c r="E12">
        <f>(D5+E5)/2*$C$8*$B$12*12</f>
        <v>16830</v>
      </c>
      <c r="F12">
        <f>(E5+F5)/2*$C$8*$B$12*12</f>
        <v>15300</v>
      </c>
      <c r="G12">
        <f>(E5+F5+G5)/2*$C$8*$B$12*12</f>
        <v>15300</v>
      </c>
      <c r="H12">
        <f t="shared" ref="H12:AB12" si="3">(G5+H5)/2*$C$8*$B$12*12</f>
        <v>0</v>
      </c>
      <c r="I12">
        <f t="shared" si="3"/>
        <v>0</v>
      </c>
      <c r="J12">
        <f t="shared" si="3"/>
        <v>0</v>
      </c>
      <c r="K12">
        <f t="shared" si="3"/>
        <v>0</v>
      </c>
      <c r="L12">
        <f t="shared" si="3"/>
        <v>0</v>
      </c>
      <c r="M12">
        <f t="shared" si="3"/>
        <v>0</v>
      </c>
      <c r="N12">
        <f t="shared" si="3"/>
        <v>0</v>
      </c>
      <c r="O12">
        <f t="shared" si="3"/>
        <v>0</v>
      </c>
      <c r="P12">
        <f t="shared" si="3"/>
        <v>0</v>
      </c>
      <c r="Q12">
        <f t="shared" si="3"/>
        <v>0</v>
      </c>
      <c r="R12">
        <f t="shared" si="3"/>
        <v>0</v>
      </c>
      <c r="S12">
        <f t="shared" si="3"/>
        <v>0</v>
      </c>
      <c r="T12">
        <f t="shared" si="3"/>
        <v>0</v>
      </c>
      <c r="U12">
        <f t="shared" si="3"/>
        <v>0</v>
      </c>
      <c r="V12">
        <f t="shared" si="3"/>
        <v>0</v>
      </c>
      <c r="W12">
        <f t="shared" si="3"/>
        <v>0</v>
      </c>
      <c r="X12">
        <f t="shared" si="3"/>
        <v>0</v>
      </c>
      <c r="Y12">
        <f t="shared" si="3"/>
        <v>0</v>
      </c>
      <c r="Z12">
        <f t="shared" si="3"/>
        <v>0</v>
      </c>
      <c r="AA12">
        <f t="shared" si="3"/>
        <v>0</v>
      </c>
      <c r="AB12">
        <f t="shared" si="3"/>
        <v>0</v>
      </c>
    </row>
    <row r="13" spans="1:28" ht="15" thickBot="1" x14ac:dyDescent="0.35">
      <c r="B13" s="13">
        <v>45</v>
      </c>
      <c r="C13" s="16">
        <v>0</v>
      </c>
      <c r="D13" s="7">
        <f>C5/2*$C$8*$B$13*12</f>
        <v>0</v>
      </c>
      <c r="E13" s="7">
        <f>(C5+D5)/2*$C$8*$B$13*12</f>
        <v>11475</v>
      </c>
      <c r="F13" s="7">
        <f>(D5+E5)/2*$C$8*$B$13*12</f>
        <v>25245</v>
      </c>
      <c r="G13" s="7">
        <f>(D5+E5+F5)/2*$C$8*$B$13*12</f>
        <v>34425</v>
      </c>
      <c r="H13" s="7">
        <f>G6*$C$8*$B$13*12</f>
        <v>68850</v>
      </c>
      <c r="I13" s="7">
        <f t="shared" ref="I13:AB13" si="4">H6*$C$8*$B$13*12</f>
        <v>68850</v>
      </c>
      <c r="J13" s="7">
        <f t="shared" si="4"/>
        <v>68850</v>
      </c>
      <c r="K13" s="7">
        <f t="shared" si="4"/>
        <v>68850</v>
      </c>
      <c r="L13" s="7">
        <f t="shared" si="4"/>
        <v>68850</v>
      </c>
      <c r="M13" s="7">
        <f t="shared" si="4"/>
        <v>68850</v>
      </c>
      <c r="N13" s="7">
        <f t="shared" si="4"/>
        <v>68850</v>
      </c>
      <c r="O13" s="7">
        <f t="shared" si="4"/>
        <v>68850</v>
      </c>
      <c r="P13" s="7">
        <f t="shared" si="4"/>
        <v>68850</v>
      </c>
      <c r="Q13" s="7">
        <f t="shared" si="4"/>
        <v>68850</v>
      </c>
      <c r="R13" s="7">
        <f t="shared" si="4"/>
        <v>68850</v>
      </c>
      <c r="S13" s="7">
        <f t="shared" si="4"/>
        <v>68850</v>
      </c>
      <c r="T13" s="7">
        <f t="shared" si="4"/>
        <v>68850</v>
      </c>
      <c r="U13" s="7">
        <f t="shared" si="4"/>
        <v>68850</v>
      </c>
      <c r="V13" s="7">
        <f t="shared" si="4"/>
        <v>68850</v>
      </c>
      <c r="W13" s="7">
        <f t="shared" si="4"/>
        <v>68850</v>
      </c>
      <c r="X13" s="7">
        <f t="shared" si="4"/>
        <v>68850</v>
      </c>
      <c r="Y13" s="7">
        <f t="shared" si="4"/>
        <v>68850</v>
      </c>
      <c r="Z13" s="7">
        <f t="shared" si="4"/>
        <v>68850</v>
      </c>
      <c r="AA13" s="7">
        <f t="shared" si="4"/>
        <v>68850</v>
      </c>
      <c r="AB13" s="7">
        <f t="shared" si="4"/>
        <v>68850</v>
      </c>
    </row>
    <row r="14" spans="1:28" x14ac:dyDescent="0.3">
      <c r="A14" t="s">
        <v>83</v>
      </c>
      <c r="C14" s="3">
        <f t="shared" ref="C14:AB14" si="5">SUM(C12:C13)</f>
        <v>0</v>
      </c>
      <c r="D14" s="3">
        <f t="shared" si="5"/>
        <v>7650</v>
      </c>
      <c r="E14" s="3">
        <f t="shared" si="5"/>
        <v>28305</v>
      </c>
      <c r="F14" s="3">
        <f t="shared" si="5"/>
        <v>40545</v>
      </c>
      <c r="G14" s="3">
        <f t="shared" si="5"/>
        <v>49725</v>
      </c>
      <c r="H14" s="3">
        <f t="shared" si="5"/>
        <v>68850</v>
      </c>
      <c r="I14" s="3">
        <f t="shared" si="5"/>
        <v>68850</v>
      </c>
      <c r="J14" s="3">
        <f t="shared" si="5"/>
        <v>68850</v>
      </c>
      <c r="K14" s="3">
        <f t="shared" si="5"/>
        <v>68850</v>
      </c>
      <c r="L14" s="3">
        <f t="shared" si="5"/>
        <v>68850</v>
      </c>
      <c r="M14" s="3">
        <f t="shared" si="5"/>
        <v>68850</v>
      </c>
      <c r="N14" s="3">
        <f t="shared" si="5"/>
        <v>68850</v>
      </c>
      <c r="O14" s="3">
        <f t="shared" si="5"/>
        <v>68850</v>
      </c>
      <c r="P14" s="3">
        <f t="shared" si="5"/>
        <v>68850</v>
      </c>
      <c r="Q14" s="3">
        <f t="shared" si="5"/>
        <v>68850</v>
      </c>
      <c r="R14" s="3">
        <f t="shared" si="5"/>
        <v>68850</v>
      </c>
      <c r="S14" s="3">
        <f t="shared" si="5"/>
        <v>68850</v>
      </c>
      <c r="T14" s="3">
        <f t="shared" si="5"/>
        <v>68850</v>
      </c>
      <c r="U14" s="3">
        <f t="shared" si="5"/>
        <v>68850</v>
      </c>
      <c r="V14" s="3">
        <f t="shared" si="5"/>
        <v>68850</v>
      </c>
      <c r="W14" s="3">
        <f t="shared" si="5"/>
        <v>68850</v>
      </c>
      <c r="X14" s="3">
        <f t="shared" si="5"/>
        <v>68850</v>
      </c>
      <c r="Y14" s="3">
        <f t="shared" si="5"/>
        <v>68850</v>
      </c>
      <c r="Z14" s="3">
        <f t="shared" si="5"/>
        <v>68850</v>
      </c>
      <c r="AA14" s="3">
        <f t="shared" si="5"/>
        <v>68850</v>
      </c>
      <c r="AB14" s="3">
        <f t="shared" si="5"/>
        <v>68850</v>
      </c>
    </row>
  </sheetData>
  <mergeCells count="1">
    <mergeCell ref="B1:A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6A2C8-4A9A-4290-A348-E7E4C8EF967E}">
  <dimension ref="A1:AB46"/>
  <sheetViews>
    <sheetView workbookViewId="0">
      <selection activeCell="B7" sqref="B7"/>
    </sheetView>
  </sheetViews>
  <sheetFormatPr defaultColWidth="8.88671875" defaultRowHeight="14.4" x14ac:dyDescent="0.3"/>
  <cols>
    <col min="2" max="2" width="13" customWidth="1"/>
    <col min="3" max="3" width="12" customWidth="1"/>
    <col min="4" max="4" width="11.6640625" customWidth="1"/>
    <col min="5" max="5" width="10.44140625" customWidth="1"/>
    <col min="6" max="6" width="10.88671875" customWidth="1"/>
    <col min="7" max="7" width="10.44140625" customWidth="1"/>
    <col min="8" max="8" width="12.33203125" customWidth="1"/>
    <col min="9" max="9" width="12" customWidth="1"/>
    <col min="10" max="10" width="11.44140625" customWidth="1"/>
    <col min="11" max="11" width="11.33203125" customWidth="1"/>
  </cols>
  <sheetData>
    <row r="1" spans="1:28" s="11" customFormat="1" x14ac:dyDescent="0.3">
      <c r="C1" s="11">
        <v>2025</v>
      </c>
      <c r="D1" s="11">
        <v>2026</v>
      </c>
      <c r="E1" s="11">
        <v>2027</v>
      </c>
      <c r="F1" s="11">
        <v>2028</v>
      </c>
      <c r="G1" s="11">
        <v>2029</v>
      </c>
      <c r="H1" s="11">
        <v>2030</v>
      </c>
      <c r="I1" s="11">
        <v>2031</v>
      </c>
      <c r="J1" s="11">
        <v>2032</v>
      </c>
      <c r="K1" s="11">
        <v>2033</v>
      </c>
      <c r="L1" s="11">
        <v>2034</v>
      </c>
      <c r="M1" s="11">
        <v>2035</v>
      </c>
      <c r="N1" s="11">
        <v>2036</v>
      </c>
      <c r="O1" s="11">
        <v>2037</v>
      </c>
      <c r="P1" s="11">
        <v>2038</v>
      </c>
      <c r="Q1" s="11">
        <v>2039</v>
      </c>
      <c r="R1" s="11">
        <v>2040</v>
      </c>
      <c r="S1" s="11">
        <v>2041</v>
      </c>
      <c r="T1" s="11">
        <v>2042</v>
      </c>
      <c r="U1" s="11">
        <v>2043</v>
      </c>
      <c r="V1" s="11">
        <v>2044</v>
      </c>
      <c r="W1" s="11">
        <v>2045</v>
      </c>
      <c r="X1" s="11">
        <v>2046</v>
      </c>
      <c r="Y1" s="11">
        <v>2047</v>
      </c>
      <c r="Z1" s="11">
        <v>2048</v>
      </c>
      <c r="AA1" s="11">
        <v>2049</v>
      </c>
      <c r="AB1" s="11">
        <v>2050</v>
      </c>
    </row>
    <row r="2" spans="1:28" x14ac:dyDescent="0.3">
      <c r="A2" t="s">
        <v>85</v>
      </c>
      <c r="C2" s="62" t="s">
        <v>86</v>
      </c>
      <c r="D2" s="62"/>
      <c r="E2" s="62"/>
      <c r="F2" s="62"/>
      <c r="G2" s="62"/>
      <c r="H2" s="62"/>
      <c r="I2" s="62"/>
      <c r="J2" s="62"/>
      <c r="K2" s="62"/>
      <c r="L2" s="62"/>
      <c r="M2" s="62"/>
      <c r="N2" s="62"/>
      <c r="O2" s="62"/>
      <c r="P2" s="62"/>
      <c r="Q2" s="62"/>
      <c r="R2" s="62"/>
      <c r="S2" s="62"/>
      <c r="T2" s="62"/>
      <c r="U2" s="62"/>
      <c r="V2" s="62"/>
      <c r="W2" s="62"/>
      <c r="X2" s="62"/>
      <c r="Y2" s="62"/>
      <c r="Z2" s="62"/>
      <c r="AA2" s="62"/>
      <c r="AB2" s="62"/>
    </row>
    <row r="3" spans="1:28" x14ac:dyDescent="0.3">
      <c r="B3" s="10" t="s">
        <v>87</v>
      </c>
      <c r="C3" s="21">
        <f>'Vehicle Count'!C2</f>
        <v>200</v>
      </c>
      <c r="D3" s="21">
        <f>'Vehicle Count'!D2</f>
        <v>100</v>
      </c>
      <c r="E3" s="21">
        <f>'Vehicle Count'!E2</f>
        <v>0</v>
      </c>
      <c r="F3" s="21">
        <f>'Vehicle Count'!F2</f>
        <v>0</v>
      </c>
      <c r="G3" s="21">
        <f>'Vehicle Count'!G2</f>
        <v>0</v>
      </c>
      <c r="H3" s="21">
        <f>'Vehicle Count'!H2</f>
        <v>0</v>
      </c>
      <c r="I3" s="21">
        <f>'Vehicle Count'!I2</f>
        <v>0</v>
      </c>
      <c r="J3" s="21">
        <f>'Vehicle Count'!J2</f>
        <v>0</v>
      </c>
      <c r="K3" s="21">
        <f>'Vehicle Count'!K2</f>
        <v>0</v>
      </c>
      <c r="L3" s="21">
        <f>'Vehicle Count'!L2</f>
        <v>0</v>
      </c>
      <c r="M3" s="21">
        <f>'Vehicle Count'!M2</f>
        <v>0</v>
      </c>
      <c r="N3" s="21">
        <f>'Vehicle Count'!N2</f>
        <v>0</v>
      </c>
      <c r="O3" s="21">
        <f>'Vehicle Count'!O2</f>
        <v>0</v>
      </c>
      <c r="P3" s="21">
        <f>'Vehicle Count'!P2</f>
        <v>0</v>
      </c>
      <c r="Q3" s="21">
        <f>'Vehicle Count'!Q2</f>
        <v>0</v>
      </c>
      <c r="R3" s="21">
        <f>'Vehicle Count'!R2</f>
        <v>0</v>
      </c>
      <c r="S3" s="21">
        <f>'Vehicle Count'!S2</f>
        <v>0</v>
      </c>
      <c r="T3" s="21">
        <f>'Vehicle Count'!T2</f>
        <v>0</v>
      </c>
      <c r="U3" s="21">
        <f>'Vehicle Count'!U2</f>
        <v>0</v>
      </c>
      <c r="V3" s="21">
        <f>'Vehicle Count'!V2</f>
        <v>0</v>
      </c>
      <c r="W3" s="21">
        <f>'Vehicle Count'!W2</f>
        <v>0</v>
      </c>
      <c r="X3" s="21">
        <f>'Vehicle Count'!X2</f>
        <v>0</v>
      </c>
      <c r="Y3" s="21">
        <f>'Vehicle Count'!Y2</f>
        <v>0</v>
      </c>
      <c r="Z3" s="21">
        <f>'Vehicle Count'!Z2</f>
        <v>0</v>
      </c>
      <c r="AA3" s="21">
        <f>'Vehicle Count'!AA2</f>
        <v>0</v>
      </c>
      <c r="AB3" s="21">
        <f>'Vehicle Count'!AB2</f>
        <v>0</v>
      </c>
    </row>
    <row r="4" spans="1:28" ht="15" thickBot="1" x14ac:dyDescent="0.35">
      <c r="B4" s="10"/>
      <c r="C4" s="21"/>
      <c r="D4" s="21"/>
      <c r="E4" s="21"/>
      <c r="F4" s="21"/>
      <c r="G4" s="21"/>
      <c r="H4" s="21"/>
      <c r="I4" s="21"/>
      <c r="J4" s="21"/>
      <c r="K4" s="21"/>
      <c r="L4" s="21"/>
      <c r="M4" s="21"/>
      <c r="N4" s="21"/>
      <c r="O4" s="21"/>
      <c r="P4" s="21"/>
      <c r="Q4" s="21"/>
      <c r="R4" s="21"/>
      <c r="S4" s="21"/>
      <c r="T4" s="21"/>
      <c r="U4" s="21"/>
      <c r="V4" s="21"/>
      <c r="W4" s="21"/>
      <c r="X4" s="21"/>
      <c r="Y4" s="21"/>
      <c r="Z4" s="21"/>
      <c r="AA4" s="21"/>
      <c r="AB4" s="21"/>
    </row>
    <row r="5" spans="1:28" x14ac:dyDescent="0.3">
      <c r="A5" s="10" t="s">
        <v>88</v>
      </c>
      <c r="B5" s="22">
        <v>25</v>
      </c>
      <c r="C5" s="21">
        <f>C3/2*B5</f>
        <v>2500</v>
      </c>
      <c r="D5" s="21">
        <f>(C3+D3)/2*$B$5</f>
        <v>3750</v>
      </c>
      <c r="E5" s="21">
        <f>(D3+E3)/2*$B$5</f>
        <v>1250</v>
      </c>
      <c r="F5" s="21">
        <f>(E3+F3)/2*$B$5</f>
        <v>0</v>
      </c>
      <c r="G5" s="21">
        <f>(F3+G3)/2*$B$5</f>
        <v>0</v>
      </c>
      <c r="H5" s="21">
        <f>(G3+H3)/2*$B$5</f>
        <v>0</v>
      </c>
      <c r="I5" s="21">
        <f t="shared" ref="I5:AB5" si="0">(H3+I3)/2*$B$5</f>
        <v>0</v>
      </c>
      <c r="J5" s="21">
        <f t="shared" si="0"/>
        <v>0</v>
      </c>
      <c r="K5" s="21">
        <f t="shared" si="0"/>
        <v>0</v>
      </c>
      <c r="L5" s="21">
        <f t="shared" si="0"/>
        <v>0</v>
      </c>
      <c r="M5" s="21">
        <f t="shared" si="0"/>
        <v>0</v>
      </c>
      <c r="N5" s="21">
        <f t="shared" si="0"/>
        <v>0</v>
      </c>
      <c r="O5" s="21">
        <f t="shared" si="0"/>
        <v>0</v>
      </c>
      <c r="P5" s="21">
        <f t="shared" si="0"/>
        <v>0</v>
      </c>
      <c r="Q5" s="21">
        <f t="shared" si="0"/>
        <v>0</v>
      </c>
      <c r="R5" s="21">
        <f t="shared" si="0"/>
        <v>0</v>
      </c>
      <c r="S5" s="21">
        <f t="shared" si="0"/>
        <v>0</v>
      </c>
      <c r="T5" s="21">
        <f t="shared" si="0"/>
        <v>0</v>
      </c>
      <c r="U5" s="21">
        <f t="shared" si="0"/>
        <v>0</v>
      </c>
      <c r="V5" s="21">
        <f t="shared" si="0"/>
        <v>0</v>
      </c>
      <c r="W5" s="21">
        <f t="shared" si="0"/>
        <v>0</v>
      </c>
      <c r="X5" s="21">
        <f t="shared" si="0"/>
        <v>0</v>
      </c>
      <c r="Y5" s="21">
        <f t="shared" si="0"/>
        <v>0</v>
      </c>
      <c r="Z5" s="21">
        <f t="shared" si="0"/>
        <v>0</v>
      </c>
      <c r="AA5" s="21">
        <f t="shared" si="0"/>
        <v>0</v>
      </c>
      <c r="AB5" s="21">
        <f t="shared" si="0"/>
        <v>0</v>
      </c>
    </row>
    <row r="6" spans="1:28" x14ac:dyDescent="0.3">
      <c r="A6" s="10" t="s">
        <v>89</v>
      </c>
      <c r="B6" s="23">
        <v>15</v>
      </c>
      <c r="C6" s="21">
        <v>0</v>
      </c>
      <c r="D6" s="21">
        <f>C3/2*B6</f>
        <v>1500</v>
      </c>
      <c r="E6" s="21">
        <f>(C3+D3)/2*$B$6</f>
        <v>2250</v>
      </c>
      <c r="F6" s="21">
        <f>(D3+E3)/2*$B$6</f>
        <v>750</v>
      </c>
      <c r="G6" s="21">
        <f>(E3+F3)/2*$B$6</f>
        <v>0</v>
      </c>
      <c r="H6" s="21">
        <f>(F3+G3)/2*$B$6</f>
        <v>0</v>
      </c>
      <c r="I6" s="21">
        <f>(G3+H3)/2*$B$6</f>
        <v>0</v>
      </c>
      <c r="J6" s="21">
        <f t="shared" ref="J6:AB6" si="1">(H3+I3)/2*$B$6</f>
        <v>0</v>
      </c>
      <c r="K6" s="21">
        <f t="shared" si="1"/>
        <v>0</v>
      </c>
      <c r="L6" s="21">
        <f t="shared" si="1"/>
        <v>0</v>
      </c>
      <c r="M6" s="21">
        <f t="shared" si="1"/>
        <v>0</v>
      </c>
      <c r="N6" s="21">
        <f t="shared" si="1"/>
        <v>0</v>
      </c>
      <c r="O6" s="21">
        <f t="shared" si="1"/>
        <v>0</v>
      </c>
      <c r="P6" s="21">
        <f t="shared" si="1"/>
        <v>0</v>
      </c>
      <c r="Q6" s="21">
        <f t="shared" si="1"/>
        <v>0</v>
      </c>
      <c r="R6" s="21">
        <f t="shared" si="1"/>
        <v>0</v>
      </c>
      <c r="S6" s="21">
        <f t="shared" si="1"/>
        <v>0</v>
      </c>
      <c r="T6" s="21">
        <f t="shared" si="1"/>
        <v>0</v>
      </c>
      <c r="U6" s="21">
        <f t="shared" si="1"/>
        <v>0</v>
      </c>
      <c r="V6" s="21">
        <f t="shared" si="1"/>
        <v>0</v>
      </c>
      <c r="W6" s="21">
        <f t="shared" si="1"/>
        <v>0</v>
      </c>
      <c r="X6" s="21">
        <f t="shared" si="1"/>
        <v>0</v>
      </c>
      <c r="Y6" s="21">
        <f t="shared" si="1"/>
        <v>0</v>
      </c>
      <c r="Z6" s="21">
        <f t="shared" si="1"/>
        <v>0</v>
      </c>
      <c r="AA6" s="21">
        <f t="shared" si="1"/>
        <v>0</v>
      </c>
      <c r="AB6" s="21">
        <f t="shared" si="1"/>
        <v>0</v>
      </c>
    </row>
    <row r="7" spans="1:28" ht="15" thickBot="1" x14ac:dyDescent="0.35">
      <c r="A7" s="10" t="s">
        <v>90</v>
      </c>
      <c r="B7" s="24">
        <v>10</v>
      </c>
      <c r="C7" s="21">
        <v>0</v>
      </c>
      <c r="D7" s="21">
        <v>0</v>
      </c>
      <c r="E7" s="21">
        <f>C3/2*B7</f>
        <v>1000</v>
      </c>
      <c r="F7" s="21">
        <f>(C3+D3)/2*$B$7</f>
        <v>1500</v>
      </c>
      <c r="G7" s="21">
        <f>(D3+E3)/2*$B$7</f>
        <v>500</v>
      </c>
      <c r="H7" s="21">
        <f>(E3+F3)/2*$B$7</f>
        <v>0</v>
      </c>
      <c r="I7" s="21">
        <f>(F3+G3)/2*$B$7</f>
        <v>0</v>
      </c>
      <c r="J7" s="21">
        <f t="shared" ref="J7:AB7" si="2">H3*$B$7</f>
        <v>0</v>
      </c>
      <c r="K7" s="21">
        <f t="shared" si="2"/>
        <v>0</v>
      </c>
      <c r="L7" s="21">
        <f t="shared" si="2"/>
        <v>0</v>
      </c>
      <c r="M7" s="21">
        <f t="shared" si="2"/>
        <v>0</v>
      </c>
      <c r="N7" s="21">
        <f t="shared" si="2"/>
        <v>0</v>
      </c>
      <c r="O7" s="21">
        <f t="shared" si="2"/>
        <v>0</v>
      </c>
      <c r="P7" s="21">
        <f t="shared" si="2"/>
        <v>0</v>
      </c>
      <c r="Q7" s="21">
        <f t="shared" si="2"/>
        <v>0</v>
      </c>
      <c r="R7" s="21">
        <f t="shared" si="2"/>
        <v>0</v>
      </c>
      <c r="S7" s="21">
        <f t="shared" si="2"/>
        <v>0</v>
      </c>
      <c r="T7" s="21">
        <f t="shared" si="2"/>
        <v>0</v>
      </c>
      <c r="U7" s="21">
        <f t="shared" si="2"/>
        <v>0</v>
      </c>
      <c r="V7" s="21">
        <f t="shared" si="2"/>
        <v>0</v>
      </c>
      <c r="W7" s="21">
        <f t="shared" si="2"/>
        <v>0</v>
      </c>
      <c r="X7" s="21">
        <f t="shared" si="2"/>
        <v>0</v>
      </c>
      <c r="Y7" s="21">
        <f t="shared" si="2"/>
        <v>0</v>
      </c>
      <c r="Z7" s="21">
        <f t="shared" si="2"/>
        <v>0</v>
      </c>
      <c r="AA7" s="21">
        <f t="shared" si="2"/>
        <v>0</v>
      </c>
      <c r="AB7" s="21">
        <f t="shared" si="2"/>
        <v>0</v>
      </c>
    </row>
    <row r="8" spans="1:28" x14ac:dyDescent="0.3">
      <c r="A8" s="10"/>
      <c r="B8" s="10"/>
      <c r="C8" s="21"/>
      <c r="D8" s="21"/>
      <c r="E8" s="21"/>
      <c r="F8" s="21"/>
      <c r="G8" s="21"/>
      <c r="H8" s="21"/>
      <c r="I8" s="21"/>
      <c r="J8" s="21"/>
      <c r="K8" s="21"/>
      <c r="L8" s="21"/>
    </row>
    <row r="9" spans="1:28" x14ac:dyDescent="0.3">
      <c r="B9" s="10" t="s">
        <v>91</v>
      </c>
      <c r="C9" s="21">
        <f>SUM(C5:C7)</f>
        <v>2500</v>
      </c>
      <c r="D9" s="21">
        <f t="shared" ref="D9:K9" si="3">C9+SUM(D5:D7)</f>
        <v>7750</v>
      </c>
      <c r="E9" s="21">
        <f t="shared" si="3"/>
        <v>12250</v>
      </c>
      <c r="F9" s="21">
        <f t="shared" si="3"/>
        <v>14500</v>
      </c>
      <c r="G9" s="21">
        <f t="shared" si="3"/>
        <v>15000</v>
      </c>
      <c r="H9" s="21">
        <f t="shared" si="3"/>
        <v>15000</v>
      </c>
      <c r="I9" s="21">
        <f t="shared" si="3"/>
        <v>15000</v>
      </c>
      <c r="J9" s="21">
        <f t="shared" si="3"/>
        <v>15000</v>
      </c>
      <c r="K9" s="21">
        <f t="shared" si="3"/>
        <v>15000</v>
      </c>
      <c r="L9" s="21">
        <f t="shared" ref="L9:AB9" si="4">K9+SUM(L5:L7)</f>
        <v>15000</v>
      </c>
      <c r="M9" s="21">
        <f t="shared" si="4"/>
        <v>15000</v>
      </c>
      <c r="N9" s="21">
        <f t="shared" si="4"/>
        <v>15000</v>
      </c>
      <c r="O9" s="21">
        <f t="shared" si="4"/>
        <v>15000</v>
      </c>
      <c r="P9" s="21">
        <f t="shared" si="4"/>
        <v>15000</v>
      </c>
      <c r="Q9" s="21">
        <f t="shared" si="4"/>
        <v>15000</v>
      </c>
      <c r="R9" s="21">
        <f t="shared" si="4"/>
        <v>15000</v>
      </c>
      <c r="S9" s="21">
        <f t="shared" si="4"/>
        <v>15000</v>
      </c>
      <c r="T9" s="21">
        <f t="shared" si="4"/>
        <v>15000</v>
      </c>
      <c r="U9" s="21">
        <f t="shared" si="4"/>
        <v>15000</v>
      </c>
      <c r="V9" s="21">
        <f t="shared" si="4"/>
        <v>15000</v>
      </c>
      <c r="W9" s="21">
        <f t="shared" si="4"/>
        <v>15000</v>
      </c>
      <c r="X9" s="21">
        <f t="shared" si="4"/>
        <v>15000</v>
      </c>
      <c r="Y9" s="21">
        <f t="shared" si="4"/>
        <v>15000</v>
      </c>
      <c r="Z9" s="21">
        <f t="shared" si="4"/>
        <v>15000</v>
      </c>
      <c r="AA9" s="21">
        <f t="shared" si="4"/>
        <v>15000</v>
      </c>
      <c r="AB9" s="21">
        <f t="shared" si="4"/>
        <v>15000</v>
      </c>
    </row>
    <row r="10" spans="1:28" x14ac:dyDescent="0.3">
      <c r="B10" s="10"/>
    </row>
    <row r="11" spans="1:28" x14ac:dyDescent="0.3">
      <c r="A11" t="s">
        <v>92</v>
      </c>
      <c r="C11" s="62" t="s">
        <v>93</v>
      </c>
      <c r="D11" s="62"/>
      <c r="E11" s="62"/>
      <c r="F11" s="62"/>
      <c r="G11" s="62"/>
      <c r="H11" s="62"/>
      <c r="I11" s="62"/>
      <c r="J11" s="62"/>
      <c r="K11" s="62"/>
      <c r="L11" s="62"/>
      <c r="M11" s="62"/>
      <c r="N11" s="62"/>
      <c r="O11" s="62"/>
      <c r="P11" s="62"/>
      <c r="Q11" s="62"/>
      <c r="R11" s="62"/>
      <c r="S11" s="62"/>
      <c r="T11" s="62"/>
      <c r="U11" s="62"/>
      <c r="V11" s="62"/>
      <c r="W11" s="62"/>
      <c r="X11" s="62"/>
      <c r="Y11" s="62"/>
      <c r="Z11" s="62"/>
      <c r="AA11" s="62"/>
      <c r="AB11" s="62"/>
    </row>
    <row r="12" spans="1:28" x14ac:dyDescent="0.3">
      <c r="B12" s="10" t="s">
        <v>87</v>
      </c>
      <c r="C12" s="21">
        <f>'Vehicle Count'!C3</f>
        <v>0</v>
      </c>
      <c r="D12" s="21">
        <f>'Vehicle Count'!D3</f>
        <v>50</v>
      </c>
      <c r="E12" s="21">
        <f>'Vehicle Count'!E3</f>
        <v>60</v>
      </c>
      <c r="F12" s="21">
        <f>'Vehicle Count'!F3</f>
        <v>40</v>
      </c>
      <c r="G12" s="21">
        <f>'Vehicle Count'!G3</f>
        <v>0</v>
      </c>
      <c r="H12" s="21">
        <f>'Vehicle Count'!H3</f>
        <v>0</v>
      </c>
      <c r="I12" s="21">
        <f>'Vehicle Count'!I3</f>
        <v>0</v>
      </c>
      <c r="J12" s="21">
        <f>'Vehicle Count'!J3</f>
        <v>0</v>
      </c>
      <c r="K12" s="21">
        <f>'Vehicle Count'!K3</f>
        <v>0</v>
      </c>
      <c r="L12" s="21">
        <f>'Vehicle Count'!L3</f>
        <v>0</v>
      </c>
      <c r="M12" s="21">
        <f>'Vehicle Count'!M3</f>
        <v>0</v>
      </c>
      <c r="N12" s="21">
        <f>'Vehicle Count'!N3</f>
        <v>0</v>
      </c>
      <c r="O12" s="21">
        <f>'Vehicle Count'!O3</f>
        <v>0</v>
      </c>
      <c r="P12" s="21">
        <f>'Vehicle Count'!P3</f>
        <v>0</v>
      </c>
      <c r="Q12" s="21">
        <f>'Vehicle Count'!Q3</f>
        <v>0</v>
      </c>
      <c r="R12" s="21">
        <f>'Vehicle Count'!R3</f>
        <v>0</v>
      </c>
      <c r="S12" s="21">
        <f>'Vehicle Count'!S3</f>
        <v>0</v>
      </c>
      <c r="T12" s="21">
        <f>'Vehicle Count'!T3</f>
        <v>0</v>
      </c>
      <c r="U12" s="21">
        <f>'Vehicle Count'!U3</f>
        <v>0</v>
      </c>
      <c r="V12" s="21">
        <f>'Vehicle Count'!V3</f>
        <v>0</v>
      </c>
      <c r="W12" s="21">
        <f>'Vehicle Count'!W3</f>
        <v>0</v>
      </c>
      <c r="X12" s="21">
        <f>'Vehicle Count'!X3</f>
        <v>0</v>
      </c>
      <c r="Y12" s="21">
        <f>'Vehicle Count'!Y3</f>
        <v>0</v>
      </c>
      <c r="Z12" s="21">
        <f>'Vehicle Count'!Z3</f>
        <v>0</v>
      </c>
      <c r="AA12" s="21">
        <f>'Vehicle Count'!AA3</f>
        <v>0</v>
      </c>
      <c r="AB12" s="21">
        <f>'Vehicle Count'!AB3</f>
        <v>0</v>
      </c>
    </row>
    <row r="13" spans="1:28" ht="15" thickBot="1" x14ac:dyDescent="0.35">
      <c r="B13" s="10"/>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row>
    <row r="14" spans="1:28" x14ac:dyDescent="0.3">
      <c r="A14" s="10" t="s">
        <v>88</v>
      </c>
      <c r="B14" s="22">
        <v>25</v>
      </c>
      <c r="C14" s="21">
        <f>C12/2*B14</f>
        <v>0</v>
      </c>
      <c r="D14" s="21">
        <f>(C12+D12)/2*$B$5</f>
        <v>625</v>
      </c>
      <c r="E14" s="21">
        <f>(D12+E12)/2*$B$14</f>
        <v>1375</v>
      </c>
      <c r="F14" s="21">
        <f t="shared" ref="F14:G14" si="5">(E12+F12)/2*$B$14</f>
        <v>1250</v>
      </c>
      <c r="G14" s="21">
        <f t="shared" si="5"/>
        <v>500</v>
      </c>
      <c r="H14" s="21">
        <f>(G12+H12)/2*$B$5</f>
        <v>0</v>
      </c>
      <c r="I14" s="21">
        <f t="shared" ref="I14:AB14" si="6">(H12+I12)/2*$B$5</f>
        <v>0</v>
      </c>
      <c r="J14" s="21">
        <f t="shared" si="6"/>
        <v>0</v>
      </c>
      <c r="K14" s="21">
        <f t="shared" si="6"/>
        <v>0</v>
      </c>
      <c r="L14" s="21">
        <f t="shared" si="6"/>
        <v>0</v>
      </c>
      <c r="M14" s="21">
        <f t="shared" si="6"/>
        <v>0</v>
      </c>
      <c r="N14" s="21">
        <f t="shared" si="6"/>
        <v>0</v>
      </c>
      <c r="O14" s="21">
        <f t="shared" si="6"/>
        <v>0</v>
      </c>
      <c r="P14" s="21">
        <f t="shared" si="6"/>
        <v>0</v>
      </c>
      <c r="Q14" s="21">
        <f t="shared" si="6"/>
        <v>0</v>
      </c>
      <c r="R14" s="21">
        <f t="shared" si="6"/>
        <v>0</v>
      </c>
      <c r="S14" s="21">
        <f t="shared" si="6"/>
        <v>0</v>
      </c>
      <c r="T14" s="21">
        <f t="shared" si="6"/>
        <v>0</v>
      </c>
      <c r="U14" s="21">
        <f t="shared" si="6"/>
        <v>0</v>
      </c>
      <c r="V14" s="21">
        <f t="shared" si="6"/>
        <v>0</v>
      </c>
      <c r="W14" s="21">
        <f t="shared" si="6"/>
        <v>0</v>
      </c>
      <c r="X14" s="21">
        <f t="shared" si="6"/>
        <v>0</v>
      </c>
      <c r="Y14" s="21">
        <f t="shared" si="6"/>
        <v>0</v>
      </c>
      <c r="Z14" s="21">
        <f t="shared" si="6"/>
        <v>0</v>
      </c>
      <c r="AA14" s="21">
        <f t="shared" si="6"/>
        <v>0</v>
      </c>
      <c r="AB14" s="21">
        <f t="shared" si="6"/>
        <v>0</v>
      </c>
    </row>
    <row r="15" spans="1:28" x14ac:dyDescent="0.3">
      <c r="A15" s="10" t="s">
        <v>89</v>
      </c>
      <c r="B15" s="23">
        <v>15</v>
      </c>
      <c r="C15" s="21">
        <v>0</v>
      </c>
      <c r="D15" s="21">
        <f>C12/2*B15</f>
        <v>0</v>
      </c>
      <c r="E15" s="21">
        <f>(C12+D12)/2*$B$6</f>
        <v>375</v>
      </c>
      <c r="F15" s="21">
        <f>(D12+E12)/2*$B$15</f>
        <v>825</v>
      </c>
      <c r="G15" s="21">
        <f t="shared" ref="G15:H15" si="7">(E12+F12)/2*$B$15</f>
        <v>750</v>
      </c>
      <c r="H15" s="21">
        <f t="shared" si="7"/>
        <v>300</v>
      </c>
      <c r="I15" s="21">
        <f>(G12+H12)/2*$B$6</f>
        <v>0</v>
      </c>
      <c r="J15" s="21">
        <f t="shared" ref="J15" si="8">(H12+I12)/2*$B$6</f>
        <v>0</v>
      </c>
      <c r="K15" s="21">
        <f t="shared" ref="K15" si="9">(I12+J12)/2*$B$6</f>
        <v>0</v>
      </c>
      <c r="L15" s="21">
        <f t="shared" ref="L15" si="10">(J12+K12)/2*$B$6</f>
        <v>0</v>
      </c>
      <c r="M15" s="21">
        <f t="shared" ref="M15" si="11">(K12+L12)/2*$B$6</f>
        <v>0</v>
      </c>
      <c r="N15" s="21">
        <f t="shared" ref="N15" si="12">(L12+M12)/2*$B$6</f>
        <v>0</v>
      </c>
      <c r="O15" s="21">
        <f t="shared" ref="O15" si="13">(M12+N12)/2*$B$6</f>
        <v>0</v>
      </c>
      <c r="P15" s="21">
        <f t="shared" ref="P15" si="14">(N12+O12)/2*$B$6</f>
        <v>0</v>
      </c>
      <c r="Q15" s="21">
        <f t="shared" ref="Q15" si="15">(O12+P12)/2*$B$6</f>
        <v>0</v>
      </c>
      <c r="R15" s="21">
        <f t="shared" ref="R15" si="16">(P12+Q12)/2*$B$6</f>
        <v>0</v>
      </c>
      <c r="S15" s="21">
        <f t="shared" ref="S15" si="17">(Q12+R12)/2*$B$6</f>
        <v>0</v>
      </c>
      <c r="T15" s="21">
        <f t="shared" ref="T15" si="18">(R12+S12)/2*$B$6</f>
        <v>0</v>
      </c>
      <c r="U15" s="21">
        <f t="shared" ref="U15" si="19">(S12+T12)/2*$B$6</f>
        <v>0</v>
      </c>
      <c r="V15" s="21">
        <f t="shared" ref="V15" si="20">(T12+U12)/2*$B$6</f>
        <v>0</v>
      </c>
      <c r="W15" s="21">
        <f t="shared" ref="W15" si="21">(U12+V12)/2*$B$6</f>
        <v>0</v>
      </c>
      <c r="X15" s="21">
        <f t="shared" ref="X15" si="22">(V12+W12)/2*$B$6</f>
        <v>0</v>
      </c>
      <c r="Y15" s="21">
        <f t="shared" ref="Y15" si="23">(W12+X12)/2*$B$6</f>
        <v>0</v>
      </c>
      <c r="Z15" s="21">
        <f t="shared" ref="Z15" si="24">(X12+Y12)/2*$B$6</f>
        <v>0</v>
      </c>
      <c r="AA15" s="21">
        <f t="shared" ref="AA15" si="25">(Y12+Z12)/2*$B$6</f>
        <v>0</v>
      </c>
      <c r="AB15" s="21">
        <f t="shared" ref="AB15" si="26">(Z12+AA12)/2*$B$6</f>
        <v>0</v>
      </c>
    </row>
    <row r="16" spans="1:28" ht="15" thickBot="1" x14ac:dyDescent="0.35">
      <c r="A16" s="10" t="s">
        <v>90</v>
      </c>
      <c r="B16" s="24">
        <v>10</v>
      </c>
      <c r="C16" s="21">
        <v>0</v>
      </c>
      <c r="D16" s="21">
        <v>0</v>
      </c>
      <c r="E16" s="21">
        <f>C12/2*B16</f>
        <v>0</v>
      </c>
      <c r="F16" s="21">
        <f>(C12+D12)/2*$B$7</f>
        <v>250</v>
      </c>
      <c r="G16" s="21">
        <f>(D12+E12)/2*$B$16</f>
        <v>550</v>
      </c>
      <c r="H16" s="21">
        <f t="shared" ref="H16:I16" si="27">(E12+F12)/2*$B$16</f>
        <v>500</v>
      </c>
      <c r="I16" s="21">
        <f t="shared" si="27"/>
        <v>200</v>
      </c>
      <c r="J16" s="21">
        <f t="shared" ref="J16:AB16" si="28">H12*$B$7</f>
        <v>0</v>
      </c>
      <c r="K16" s="21">
        <f t="shared" si="28"/>
        <v>0</v>
      </c>
      <c r="L16" s="21">
        <f t="shared" si="28"/>
        <v>0</v>
      </c>
      <c r="M16" s="21">
        <f t="shared" si="28"/>
        <v>0</v>
      </c>
      <c r="N16" s="21">
        <f t="shared" si="28"/>
        <v>0</v>
      </c>
      <c r="O16" s="21">
        <f t="shared" si="28"/>
        <v>0</v>
      </c>
      <c r="P16" s="21">
        <f t="shared" si="28"/>
        <v>0</v>
      </c>
      <c r="Q16" s="21">
        <f t="shared" si="28"/>
        <v>0</v>
      </c>
      <c r="R16" s="21">
        <f t="shared" si="28"/>
        <v>0</v>
      </c>
      <c r="S16" s="21">
        <f t="shared" si="28"/>
        <v>0</v>
      </c>
      <c r="T16" s="21">
        <f t="shared" si="28"/>
        <v>0</v>
      </c>
      <c r="U16" s="21">
        <f t="shared" si="28"/>
        <v>0</v>
      </c>
      <c r="V16" s="21">
        <f t="shared" si="28"/>
        <v>0</v>
      </c>
      <c r="W16" s="21">
        <f t="shared" si="28"/>
        <v>0</v>
      </c>
      <c r="X16" s="21">
        <f t="shared" si="28"/>
        <v>0</v>
      </c>
      <c r="Y16" s="21">
        <f t="shared" si="28"/>
        <v>0</v>
      </c>
      <c r="Z16" s="21">
        <f t="shared" si="28"/>
        <v>0</v>
      </c>
      <c r="AA16" s="21">
        <f t="shared" si="28"/>
        <v>0</v>
      </c>
      <c r="AB16" s="21">
        <f t="shared" si="28"/>
        <v>0</v>
      </c>
    </row>
    <row r="17" spans="1:28" x14ac:dyDescent="0.3">
      <c r="A17" s="10"/>
      <c r="B17" s="10"/>
      <c r="C17" s="21"/>
      <c r="D17" s="21"/>
      <c r="E17" s="21"/>
      <c r="F17" s="21"/>
      <c r="G17" s="21"/>
      <c r="H17" s="21"/>
      <c r="I17" s="21"/>
      <c r="J17" s="21"/>
      <c r="K17" s="21"/>
      <c r="L17" s="21"/>
    </row>
    <row r="18" spans="1:28" x14ac:dyDescent="0.3">
      <c r="B18" s="10" t="s">
        <v>91</v>
      </c>
      <c r="C18" s="21">
        <f>SUM(C14:C16)</f>
        <v>0</v>
      </c>
      <c r="D18" s="21">
        <f t="shared" ref="D18:K18" si="29">C18+SUM(D14:D16)</f>
        <v>625</v>
      </c>
      <c r="E18" s="21">
        <f t="shared" si="29"/>
        <v>2375</v>
      </c>
      <c r="F18" s="21">
        <f t="shared" si="29"/>
        <v>4700</v>
      </c>
      <c r="G18" s="21">
        <f t="shared" si="29"/>
        <v>6500</v>
      </c>
      <c r="H18" s="21">
        <f t="shared" si="29"/>
        <v>7300</v>
      </c>
      <c r="I18" s="21">
        <f t="shared" si="29"/>
        <v>7500</v>
      </c>
      <c r="J18" s="21">
        <f t="shared" si="29"/>
        <v>7500</v>
      </c>
      <c r="K18" s="21">
        <f t="shared" si="29"/>
        <v>7500</v>
      </c>
      <c r="L18" s="21">
        <f t="shared" ref="L18:AB18" si="30">K18+SUM(L14:L16)</f>
        <v>7500</v>
      </c>
      <c r="M18" s="21">
        <f t="shared" si="30"/>
        <v>7500</v>
      </c>
      <c r="N18" s="21">
        <f t="shared" si="30"/>
        <v>7500</v>
      </c>
      <c r="O18" s="21">
        <f t="shared" si="30"/>
        <v>7500</v>
      </c>
      <c r="P18" s="21">
        <f t="shared" si="30"/>
        <v>7500</v>
      </c>
      <c r="Q18" s="21">
        <f t="shared" si="30"/>
        <v>7500</v>
      </c>
      <c r="R18" s="21">
        <f t="shared" si="30"/>
        <v>7500</v>
      </c>
      <c r="S18" s="21">
        <f t="shared" si="30"/>
        <v>7500</v>
      </c>
      <c r="T18" s="21">
        <f t="shared" si="30"/>
        <v>7500</v>
      </c>
      <c r="U18" s="21">
        <f t="shared" si="30"/>
        <v>7500</v>
      </c>
      <c r="V18" s="21">
        <f t="shared" si="30"/>
        <v>7500</v>
      </c>
      <c r="W18" s="21">
        <f t="shared" si="30"/>
        <v>7500</v>
      </c>
      <c r="X18" s="21">
        <f t="shared" si="30"/>
        <v>7500</v>
      </c>
      <c r="Y18" s="21">
        <f t="shared" si="30"/>
        <v>7500</v>
      </c>
      <c r="Z18" s="21">
        <f t="shared" si="30"/>
        <v>7500</v>
      </c>
      <c r="AA18" s="21">
        <f t="shared" si="30"/>
        <v>7500</v>
      </c>
      <c r="AB18" s="21">
        <f t="shared" si="30"/>
        <v>7500</v>
      </c>
    </row>
    <row r="20" spans="1:28" x14ac:dyDescent="0.3">
      <c r="A20" s="4" t="s">
        <v>94</v>
      </c>
      <c r="C20" s="19">
        <f>SUM(C9+C18)</f>
        <v>2500</v>
      </c>
      <c r="D20" s="19">
        <f>SUM(D9+D18)</f>
        <v>8375</v>
      </c>
      <c r="E20" s="19">
        <f t="shared" ref="E20:AB20" si="31">SUM(E9+E18)</f>
        <v>14625</v>
      </c>
      <c r="F20" s="19">
        <f t="shared" si="31"/>
        <v>19200</v>
      </c>
      <c r="G20" s="19">
        <f t="shared" si="31"/>
        <v>21500</v>
      </c>
      <c r="H20" s="19">
        <f t="shared" si="31"/>
        <v>22300</v>
      </c>
      <c r="I20" s="19">
        <f t="shared" si="31"/>
        <v>22500</v>
      </c>
      <c r="J20" s="19">
        <f t="shared" si="31"/>
        <v>22500</v>
      </c>
      <c r="K20" s="19">
        <f t="shared" si="31"/>
        <v>22500</v>
      </c>
      <c r="L20" s="19">
        <f t="shared" si="31"/>
        <v>22500</v>
      </c>
      <c r="M20" s="19">
        <f t="shared" si="31"/>
        <v>22500</v>
      </c>
      <c r="N20" s="19">
        <f t="shared" si="31"/>
        <v>22500</v>
      </c>
      <c r="O20" s="19">
        <f t="shared" si="31"/>
        <v>22500</v>
      </c>
      <c r="P20" s="19">
        <f t="shared" si="31"/>
        <v>22500</v>
      </c>
      <c r="Q20" s="19">
        <f t="shared" si="31"/>
        <v>22500</v>
      </c>
      <c r="R20" s="19">
        <f t="shared" si="31"/>
        <v>22500</v>
      </c>
      <c r="S20" s="19">
        <f t="shared" si="31"/>
        <v>22500</v>
      </c>
      <c r="T20" s="19">
        <f t="shared" si="31"/>
        <v>22500</v>
      </c>
      <c r="U20" s="19">
        <f t="shared" si="31"/>
        <v>22500</v>
      </c>
      <c r="V20" s="19">
        <f t="shared" si="31"/>
        <v>22500</v>
      </c>
      <c r="W20" s="19">
        <f t="shared" si="31"/>
        <v>22500</v>
      </c>
      <c r="X20" s="19">
        <f t="shared" si="31"/>
        <v>22500</v>
      </c>
      <c r="Y20" s="19">
        <f t="shared" si="31"/>
        <v>22500</v>
      </c>
      <c r="Z20" s="19">
        <f t="shared" si="31"/>
        <v>22500</v>
      </c>
      <c r="AA20" s="19">
        <f t="shared" si="31"/>
        <v>22500</v>
      </c>
      <c r="AB20" s="19">
        <f t="shared" si="31"/>
        <v>22500</v>
      </c>
    </row>
    <row r="27" spans="1:28" x14ac:dyDescent="0.3">
      <c r="C27" s="19"/>
      <c r="D27" s="19"/>
      <c r="E27" s="19"/>
      <c r="F27" s="19"/>
      <c r="G27" s="19"/>
      <c r="H27" s="19"/>
    </row>
    <row r="28" spans="1:28" x14ac:dyDescent="0.3">
      <c r="H28" s="19"/>
    </row>
    <row r="29" spans="1:28" x14ac:dyDescent="0.3">
      <c r="C29" s="19"/>
      <c r="D29" s="19"/>
      <c r="E29" s="19"/>
      <c r="F29" s="19"/>
      <c r="G29" s="19"/>
      <c r="H29" s="19"/>
    </row>
    <row r="31" spans="1:28" x14ac:dyDescent="0.3">
      <c r="C31" s="19"/>
      <c r="D31" s="19"/>
      <c r="E31" s="19"/>
      <c r="F31" s="19"/>
      <c r="G31" s="19"/>
      <c r="H31" s="19"/>
    </row>
    <row r="33" spans="3:8" x14ac:dyDescent="0.3">
      <c r="C33" s="19"/>
      <c r="D33" s="19"/>
      <c r="E33" s="19"/>
      <c r="F33" s="19"/>
      <c r="G33" s="19"/>
      <c r="H33" s="19"/>
    </row>
    <row r="35" spans="3:8" x14ac:dyDescent="0.3">
      <c r="C35" s="19"/>
      <c r="D35" s="19"/>
      <c r="E35" s="19"/>
      <c r="F35" s="19"/>
      <c r="G35" s="19"/>
      <c r="H35" s="19"/>
    </row>
    <row r="38" spans="3:8" x14ac:dyDescent="0.3">
      <c r="C38" s="17"/>
      <c r="D38" s="17"/>
      <c r="E38" s="17"/>
      <c r="F38" s="17"/>
      <c r="G38" s="17"/>
      <c r="H38" s="17"/>
    </row>
    <row r="39" spans="3:8" x14ac:dyDescent="0.3">
      <c r="C39" s="18"/>
      <c r="D39" s="18"/>
    </row>
    <row r="40" spans="3:8" x14ac:dyDescent="0.3">
      <c r="C40" s="17"/>
      <c r="D40" s="17"/>
      <c r="E40" s="17"/>
      <c r="F40" s="17"/>
      <c r="G40" s="17"/>
      <c r="H40" s="17"/>
    </row>
    <row r="42" spans="3:8" x14ac:dyDescent="0.3">
      <c r="C42" s="17"/>
      <c r="D42" s="17"/>
      <c r="E42" s="17"/>
      <c r="F42" s="17"/>
      <c r="G42" s="17"/>
      <c r="H42" s="17"/>
    </row>
    <row r="44" spans="3:8" x14ac:dyDescent="0.3">
      <c r="C44" s="17"/>
      <c r="D44" s="17"/>
      <c r="E44" s="17"/>
      <c r="F44" s="17"/>
      <c r="G44" s="17"/>
      <c r="H44" s="17"/>
    </row>
    <row r="46" spans="3:8" x14ac:dyDescent="0.3">
      <c r="C46" s="17"/>
      <c r="D46" s="17"/>
      <c r="E46" s="17"/>
      <c r="F46" s="17"/>
      <c r="G46" s="17"/>
      <c r="H46" s="17"/>
    </row>
  </sheetData>
  <mergeCells count="2">
    <mergeCell ref="C2:AB2"/>
    <mergeCell ref="C11:AB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4CE41-7E11-E647-9EB9-6F640ACA696C}">
  <dimension ref="A1:AA5"/>
  <sheetViews>
    <sheetView workbookViewId="0">
      <selection activeCell="A37" sqref="A37"/>
    </sheetView>
  </sheetViews>
  <sheetFormatPr defaultColWidth="11.44140625" defaultRowHeight="14.4" x14ac:dyDescent="0.3"/>
  <cols>
    <col min="1" max="1" width="50.109375" customWidth="1"/>
    <col min="2" max="27" width="16.109375" customWidth="1"/>
  </cols>
  <sheetData>
    <row r="1" spans="1:27" x14ac:dyDescent="0.3">
      <c r="B1">
        <v>2025</v>
      </c>
      <c r="C1">
        <v>2026</v>
      </c>
      <c r="D1">
        <v>2027</v>
      </c>
      <c r="E1">
        <v>2028</v>
      </c>
      <c r="F1">
        <v>2029</v>
      </c>
      <c r="G1">
        <v>2030</v>
      </c>
      <c r="H1">
        <v>2031</v>
      </c>
      <c r="I1">
        <v>2032</v>
      </c>
      <c r="J1">
        <v>2033</v>
      </c>
      <c r="K1">
        <v>2034</v>
      </c>
      <c r="L1">
        <v>2035</v>
      </c>
      <c r="M1">
        <v>2036</v>
      </c>
      <c r="N1">
        <v>2037</v>
      </c>
      <c r="O1">
        <v>2038</v>
      </c>
      <c r="P1">
        <v>2039</v>
      </c>
      <c r="Q1">
        <v>2040</v>
      </c>
      <c r="R1">
        <v>2041</v>
      </c>
      <c r="S1">
        <v>2042</v>
      </c>
      <c r="T1">
        <v>2043</v>
      </c>
      <c r="U1">
        <v>2044</v>
      </c>
      <c r="V1">
        <v>2045</v>
      </c>
      <c r="W1">
        <v>2046</v>
      </c>
      <c r="X1">
        <v>2047</v>
      </c>
      <c r="Y1">
        <v>2048</v>
      </c>
      <c r="Z1">
        <v>2049</v>
      </c>
      <c r="AA1">
        <v>2050</v>
      </c>
    </row>
    <row r="2" spans="1:27" x14ac:dyDescent="0.3">
      <c r="A2" s="4" t="s">
        <v>95</v>
      </c>
      <c r="B2" s="17">
        <f>Assumptions!B13</f>
        <v>3881935368</v>
      </c>
      <c r="C2" s="17">
        <f>B2*(1+Assumptions!$B$14)</f>
        <v>3905226980.2080002</v>
      </c>
      <c r="D2" s="17">
        <f>C2*(1+Assumptions!$B$14)</f>
        <v>3928658342.0892482</v>
      </c>
      <c r="E2" s="17">
        <f>D2*(1+Assumptions!$B$14)</f>
        <v>3952230292.1417837</v>
      </c>
      <c r="F2" s="17">
        <f>E2*(1+Assumptions!$B$14)</f>
        <v>3975943673.8946342</v>
      </c>
      <c r="G2" s="17">
        <f>F2*(1+Assumptions!$B$14)</f>
        <v>3999799335.9380021</v>
      </c>
      <c r="H2" s="17">
        <f>G2*(1+Assumptions!$B$14)</f>
        <v>4023798131.95363</v>
      </c>
      <c r="I2" s="17">
        <f>H2*(1+Assumptions!$B$14)</f>
        <v>4047940920.7453518</v>
      </c>
      <c r="J2" s="17">
        <f>I2*(1+Assumptions!$B$14)</f>
        <v>4072228566.269824</v>
      </c>
      <c r="K2" s="17">
        <f>J2*(1+Assumptions!$B$14)</f>
        <v>4096661937.6674428</v>
      </c>
      <c r="L2" s="17">
        <f>K2*(1+Assumptions!$B$14)</f>
        <v>4121241909.2934475</v>
      </c>
      <c r="M2" s="17">
        <f>L2*(1+Assumptions!$B$14)</f>
        <v>4145969360.749208</v>
      </c>
      <c r="N2" s="17">
        <f>M2*(1+Assumptions!$B$14)</f>
        <v>4170845176.9137034</v>
      </c>
      <c r="O2" s="17">
        <f>N2*(1+Assumptions!$B$14)</f>
        <v>4195870247.9751859</v>
      </c>
      <c r="P2" s="17">
        <f>O2*(1+Assumptions!$B$14)</f>
        <v>4221045469.463037</v>
      </c>
      <c r="Q2" s="17">
        <f>P2*(1+Assumptions!$B$14)</f>
        <v>4246371742.2798152</v>
      </c>
      <c r="R2" s="17">
        <f>Q2*(1+Assumptions!$B$14)</f>
        <v>4271849972.7334943</v>
      </c>
      <c r="S2" s="17">
        <f>R2*(1+Assumptions!$B$14)</f>
        <v>4297481072.5698957</v>
      </c>
      <c r="T2" s="17">
        <f>S2*(1+Assumptions!$B$14)</f>
        <v>4323265959.0053148</v>
      </c>
      <c r="U2" s="17">
        <f>T2*(1+Assumptions!$B$14)</f>
        <v>4349205554.759347</v>
      </c>
      <c r="V2" s="17">
        <f>U2*(1+Assumptions!$B$14)</f>
        <v>4375300788.087903</v>
      </c>
      <c r="W2" s="17">
        <f>V2*(1+Assumptions!$B$14)</f>
        <v>4401552592.8164301</v>
      </c>
      <c r="X2" s="17">
        <f>W2*(1+Assumptions!$B$14)</f>
        <v>4427961908.3733292</v>
      </c>
      <c r="Y2" s="17">
        <f>X2*(1+Assumptions!$B$14)</f>
        <v>4454529679.8235693</v>
      </c>
      <c r="Z2" s="17">
        <f>Y2*(1+Assumptions!$B$14)</f>
        <v>4481256857.9025106</v>
      </c>
      <c r="AA2" s="17">
        <f>Z2*(1+Assumptions!$B$14)</f>
        <v>4508144399.0499258</v>
      </c>
    </row>
    <row r="3" spans="1:27" x14ac:dyDescent="0.3">
      <c r="A3" t="s">
        <v>6</v>
      </c>
      <c r="B3" s="26">
        <f>B2*'Carbon Intensity of Fuels'!B7</f>
        <v>1549517.0481488332</v>
      </c>
      <c r="C3" s="26">
        <f>C2*'Carbon Intensity of Fuels'!C7</f>
        <v>1543226.008933349</v>
      </c>
      <c r="D3" s="26">
        <f>D2*'Carbon Intensity of Fuels'!D7</f>
        <v>1536803.6946335456</v>
      </c>
      <c r="E3" s="26">
        <f>E2*'Carbon Intensity of Fuels'!E7</f>
        <v>1530248.7564258229</v>
      </c>
      <c r="F3" s="26">
        <f>F2*'Carbon Intensity of Fuels'!F7</f>
        <v>1523559.8340266007</v>
      </c>
      <c r="G3" s="26">
        <f>G2*'Carbon Intensity of Fuels'!G7</f>
        <v>1516735.5556033563</v>
      </c>
      <c r="H3" s="26">
        <f>H2*'Carbon Intensity of Fuels'!H7</f>
        <v>1509774.5376850083</v>
      </c>
      <c r="I3" s="26">
        <f>I2*'Carbon Intensity of Fuels'!I7</f>
        <v>1502675.3850716383</v>
      </c>
      <c r="J3" s="26">
        <f>J2*'Carbon Intensity of Fuels'!J7</f>
        <v>1495436.6907435511</v>
      </c>
      <c r="K3" s="26">
        <f>K2*'Carbon Intensity of Fuels'!K7</f>
        <v>1488057.0357696644</v>
      </c>
      <c r="L3" s="26">
        <f>L2*'Carbon Intensity of Fuels'!L7</f>
        <v>1480534.9892152243</v>
      </c>
      <c r="M3" s="26">
        <f>M2*'Carbon Intensity of Fuels'!M7</f>
        <v>1472869.1080488432</v>
      </c>
      <c r="N3" s="26">
        <f>N2*'Carbon Intensity of Fuels'!N7</f>
        <v>1465057.9370488538</v>
      </c>
      <c r="O3" s="26">
        <f>O2*'Carbon Intensity of Fuels'!O7</f>
        <v>1457100.0087089748</v>
      </c>
      <c r="P3" s="26">
        <f>P2*'Carbon Intensity of Fuels'!P7</f>
        <v>1448993.8431432834</v>
      </c>
      <c r="Q3" s="26">
        <f>Q2*'Carbon Intensity of Fuels'!Q7</f>
        <v>1440737.9479904901</v>
      </c>
      <c r="R3" s="26">
        <f>R2*'Carbon Intensity of Fuels'!R7</f>
        <v>1423805.039637049</v>
      </c>
      <c r="S3" s="26">
        <f>S2*'Carbon Intensity of Fuels'!S7</f>
        <v>1406617.0698172392</v>
      </c>
      <c r="T3" s="26">
        <f>T2*'Carbon Intensity of Fuels'!T7</f>
        <v>1389171.5873781643</v>
      </c>
      <c r="U3" s="26">
        <f>U2*'Carbon Intensity of Fuels'!U7</f>
        <v>1371466.1209353074</v>
      </c>
      <c r="V3" s="26">
        <f>V2*'Carbon Intensity of Fuels'!V7</f>
        <v>1353498.1787179904</v>
      </c>
      <c r="W3" s="26">
        <f>W2*'Carbon Intensity of Fuels'!W7</f>
        <v>1335265.2484137118</v>
      </c>
      <c r="X3" s="26">
        <f>X2*'Carbon Intensity of Fuels'!X7</f>
        <v>1316764.7970113482</v>
      </c>
      <c r="Y3" s="26">
        <f>Y2*'Carbon Intensity of Fuels'!Y7</f>
        <v>1297994.2706432133</v>
      </c>
      <c r="Z3" s="26">
        <f>Z2*'Carbon Intensity of Fuels'!Z7</f>
        <v>1278951.0944259684</v>
      </c>
      <c r="AA3" s="26">
        <f>AA2*'Carbon Intensity of Fuels'!AA7</f>
        <v>1259632.6723003734</v>
      </c>
    </row>
    <row r="4" spans="1:27" x14ac:dyDescent="0.3">
      <c r="A4" t="s">
        <v>7</v>
      </c>
      <c r="B4" s="26">
        <f>B3-'GHG reductions'!B10</f>
        <v>1547494.669389358</v>
      </c>
      <c r="C4" s="26">
        <f>C3-'GHG reductions'!C10</f>
        <v>1535195.9799530881</v>
      </c>
      <c r="D4" s="26">
        <f>D3-'GHG reductions'!D10</f>
        <v>1521248.9414235598</v>
      </c>
      <c r="E4" s="26">
        <f>E3-'GHG reductions'!E10</f>
        <v>1507995.3667335068</v>
      </c>
      <c r="F4" s="26">
        <f>F3-'GHG reductions'!F10</f>
        <v>1496134.9624901519</v>
      </c>
      <c r="G4" s="26">
        <f>G3-'GHG reductions'!G10</f>
        <v>1484970.6604057313</v>
      </c>
      <c r="H4" s="26">
        <f>H3-'GHG reductions'!I10</f>
        <v>1474542.3538717995</v>
      </c>
      <c r="I4" s="26">
        <f>I3-'GHG reductions'!J10</f>
        <v>1464094.2737257376</v>
      </c>
      <c r="J4" s="26">
        <f>J3-'GHG reductions'!K10</f>
        <v>1453478.118160178</v>
      </c>
      <c r="K4" s="26">
        <f>K3-'GHG reductions'!L10</f>
        <v>1442693.1604198052</v>
      </c>
      <c r="L4" s="26">
        <f>L3-'GHG reductions'!M10</f>
        <v>1431738.8224292924</v>
      </c>
      <c r="M4" s="26">
        <f>M3-'GHG reductions'!N10</f>
        <v>1420614.7073314828</v>
      </c>
      <c r="N4" s="26">
        <f>N3-'GHG reductions'!O10</f>
        <v>1409320.638198847</v>
      </c>
      <c r="O4" s="26">
        <f>O3-'GHG reductions'!P10</f>
        <v>1397856.7040362009</v>
      </c>
      <c r="P4" s="26">
        <f>P3-'GHG reductions'!Q10</f>
        <v>1386223.3143891487</v>
      </c>
      <c r="Q4" s="26">
        <f>Q3-'GHG reductions'!R10</f>
        <v>1374421.2641029858</v>
      </c>
      <c r="R4" s="26">
        <f>R3-'GHG reductions'!S10</f>
        <v>1355101.054331573</v>
      </c>
      <c r="S4" s="26">
        <f>S3-'GHG reductions'!T10</f>
        <v>1335638.381690508</v>
      </c>
      <c r="T4" s="26">
        <f>T3-'GHG reductions'!U10</f>
        <v>1316030.7950268947</v>
      </c>
      <c r="U4" s="26">
        <f>U3-'GHG reductions'!V10</f>
        <v>1296275.8229562158</v>
      </c>
      <c r="V4" s="26">
        <f>V3-'GHG reductions'!W10</f>
        <v>1276370.9737077937</v>
      </c>
      <c r="W4" s="26">
        <f>W3-'GHG reductions'!X10</f>
        <v>1256313.7349691268</v>
      </c>
      <c r="X4" s="26">
        <f>X3-'GHG reductions'!Y10</f>
        <v>1236101.5737290913</v>
      </c>
      <c r="Y4" s="26">
        <f>Y3-'GHG reductions'!Z10</f>
        <v>1215731.9361200014</v>
      </c>
      <c r="Z4" s="26">
        <f>Z3-'GHG reductions'!AA10</f>
        <v>1195202.2472585181</v>
      </c>
      <c r="AA4" s="26">
        <f>AA3-'GHG reductions'!AB10</f>
        <v>1174509.9110854014</v>
      </c>
    </row>
    <row r="5" spans="1:27" x14ac:dyDescent="0.3">
      <c r="A5" t="s">
        <v>107</v>
      </c>
      <c r="B5" s="60">
        <f>1-B4/B3</f>
        <v>1.305167156367415E-3</v>
      </c>
      <c r="C5" s="60">
        <f t="shared" ref="C5:AA5" si="0">1-C4/C3</f>
        <v>5.2034043839185307E-3</v>
      </c>
      <c r="D5" s="60">
        <f t="shared" si="0"/>
        <v>1.0121496495812954E-2</v>
      </c>
      <c r="E5" s="60">
        <f t="shared" si="0"/>
        <v>1.4542334766729614E-2</v>
      </c>
      <c r="F5" s="60">
        <f t="shared" si="0"/>
        <v>1.800052149180642E-2</v>
      </c>
      <c r="G5" s="60">
        <f t="shared" si="0"/>
        <v>2.0942935688607278E-2</v>
      </c>
      <c r="H5" s="60">
        <f t="shared" si="0"/>
        <v>2.33360564334536E-2</v>
      </c>
      <c r="I5" s="60">
        <f t="shared" si="0"/>
        <v>2.5674947316756236E-2</v>
      </c>
      <c r="J5" s="60">
        <f t="shared" si="0"/>
        <v>2.8057739149432548E-2</v>
      </c>
      <c r="K5" s="60">
        <f t="shared" si="0"/>
        <v>3.0485306852768401E-2</v>
      </c>
      <c r="L5" s="60">
        <f t="shared" si="0"/>
        <v>3.2958469162418735E-2</v>
      </c>
      <c r="M5" s="60">
        <f t="shared" si="0"/>
        <v>3.5477966393485882E-2</v>
      </c>
      <c r="N5" s="60">
        <f t="shared" si="0"/>
        <v>3.8044433220355445E-2</v>
      </c>
      <c r="O5" s="60">
        <f t="shared" si="0"/>
        <v>4.0658365464745883E-2</v>
      </c>
      <c r="P5" s="60">
        <f t="shared" si="0"/>
        <v>4.3320079689205149E-2</v>
      </c>
      <c r="Q5" s="60">
        <f t="shared" si="0"/>
        <v>4.6029664159260464E-2</v>
      </c>
      <c r="R5" s="60">
        <f t="shared" si="0"/>
        <v>4.8253787135765225E-2</v>
      </c>
      <c r="S5" s="60">
        <f t="shared" si="0"/>
        <v>5.046056218836692E-2</v>
      </c>
      <c r="T5" s="60">
        <f t="shared" si="0"/>
        <v>5.2650653825501159E-2</v>
      </c>
      <c r="U5" s="60">
        <f t="shared" si="0"/>
        <v>5.4824757849514794E-2</v>
      </c>
      <c r="V5" s="60">
        <f t="shared" si="0"/>
        <v>5.6983604575848168E-2</v>
      </c>
      <c r="W5" s="60">
        <f t="shared" si="0"/>
        <v>5.9127962431718362E-2</v>
      </c>
      <c r="X5" s="60">
        <f t="shared" si="0"/>
        <v>6.12586419878004E-2</v>
      </c>
      <c r="Y5" s="60">
        <f t="shared" si="0"/>
        <v>6.3376500485204268E-2</v>
      </c>
      <c r="Z5" s="60">
        <f t="shared" si="0"/>
        <v>6.548244693049754E-2</v>
      </c>
      <c r="AA5" s="60">
        <f t="shared" si="0"/>
        <v>6.7577447843996219E-2</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EEAE9-CCA2-4EE4-A7DB-D0D30D685220}">
  <dimension ref="A1:U17"/>
  <sheetViews>
    <sheetView workbookViewId="0">
      <selection activeCell="B14" sqref="B14"/>
    </sheetView>
  </sheetViews>
  <sheetFormatPr defaultColWidth="8.88671875" defaultRowHeight="14.4" x14ac:dyDescent="0.3"/>
  <cols>
    <col min="1" max="1" width="56.6640625" customWidth="1"/>
    <col min="2" max="19" width="17.44140625" customWidth="1"/>
    <col min="20" max="27" width="17.6640625" customWidth="1"/>
    <col min="28" max="30" width="12.88671875" customWidth="1"/>
  </cols>
  <sheetData>
    <row r="1" spans="1:21" x14ac:dyDescent="0.3">
      <c r="A1" t="s">
        <v>8</v>
      </c>
      <c r="B1">
        <f>0.000453592</f>
        <v>4.53592E-4</v>
      </c>
    </row>
    <row r="2" spans="1:21" x14ac:dyDescent="0.3">
      <c r="A2" t="s">
        <v>9</v>
      </c>
      <c r="B2">
        <v>3.25</v>
      </c>
    </row>
    <row r="3" spans="1:21" x14ac:dyDescent="0.3">
      <c r="A3" t="s">
        <v>10</v>
      </c>
      <c r="B3" s="1">
        <v>9000</v>
      </c>
    </row>
    <row r="4" spans="1:21" x14ac:dyDescent="0.3">
      <c r="A4" t="s">
        <v>11</v>
      </c>
      <c r="B4" s="8">
        <v>0.35</v>
      </c>
      <c r="I4" s="17"/>
      <c r="J4" s="26"/>
    </row>
    <row r="5" spans="1:21" x14ac:dyDescent="0.3">
      <c r="A5" t="s">
        <v>101</v>
      </c>
      <c r="B5" s="1">
        <v>11467</v>
      </c>
      <c r="D5" s="6"/>
      <c r="I5" s="26"/>
    </row>
    <row r="6" spans="1:21" x14ac:dyDescent="0.3">
      <c r="A6" t="s">
        <v>12</v>
      </c>
      <c r="B6" s="58">
        <v>1.4</v>
      </c>
    </row>
    <row r="7" spans="1:21" x14ac:dyDescent="0.3">
      <c r="A7" t="s">
        <v>13</v>
      </c>
      <c r="B7" s="1">
        <v>1</v>
      </c>
    </row>
    <row r="8" spans="1:21" x14ac:dyDescent="0.3">
      <c r="A8" t="s">
        <v>14</v>
      </c>
      <c r="B8" s="5">
        <f>AVERAGE(154,435)*12</f>
        <v>3534</v>
      </c>
    </row>
    <row r="9" spans="1:21" x14ac:dyDescent="0.3">
      <c r="A9" t="s">
        <v>15</v>
      </c>
      <c r="B9" s="25">
        <v>0.15</v>
      </c>
    </row>
    <row r="10" spans="1:21" x14ac:dyDescent="0.3">
      <c r="A10" t="s">
        <v>16</v>
      </c>
      <c r="B10" s="44">
        <v>23</v>
      </c>
    </row>
    <row r="11" spans="1:21" x14ac:dyDescent="0.3">
      <c r="A11" t="s">
        <v>96</v>
      </c>
      <c r="B11" s="1">
        <v>2140943350</v>
      </c>
    </row>
    <row r="12" spans="1:21" x14ac:dyDescent="0.3">
      <c r="A12" t="s">
        <v>97</v>
      </c>
      <c r="B12" s="1">
        <v>1740992018</v>
      </c>
    </row>
    <row r="13" spans="1:21" x14ac:dyDescent="0.3">
      <c r="A13" t="s">
        <v>98</v>
      </c>
      <c r="B13" s="1">
        <f>B12+B11</f>
        <v>3881935368</v>
      </c>
    </row>
    <row r="14" spans="1:21" x14ac:dyDescent="0.3">
      <c r="A14" t="s">
        <v>103</v>
      </c>
      <c r="B14" s="60">
        <v>6.0000000000000001E-3</v>
      </c>
    </row>
    <row r="15" spans="1:21" ht="15" thickBot="1" x14ac:dyDescent="0.35"/>
    <row r="16" spans="1:21" ht="57.6" x14ac:dyDescent="0.3">
      <c r="A16" s="48" t="s">
        <v>17</v>
      </c>
      <c r="B16" s="49" t="s">
        <v>18</v>
      </c>
      <c r="C16" s="49" t="s">
        <v>19</v>
      </c>
      <c r="D16" s="49" t="s">
        <v>20</v>
      </c>
      <c r="E16" s="49" t="s">
        <v>21</v>
      </c>
      <c r="F16" s="49" t="s">
        <v>22</v>
      </c>
      <c r="G16" s="49" t="s">
        <v>23</v>
      </c>
      <c r="H16" s="49" t="s">
        <v>24</v>
      </c>
      <c r="I16" s="49" t="s">
        <v>25</v>
      </c>
      <c r="J16" s="49" t="s">
        <v>26</v>
      </c>
      <c r="K16" s="49" t="s">
        <v>27</v>
      </c>
      <c r="L16" s="49" t="s">
        <v>28</v>
      </c>
      <c r="M16" s="49" t="s">
        <v>29</v>
      </c>
      <c r="N16" s="49" t="s">
        <v>30</v>
      </c>
      <c r="O16" s="49" t="s">
        <v>31</v>
      </c>
      <c r="P16" s="50" t="s">
        <v>32</v>
      </c>
      <c r="Q16" s="39"/>
      <c r="R16" s="39"/>
      <c r="S16" s="39"/>
      <c r="T16" s="39"/>
      <c r="U16" s="39"/>
    </row>
    <row r="17" spans="1:16" ht="15" thickBot="1" x14ac:dyDescent="0.35">
      <c r="A17" s="51" t="s">
        <v>33</v>
      </c>
      <c r="B17" s="52">
        <v>0.316</v>
      </c>
      <c r="C17" s="52">
        <v>0.16</v>
      </c>
      <c r="D17" s="52">
        <v>0.22500000000000001</v>
      </c>
      <c r="E17" s="52">
        <v>0.40500000000000003</v>
      </c>
      <c r="F17" s="52">
        <v>0.123</v>
      </c>
      <c r="G17" s="52">
        <v>0.46800000000000003</v>
      </c>
      <c r="H17" s="52">
        <v>0.502</v>
      </c>
      <c r="I17" s="52">
        <v>0.65200000000000002</v>
      </c>
      <c r="J17" s="52">
        <v>0.379</v>
      </c>
      <c r="K17" s="52">
        <v>0.65900000000000003</v>
      </c>
      <c r="L17" s="52">
        <v>0.41499999999999998</v>
      </c>
      <c r="M17" s="52">
        <v>0.48699999999999999</v>
      </c>
      <c r="N17" s="52">
        <v>0.53900000000000003</v>
      </c>
      <c r="O17" s="52">
        <v>0.156</v>
      </c>
      <c r="P17" s="53">
        <v>0.51400000000000001</v>
      </c>
    </row>
  </sheetData>
  <pageMargins left="0.7" right="0.7" top="0.75" bottom="0.75" header="0.3" footer="0.3"/>
  <pageSetup orientation="portrait" horizontalDpi="0"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3790D-EC2C-4B78-A6B7-B5244D7980DB}">
  <dimension ref="A1:AD14"/>
  <sheetViews>
    <sheetView workbookViewId="0">
      <selection activeCell="B6" sqref="B6"/>
    </sheetView>
  </sheetViews>
  <sheetFormatPr defaultColWidth="8.88671875" defaultRowHeight="14.4" x14ac:dyDescent="0.3"/>
  <cols>
    <col min="1" max="1" width="57" customWidth="1"/>
    <col min="2" max="27" width="11.33203125" customWidth="1"/>
  </cols>
  <sheetData>
    <row r="1" spans="1:30" x14ac:dyDescent="0.3">
      <c r="B1">
        <v>2025</v>
      </c>
      <c r="C1">
        <v>2026</v>
      </c>
      <c r="D1">
        <v>2027</v>
      </c>
      <c r="E1">
        <v>2028</v>
      </c>
      <c r="F1">
        <v>2029</v>
      </c>
      <c r="G1">
        <v>2030</v>
      </c>
      <c r="H1">
        <v>2031</v>
      </c>
      <c r="I1">
        <v>2032</v>
      </c>
      <c r="J1">
        <v>2033</v>
      </c>
      <c r="K1">
        <v>2034</v>
      </c>
      <c r="L1">
        <v>2035</v>
      </c>
      <c r="M1">
        <v>2036</v>
      </c>
      <c r="N1">
        <v>2037</v>
      </c>
      <c r="O1">
        <v>2038</v>
      </c>
      <c r="P1">
        <v>2039</v>
      </c>
      <c r="Q1">
        <v>2040</v>
      </c>
      <c r="R1">
        <v>2041</v>
      </c>
      <c r="S1">
        <v>2042</v>
      </c>
      <c r="T1">
        <v>2043</v>
      </c>
      <c r="U1">
        <v>2044</v>
      </c>
      <c r="V1">
        <v>2045</v>
      </c>
      <c r="W1">
        <v>2046</v>
      </c>
      <c r="X1">
        <v>2047</v>
      </c>
      <c r="Y1">
        <v>2048</v>
      </c>
      <c r="Z1">
        <v>2049</v>
      </c>
      <c r="AA1">
        <v>2050</v>
      </c>
    </row>
    <row r="2" spans="1:30" x14ac:dyDescent="0.3">
      <c r="A2" t="s">
        <v>34</v>
      </c>
      <c r="B2" s="54">
        <f>0.604</f>
        <v>0.60399999999999998</v>
      </c>
      <c r="C2" s="55">
        <f>B2-SLN($B$2,0,15)</f>
        <v>0.56373333333333331</v>
      </c>
      <c r="D2" s="55">
        <f t="shared" ref="D2:Q2" si="0">C2-SLN($B$2,0,15)</f>
        <v>0.52346666666666664</v>
      </c>
      <c r="E2" s="55">
        <f t="shared" si="0"/>
        <v>0.48319999999999996</v>
      </c>
      <c r="F2" s="55">
        <f t="shared" si="0"/>
        <v>0.44293333333333329</v>
      </c>
      <c r="G2" s="55">
        <f t="shared" si="0"/>
        <v>0.40266666666666662</v>
      </c>
      <c r="H2" s="55">
        <f t="shared" si="0"/>
        <v>0.36239999999999994</v>
      </c>
      <c r="I2" s="55">
        <f t="shared" si="0"/>
        <v>0.32213333333333327</v>
      </c>
      <c r="J2" s="55">
        <f t="shared" si="0"/>
        <v>0.2818666666666666</v>
      </c>
      <c r="K2" s="55">
        <f t="shared" si="0"/>
        <v>0.24159999999999993</v>
      </c>
      <c r="L2" s="55">
        <f t="shared" si="0"/>
        <v>0.20133333333333325</v>
      </c>
      <c r="M2" s="55">
        <f t="shared" si="0"/>
        <v>0.16106666666666658</v>
      </c>
      <c r="N2" s="55">
        <f t="shared" si="0"/>
        <v>0.12079999999999991</v>
      </c>
      <c r="O2" s="55">
        <f t="shared" si="0"/>
        <v>8.0533333333333235E-2</v>
      </c>
      <c r="P2" s="55">
        <f t="shared" si="0"/>
        <v>4.0266666666666569E-2</v>
      </c>
      <c r="Q2" s="3">
        <f t="shared" si="0"/>
        <v>-9.7144514654701197E-17</v>
      </c>
      <c r="R2" s="3">
        <v>0</v>
      </c>
      <c r="S2" s="3">
        <v>0</v>
      </c>
      <c r="T2" s="3">
        <v>0</v>
      </c>
      <c r="U2" s="3">
        <v>0</v>
      </c>
      <c r="V2" s="3">
        <v>0</v>
      </c>
      <c r="W2" s="3">
        <v>0</v>
      </c>
      <c r="X2" s="3">
        <v>0</v>
      </c>
      <c r="Y2" s="3">
        <v>0</v>
      </c>
      <c r="Z2" s="3">
        <v>0</v>
      </c>
      <c r="AA2" s="3">
        <v>0</v>
      </c>
    </row>
    <row r="3" spans="1:30" x14ac:dyDescent="0.3">
      <c r="A3" t="s">
        <v>35</v>
      </c>
      <c r="B3" s="45">
        <f>B2*Assumptions!B1</f>
        <v>2.73969568E-4</v>
      </c>
      <c r="C3" s="45">
        <f>C2*Assumptions!$B$1</f>
        <v>2.557049301333333E-4</v>
      </c>
      <c r="D3" s="45">
        <f>D2*Assumptions!$B$1</f>
        <v>2.3744029226666666E-4</v>
      </c>
      <c r="E3" s="45">
        <f>E2*Assumptions!$B$1</f>
        <v>2.1917565439999998E-4</v>
      </c>
      <c r="F3" s="45">
        <f>F2*Assumptions!$B$1</f>
        <v>2.0091101653333331E-4</v>
      </c>
      <c r="G3" s="45">
        <f>G2*Assumptions!$B$1</f>
        <v>1.8264637866666664E-4</v>
      </c>
      <c r="H3" s="45">
        <f>H2*Assumptions!$B$1</f>
        <v>1.6438174079999997E-4</v>
      </c>
      <c r="I3" s="45">
        <f>I2*Assumptions!$B$1</f>
        <v>1.4611710293333329E-4</v>
      </c>
      <c r="J3" s="45">
        <f>J2*Assumptions!$B$1</f>
        <v>1.2785246506666665E-4</v>
      </c>
      <c r="K3" s="45">
        <f>K2*Assumptions!$B$1</f>
        <v>1.0958782719999996E-4</v>
      </c>
      <c r="L3" s="45">
        <f>L2*Assumptions!$B$1</f>
        <v>9.1323189333333292E-5</v>
      </c>
      <c r="M3" s="45">
        <f>M2*Assumptions!$B$1</f>
        <v>7.3058551466666634E-5</v>
      </c>
      <c r="N3" s="45">
        <f>N2*Assumptions!$B$1</f>
        <v>5.4793913599999955E-5</v>
      </c>
      <c r="O3" s="45">
        <f>O2*Assumptions!$B$1</f>
        <v>3.652927573333329E-5</v>
      </c>
      <c r="P3" s="45">
        <f>P2*Assumptions!$B$1</f>
        <v>1.8264637866666621E-5</v>
      </c>
      <c r="Q3" s="44">
        <v>0</v>
      </c>
      <c r="R3" s="44">
        <f>R2*Assumptions!$B$1</f>
        <v>0</v>
      </c>
      <c r="S3" s="44">
        <f>S2*Assumptions!$B$1</f>
        <v>0</v>
      </c>
      <c r="T3" s="44">
        <f>T2*Assumptions!$B$1</f>
        <v>0</v>
      </c>
      <c r="U3" s="3">
        <v>0</v>
      </c>
      <c r="V3" s="3">
        <v>0</v>
      </c>
      <c r="W3" s="3">
        <v>0</v>
      </c>
      <c r="X3" s="3">
        <v>0</v>
      </c>
      <c r="Y3" s="3">
        <v>0</v>
      </c>
      <c r="Z3" s="3">
        <v>0</v>
      </c>
      <c r="AA3" s="3">
        <v>0</v>
      </c>
    </row>
    <row r="4" spans="1:30" x14ac:dyDescent="0.3">
      <c r="A4" t="s">
        <v>36</v>
      </c>
      <c r="B4" s="47">
        <f>B3/Assumptions!$B$2</f>
        <v>8.4298328615384617E-5</v>
      </c>
      <c r="C4" s="47">
        <f>C3/Assumptions!$B$2</f>
        <v>7.8678440041025626E-5</v>
      </c>
      <c r="D4" s="47">
        <f>D3/Assumptions!$B$2</f>
        <v>7.3058551466666661E-5</v>
      </c>
      <c r="E4" s="47">
        <f>E3/Assumptions!$B$2</f>
        <v>6.7438662892307683E-5</v>
      </c>
      <c r="F4" s="47">
        <f>F3/Assumptions!$B$2</f>
        <v>6.1818774317948705E-5</v>
      </c>
      <c r="G4" s="47">
        <f>G3/Assumptions!$B$2</f>
        <v>5.6198885743589734E-5</v>
      </c>
      <c r="H4" s="47">
        <f>H3/Assumptions!$B$2</f>
        <v>5.0578997169230762E-5</v>
      </c>
      <c r="I4" s="47">
        <f>I3/Assumptions!$B$2</f>
        <v>4.4959108594871784E-5</v>
      </c>
      <c r="J4" s="47">
        <f>J3/Assumptions!$B$2</f>
        <v>3.9339220020512813E-5</v>
      </c>
      <c r="K4" s="47">
        <f>K3/Assumptions!$B$2</f>
        <v>3.3719331446153835E-5</v>
      </c>
      <c r="L4" s="47">
        <f>L3/Assumptions!$B$2</f>
        <v>2.809944287179486E-5</v>
      </c>
      <c r="M4" s="47">
        <f>M3/Assumptions!$B$2</f>
        <v>2.2479554297435889E-5</v>
      </c>
      <c r="N4" s="47">
        <f>N3/Assumptions!$B$2</f>
        <v>1.6859665723076911E-5</v>
      </c>
      <c r="O4" s="47">
        <f>O3/Assumptions!$B$2</f>
        <v>1.1239777148717936E-5</v>
      </c>
      <c r="P4" s="47">
        <f>P3/Assumptions!$B$2</f>
        <v>5.6198885743589603E-6</v>
      </c>
      <c r="Q4" s="3">
        <f>Q3/Assumptions!$B$2</f>
        <v>0</v>
      </c>
      <c r="R4" s="3">
        <f>R3/Assumptions!$B$2</f>
        <v>0</v>
      </c>
      <c r="S4" s="3">
        <f>S3/Assumptions!$B$2</f>
        <v>0</v>
      </c>
      <c r="T4" s="3">
        <f>T3/Assumptions!$B$2</f>
        <v>0</v>
      </c>
      <c r="U4" s="3">
        <v>0</v>
      </c>
      <c r="V4" s="3">
        <v>0</v>
      </c>
      <c r="W4" s="3">
        <v>0</v>
      </c>
      <c r="X4" s="3">
        <v>0</v>
      </c>
      <c r="Y4" s="3">
        <v>0</v>
      </c>
      <c r="Z4" s="3">
        <v>0</v>
      </c>
      <c r="AA4" s="3">
        <v>0</v>
      </c>
    </row>
    <row r="6" spans="1:30" x14ac:dyDescent="0.3">
      <c r="A6" t="s">
        <v>37</v>
      </c>
      <c r="B6">
        <v>0.88</v>
      </c>
      <c r="C6" s="27">
        <f>B6-SLN($B$6,$B$6*0.95,5)</f>
        <v>0.87119999999999997</v>
      </c>
      <c r="D6" s="27">
        <f t="shared" ref="D6:G6" si="1">C6-SLN($B$6,$B$6*0.95,5)</f>
        <v>0.86239999999999994</v>
      </c>
      <c r="E6" s="27">
        <f t="shared" si="1"/>
        <v>0.85359999999999991</v>
      </c>
      <c r="F6" s="27">
        <f t="shared" si="1"/>
        <v>0.84479999999999988</v>
      </c>
      <c r="G6" s="27">
        <f t="shared" si="1"/>
        <v>0.83599999999999985</v>
      </c>
      <c r="H6" s="27">
        <f>G6-SLN($G$6,$B$6*0.85,10)</f>
        <v>0.82719999999999982</v>
      </c>
      <c r="I6" s="27">
        <f t="shared" ref="I6:Q6" si="2">H6-SLN($G$6,$B$6*0.85,10)</f>
        <v>0.81839999999999979</v>
      </c>
      <c r="J6" s="27">
        <f t="shared" si="2"/>
        <v>0.80959999999999976</v>
      </c>
      <c r="K6" s="27">
        <f t="shared" si="2"/>
        <v>0.80079999999999973</v>
      </c>
      <c r="L6" s="27">
        <f t="shared" si="2"/>
        <v>0.7919999999999997</v>
      </c>
      <c r="M6" s="27">
        <f t="shared" si="2"/>
        <v>0.78319999999999967</v>
      </c>
      <c r="N6" s="27">
        <f t="shared" si="2"/>
        <v>0.77439999999999964</v>
      </c>
      <c r="O6" s="27">
        <f t="shared" si="2"/>
        <v>0.76559999999999961</v>
      </c>
      <c r="P6" s="27">
        <f t="shared" si="2"/>
        <v>0.75679999999999958</v>
      </c>
      <c r="Q6" s="27">
        <f t="shared" si="2"/>
        <v>0.74799999999999955</v>
      </c>
      <c r="R6" s="27">
        <f>Q6-SLN($Q$6,$B$6*0.7,10)</f>
        <v>0.73479999999999956</v>
      </c>
      <c r="S6" s="27">
        <f t="shared" ref="S6:AA6" si="3">R6-SLN($Q$6,$B$6*0.7,10)</f>
        <v>0.72159999999999958</v>
      </c>
      <c r="T6" s="27">
        <f t="shared" si="3"/>
        <v>0.70839999999999959</v>
      </c>
      <c r="U6" s="27">
        <f t="shared" si="3"/>
        <v>0.6951999999999996</v>
      </c>
      <c r="V6" s="27">
        <f t="shared" si="3"/>
        <v>0.68199999999999961</v>
      </c>
      <c r="W6" s="27">
        <f t="shared" si="3"/>
        <v>0.66879999999999962</v>
      </c>
      <c r="X6" s="27">
        <f t="shared" si="3"/>
        <v>0.65559999999999963</v>
      </c>
      <c r="Y6" s="27">
        <f t="shared" si="3"/>
        <v>0.64239999999999964</v>
      </c>
      <c r="Z6" s="27">
        <f t="shared" si="3"/>
        <v>0.62919999999999965</v>
      </c>
      <c r="AA6" s="27">
        <f t="shared" si="3"/>
        <v>0.61599999999999966</v>
      </c>
      <c r="AB6" s="27"/>
      <c r="AC6" s="27"/>
      <c r="AD6" s="27"/>
    </row>
    <row r="7" spans="1:30" x14ac:dyDescent="0.3">
      <c r="A7" t="s">
        <v>38</v>
      </c>
      <c r="B7" s="46">
        <f>B6*Assumptions!$B$1</f>
        <v>3.9916095999999998E-4</v>
      </c>
      <c r="C7" s="46">
        <f>C6*Assumptions!$B$1</f>
        <v>3.9516935039999999E-4</v>
      </c>
      <c r="D7" s="46">
        <f>D6*Assumptions!$B$1</f>
        <v>3.911777408E-4</v>
      </c>
      <c r="E7" s="46">
        <f>E6*Assumptions!$B$1</f>
        <v>3.8718613119999995E-4</v>
      </c>
      <c r="F7" s="46">
        <f>F6*Assumptions!$B$1</f>
        <v>3.8319452159999996E-4</v>
      </c>
      <c r="G7" s="46">
        <f>G6*Assumptions!$B$1</f>
        <v>3.7920291199999991E-4</v>
      </c>
      <c r="H7" s="46">
        <f>H6*Assumptions!$B$1</f>
        <v>3.7521130239999992E-4</v>
      </c>
      <c r="I7" s="46">
        <f>I6*Assumptions!$B$1</f>
        <v>3.7121969279999993E-4</v>
      </c>
      <c r="J7" s="46">
        <f>J6*Assumptions!$B$1</f>
        <v>3.6722808319999988E-4</v>
      </c>
      <c r="K7" s="46">
        <f>K6*Assumptions!$B$1</f>
        <v>3.6323647359999989E-4</v>
      </c>
      <c r="L7" s="46">
        <f>L6*Assumptions!$B$1</f>
        <v>3.5924486399999985E-4</v>
      </c>
      <c r="M7" s="46">
        <f>M6*Assumptions!$B$1</f>
        <v>3.5525325439999985E-4</v>
      </c>
      <c r="N7" s="46">
        <f>N6*Assumptions!$B$1</f>
        <v>3.5126164479999986E-4</v>
      </c>
      <c r="O7" s="46">
        <f>O6*Assumptions!$B$1</f>
        <v>3.4727003519999982E-4</v>
      </c>
      <c r="P7" s="46">
        <f>P6*Assumptions!$B$1</f>
        <v>3.4327842559999982E-4</v>
      </c>
      <c r="Q7" s="46">
        <f>Q6*Assumptions!$B$1</f>
        <v>3.3928681599999978E-4</v>
      </c>
      <c r="R7" s="46">
        <f>R6*Assumptions!$B$1</f>
        <v>3.3329940159999979E-4</v>
      </c>
      <c r="S7" s="46">
        <f>S6*Assumptions!$B$1</f>
        <v>3.273119871999998E-4</v>
      </c>
      <c r="T7" s="46">
        <f>T6*Assumptions!$B$1</f>
        <v>3.2132457279999982E-4</v>
      </c>
      <c r="U7" s="46">
        <f>U6*Assumptions!$B$1</f>
        <v>3.1533715839999983E-4</v>
      </c>
      <c r="V7" s="46">
        <f>V6*Assumptions!$B$1</f>
        <v>3.0934974399999984E-4</v>
      </c>
      <c r="W7" s="46">
        <f>W6*Assumptions!$B$1</f>
        <v>3.0336232959999985E-4</v>
      </c>
      <c r="X7" s="46">
        <f>X6*Assumptions!$B$1</f>
        <v>2.9737491519999981E-4</v>
      </c>
      <c r="Y7" s="46">
        <f>Y6*Assumptions!$B$1</f>
        <v>2.9138750079999982E-4</v>
      </c>
      <c r="Z7" s="46">
        <f>Z6*Assumptions!$B$1</f>
        <v>2.8540008639999984E-4</v>
      </c>
      <c r="AA7" s="46">
        <f>AA6*Assumptions!$B$1</f>
        <v>2.7941267199999985E-4</v>
      </c>
      <c r="AB7" s="46"/>
      <c r="AC7" s="46"/>
      <c r="AD7" s="46"/>
    </row>
    <row r="8" spans="1:30" x14ac:dyDescent="0.3">
      <c r="A8" t="s">
        <v>39</v>
      </c>
      <c r="B8">
        <v>0</v>
      </c>
      <c r="C8">
        <v>0</v>
      </c>
      <c r="D8">
        <v>0</v>
      </c>
      <c r="E8">
        <v>0</v>
      </c>
      <c r="F8">
        <v>0</v>
      </c>
      <c r="G8">
        <v>0</v>
      </c>
      <c r="H8">
        <v>0</v>
      </c>
      <c r="I8">
        <v>0</v>
      </c>
      <c r="J8">
        <v>0</v>
      </c>
      <c r="K8">
        <v>0</v>
      </c>
      <c r="L8">
        <v>0</v>
      </c>
      <c r="M8">
        <v>0</v>
      </c>
      <c r="N8">
        <v>0</v>
      </c>
      <c r="O8">
        <v>0</v>
      </c>
      <c r="P8">
        <v>0</v>
      </c>
      <c r="Q8">
        <v>0</v>
      </c>
      <c r="R8">
        <v>0</v>
      </c>
      <c r="S8">
        <v>0</v>
      </c>
      <c r="T8">
        <v>0</v>
      </c>
      <c r="U8">
        <v>0</v>
      </c>
      <c r="V8">
        <v>0</v>
      </c>
      <c r="W8">
        <v>0</v>
      </c>
      <c r="X8">
        <v>0</v>
      </c>
      <c r="Y8">
        <v>0</v>
      </c>
      <c r="Z8">
        <v>0</v>
      </c>
      <c r="AA8">
        <v>0</v>
      </c>
    </row>
    <row r="10" spans="1:30" x14ac:dyDescent="0.3">
      <c r="A10" t="s">
        <v>40</v>
      </c>
      <c r="B10">
        <v>0.4</v>
      </c>
      <c r="C10" s="27">
        <f t="shared" ref="C10:Z10" si="4">B10-($B$10/25)</f>
        <v>0.38400000000000001</v>
      </c>
      <c r="D10" s="27">
        <f t="shared" si="4"/>
        <v>0.36799999999999999</v>
      </c>
      <c r="E10" s="27">
        <f t="shared" si="4"/>
        <v>0.35199999999999998</v>
      </c>
      <c r="F10" s="27">
        <f t="shared" si="4"/>
        <v>0.33599999999999997</v>
      </c>
      <c r="G10" s="27">
        <f t="shared" si="4"/>
        <v>0.31999999999999995</v>
      </c>
      <c r="H10" s="27">
        <f t="shared" si="4"/>
        <v>0.30399999999999994</v>
      </c>
      <c r="I10" s="27">
        <f t="shared" si="4"/>
        <v>0.28799999999999992</v>
      </c>
      <c r="J10" s="27">
        <f t="shared" si="4"/>
        <v>0.27199999999999991</v>
      </c>
      <c r="K10" s="27">
        <f t="shared" si="4"/>
        <v>0.25599999999999989</v>
      </c>
      <c r="L10" s="27">
        <f t="shared" si="4"/>
        <v>0.23999999999999988</v>
      </c>
      <c r="M10" s="27">
        <f t="shared" si="4"/>
        <v>0.22399999999999987</v>
      </c>
      <c r="N10" s="27">
        <f t="shared" si="4"/>
        <v>0.20799999999999985</v>
      </c>
      <c r="O10" s="27">
        <f t="shared" si="4"/>
        <v>0.19199999999999984</v>
      </c>
      <c r="P10" s="27">
        <f t="shared" si="4"/>
        <v>0.17599999999999982</v>
      </c>
      <c r="Q10" s="27">
        <f t="shared" si="4"/>
        <v>0.15999999999999981</v>
      </c>
      <c r="R10" s="27">
        <f t="shared" si="4"/>
        <v>0.14399999999999979</v>
      </c>
      <c r="S10" s="27">
        <f t="shared" si="4"/>
        <v>0.12799999999999978</v>
      </c>
      <c r="T10" s="27">
        <f t="shared" si="4"/>
        <v>0.11199999999999978</v>
      </c>
      <c r="U10" s="27">
        <f t="shared" si="4"/>
        <v>9.599999999999978E-2</v>
      </c>
      <c r="V10" s="27">
        <f t="shared" si="4"/>
        <v>7.999999999999978E-2</v>
      </c>
      <c r="W10" s="27">
        <f t="shared" si="4"/>
        <v>6.3999999999999779E-2</v>
      </c>
      <c r="X10" s="27">
        <f t="shared" si="4"/>
        <v>4.7999999999999779E-2</v>
      </c>
      <c r="Y10" s="27">
        <f t="shared" si="4"/>
        <v>3.1999999999999779E-2</v>
      </c>
      <c r="Z10" s="27">
        <f t="shared" si="4"/>
        <v>1.5999999999999778E-2</v>
      </c>
      <c r="AA10" s="3">
        <v>0</v>
      </c>
      <c r="AB10" s="27"/>
      <c r="AC10" s="27"/>
      <c r="AD10" s="27"/>
    </row>
    <row r="11" spans="1:30" x14ac:dyDescent="0.3">
      <c r="A11" t="s">
        <v>41</v>
      </c>
      <c r="B11" s="27">
        <f t="shared" ref="B11:AA11" si="5">B6-B10</f>
        <v>0.48</v>
      </c>
      <c r="C11" s="27">
        <f t="shared" si="5"/>
        <v>0.48719999999999997</v>
      </c>
      <c r="D11" s="27">
        <f t="shared" si="5"/>
        <v>0.49439999999999995</v>
      </c>
      <c r="E11" s="27">
        <f t="shared" si="5"/>
        <v>0.50159999999999993</v>
      </c>
      <c r="F11" s="27">
        <f t="shared" si="5"/>
        <v>0.50879999999999992</v>
      </c>
      <c r="G11" s="27">
        <f t="shared" si="5"/>
        <v>0.5159999999999999</v>
      </c>
      <c r="H11" s="27">
        <f t="shared" si="5"/>
        <v>0.52319999999999989</v>
      </c>
      <c r="I11" s="27">
        <f t="shared" si="5"/>
        <v>0.53039999999999987</v>
      </c>
      <c r="J11" s="27">
        <f t="shared" si="5"/>
        <v>0.53759999999999986</v>
      </c>
      <c r="K11" s="27">
        <f t="shared" si="5"/>
        <v>0.54479999999999984</v>
      </c>
      <c r="L11" s="27">
        <f t="shared" si="5"/>
        <v>0.55199999999999982</v>
      </c>
      <c r="M11" s="27">
        <f t="shared" si="5"/>
        <v>0.55919999999999981</v>
      </c>
      <c r="N11" s="27">
        <f t="shared" si="5"/>
        <v>0.56639999999999979</v>
      </c>
      <c r="O11" s="27">
        <f t="shared" si="5"/>
        <v>0.57359999999999978</v>
      </c>
      <c r="P11" s="27">
        <f t="shared" si="5"/>
        <v>0.58079999999999976</v>
      </c>
      <c r="Q11" s="27">
        <f t="shared" si="5"/>
        <v>0.58799999999999975</v>
      </c>
      <c r="R11" s="27">
        <f t="shared" si="5"/>
        <v>0.59079999999999977</v>
      </c>
      <c r="S11" s="27">
        <f t="shared" si="5"/>
        <v>0.59359999999999979</v>
      </c>
      <c r="T11" s="27">
        <f t="shared" si="5"/>
        <v>0.59639999999999982</v>
      </c>
      <c r="U11" s="27">
        <f t="shared" si="5"/>
        <v>0.59919999999999984</v>
      </c>
      <c r="V11" s="27">
        <f t="shared" si="5"/>
        <v>0.60199999999999987</v>
      </c>
      <c r="W11" s="27">
        <f t="shared" si="5"/>
        <v>0.60479999999999978</v>
      </c>
      <c r="X11" s="27">
        <f t="shared" si="5"/>
        <v>0.60759999999999981</v>
      </c>
      <c r="Y11" s="27">
        <f t="shared" si="5"/>
        <v>0.61039999999999983</v>
      </c>
      <c r="Z11" s="27">
        <f t="shared" si="5"/>
        <v>0.61319999999999986</v>
      </c>
      <c r="AA11" s="27">
        <f t="shared" si="5"/>
        <v>0.61599999999999966</v>
      </c>
      <c r="AB11" s="27"/>
      <c r="AC11" s="27"/>
      <c r="AD11" s="27"/>
    </row>
    <row r="12" spans="1:30" x14ac:dyDescent="0.3">
      <c r="A12" t="s">
        <v>106</v>
      </c>
      <c r="B12" s="27">
        <f>Assumptions!$B$3*Assumptions!B4*B11*Assumptions!$B$1</f>
        <v>0.68583110400000002</v>
      </c>
      <c r="C12" s="27">
        <f>Assumptions!$B$3*Assumptions!$B$4*C11*Assumptions!$B$1</f>
        <v>0.69611857055999993</v>
      </c>
      <c r="D12" s="27">
        <f>Assumptions!$B$3*Assumptions!$B$4*D11*Assumptions!$B$1</f>
        <v>0.70640603711999994</v>
      </c>
      <c r="E12" s="27">
        <f>Assumptions!$B$3*Assumptions!$B$4*E11*Assumptions!$B$1</f>
        <v>0.71669350367999984</v>
      </c>
      <c r="F12" s="27">
        <f>Assumptions!$B$3*Assumptions!$B$4*F11*Assumptions!$B$1</f>
        <v>0.72698097023999997</v>
      </c>
      <c r="G12" s="27">
        <f>Assumptions!$B$3*Assumptions!$B$4*G11*Assumptions!$B$1</f>
        <v>0.73726843679999987</v>
      </c>
      <c r="H12" s="27">
        <f>Assumptions!$B$3*Assumptions!$B$4*H11*Assumptions!$B$1</f>
        <v>0.74755590335999988</v>
      </c>
      <c r="I12" s="27">
        <f>Assumptions!$B$3*Assumptions!$B$4*I11*Assumptions!$B$1</f>
        <v>0.75784336991999979</v>
      </c>
      <c r="J12" s="27">
        <f>Assumptions!$B$3*Assumptions!$B$4*J11*Assumptions!$B$1</f>
        <v>0.7681308364799998</v>
      </c>
      <c r="K12" s="27">
        <f>Assumptions!$B$3*Assumptions!$B$4*K11*Assumptions!$B$1</f>
        <v>0.7784183030399997</v>
      </c>
      <c r="L12" s="27">
        <f>Assumptions!$B$3*Assumptions!$B$4*L11*Assumptions!$B$1</f>
        <v>0.78870576959999983</v>
      </c>
      <c r="M12" s="27">
        <f>Assumptions!$B$3*Assumptions!$B$4*M11*Assumptions!$B$1</f>
        <v>0.79899323615999973</v>
      </c>
      <c r="N12" s="27">
        <f>Assumptions!$B$3*Assumptions!$B$4*N11*Assumptions!$B$1</f>
        <v>0.80928070271999974</v>
      </c>
      <c r="O12" s="27">
        <f>Assumptions!$B$3*Assumptions!$B$4*O11*Assumptions!$B$1</f>
        <v>0.81956816927999965</v>
      </c>
      <c r="P12" s="27">
        <f>Assumptions!$B$3*Assumptions!$B$4*P11*Assumptions!$B$1</f>
        <v>0.82985563583999966</v>
      </c>
      <c r="Q12" s="27">
        <f>Assumptions!$B$3*Assumptions!$B$4*Q11*Assumptions!$B$1</f>
        <v>0.84014310239999956</v>
      </c>
      <c r="R12" s="27">
        <f>Assumptions!$B$3*Assumptions!$B$4*R11*Assumptions!$B$1</f>
        <v>0.84414378383999966</v>
      </c>
      <c r="S12" s="27">
        <f>Assumptions!$B$3*Assumptions!$B$4*S11*Assumptions!$B$1</f>
        <v>0.84814446527999976</v>
      </c>
      <c r="T12" s="27">
        <f>Assumptions!$B$3*Assumptions!$B$4*T11*Assumptions!$B$1</f>
        <v>0.85214514671999975</v>
      </c>
      <c r="U12" s="27">
        <f>Assumptions!$B$3*Assumptions!$B$4*U11*Assumptions!$B$1</f>
        <v>0.85614582815999984</v>
      </c>
      <c r="V12" s="27">
        <f>Assumptions!$B$3*Assumptions!$B$4*V11*Assumptions!$B$1</f>
        <v>0.86014650959999983</v>
      </c>
      <c r="W12" s="27">
        <f>Assumptions!$B$3*Assumptions!$B$4*W11*Assumptions!$B$1</f>
        <v>0.8641471910399996</v>
      </c>
      <c r="X12" s="27">
        <f>Assumptions!$B$3*Assumptions!$B$4*X11*Assumptions!$B$1</f>
        <v>0.86814787247999969</v>
      </c>
      <c r="Y12" s="27">
        <f>Assumptions!$B$3*Assumptions!$B$4*Y11*Assumptions!$B$1</f>
        <v>0.87214855391999979</v>
      </c>
      <c r="Z12" s="27">
        <f>Assumptions!$B$3*Assumptions!$B$4*Z11*Assumptions!$B$1</f>
        <v>0.87614923535999978</v>
      </c>
      <c r="AA12" s="27">
        <f>Assumptions!$B$3*Assumptions!$B$4*AA11*Assumptions!$B$1</f>
        <v>0.88014991679999954</v>
      </c>
    </row>
    <row r="13" spans="1:30" x14ac:dyDescent="0.3">
      <c r="I13" s="17"/>
    </row>
    <row r="14" spans="1:30" x14ac:dyDescent="0.3">
      <c r="A14" t="s">
        <v>42</v>
      </c>
      <c r="B14" s="2">
        <f>Assumptions!$B$5*($B$7-B4)</f>
        <v>3.6105297940873839</v>
      </c>
      <c r="C14" s="2">
        <f>Assumptions!$B$5*(C7-C4)</f>
        <v>3.6292012690863586</v>
      </c>
      <c r="D14" s="2">
        <f>Assumptions!$B$5*(D7-D4)</f>
        <v>3.6478727440853338</v>
      </c>
      <c r="E14" s="2">
        <f>Assumptions!$B$5*(E7-E4)</f>
        <v>3.6665442190843072</v>
      </c>
      <c r="F14" s="2">
        <f>Assumptions!$B$5*(F7-F4)</f>
        <v>3.6852156940832819</v>
      </c>
      <c r="G14" s="2">
        <f>Assumptions!$B$5*(G7-G4)</f>
        <v>3.7038871690822557</v>
      </c>
      <c r="H14" s="2">
        <f>Assumptions!$B$5*(H7-H4)</f>
        <v>3.7225586440812299</v>
      </c>
      <c r="I14" s="2">
        <f>Assumptions!$B$5*(I7-I4)</f>
        <v>3.7412301190802046</v>
      </c>
      <c r="J14" s="2">
        <f>Assumptions!$B$5*(J7-J4)</f>
        <v>3.759901594079178</v>
      </c>
      <c r="K14" s="2">
        <f>Assumptions!$B$5*(K7-K4)</f>
        <v>3.7785730690781532</v>
      </c>
      <c r="L14" s="2">
        <f>Assumptions!$B$5*(L7-L4)</f>
        <v>3.7972445440771265</v>
      </c>
      <c r="M14" s="2">
        <f>Assumptions!$B$5*(M7-M4)</f>
        <v>3.8159160190761008</v>
      </c>
      <c r="N14" s="2">
        <f>Assumptions!$B$5*(N7-N4)</f>
        <v>3.8345874940750755</v>
      </c>
      <c r="O14" s="2">
        <f>Assumptions!$B$5*(O7-O4)</f>
        <v>3.8532589690740493</v>
      </c>
      <c r="P14" s="2">
        <f>Assumptions!$B$5*(P7-P4)</f>
        <v>3.871930444073024</v>
      </c>
      <c r="Q14" s="2">
        <f>Assumptions!$B$5*(Q7-Q4)</f>
        <v>3.8906019190719974</v>
      </c>
      <c r="R14" s="2">
        <f>Assumptions!$B$5*(R7-R4)</f>
        <v>3.8219442381471977</v>
      </c>
      <c r="S14" s="2">
        <f>Assumptions!$B$5*(S7-S4)</f>
        <v>3.7532865572223977</v>
      </c>
      <c r="T14" s="2">
        <f>Assumptions!$B$5*(T7-T4)</f>
        <v>3.6846288762975981</v>
      </c>
      <c r="U14" s="2">
        <f>Assumptions!$B$5*(U7-U4)</f>
        <v>3.615971195372798</v>
      </c>
      <c r="V14" s="2">
        <f>Assumptions!$B$5*(V7-V4)</f>
        <v>3.5473135144479984</v>
      </c>
      <c r="W14" s="2">
        <f>Assumptions!$B$5*(W7-W4)</f>
        <v>3.4786558335231983</v>
      </c>
      <c r="X14" s="2">
        <f>Assumptions!$B$5*(X7-X4)</f>
        <v>3.4099981525983978</v>
      </c>
      <c r="Y14" s="2">
        <f>Assumptions!$B$5*(Y7-Y4)</f>
        <v>3.3413404716735982</v>
      </c>
      <c r="Z14" s="2">
        <f>Assumptions!$B$5*(Z7-Z4)</f>
        <v>3.2726827907487981</v>
      </c>
      <c r="AA14" s="2">
        <f>Assumptions!$B$5*(AA7-AA4)</f>
        <v>3.2040251098239985</v>
      </c>
      <c r="AB14" s="2"/>
      <c r="AC14" s="2"/>
      <c r="AD14" s="2"/>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5D8F7-9493-4C85-9207-3245E7A03C06}">
  <dimension ref="A1:AA4"/>
  <sheetViews>
    <sheetView topLeftCell="I1" workbookViewId="0">
      <selection activeCell="AA3" sqref="AA3"/>
    </sheetView>
  </sheetViews>
  <sheetFormatPr defaultColWidth="8.88671875" defaultRowHeight="14.4" x14ac:dyDescent="0.3"/>
  <cols>
    <col min="1" max="1" width="58.109375" customWidth="1"/>
    <col min="2" max="2" width="9.33203125" bestFit="1" customWidth="1"/>
    <col min="3" max="4" width="9.44140625" bestFit="1" customWidth="1"/>
    <col min="5" max="16" width="9.6640625" bestFit="1" customWidth="1"/>
    <col min="17" max="19" width="10.44140625" bestFit="1" customWidth="1"/>
    <col min="20" max="27" width="10.6640625" bestFit="1" customWidth="1"/>
  </cols>
  <sheetData>
    <row r="1" spans="1:27" x14ac:dyDescent="0.3">
      <c r="B1">
        <v>2025</v>
      </c>
      <c r="C1">
        <v>2026</v>
      </c>
      <c r="D1">
        <v>2027</v>
      </c>
      <c r="E1">
        <v>2028</v>
      </c>
      <c r="F1">
        <v>2029</v>
      </c>
      <c r="G1">
        <v>2030</v>
      </c>
      <c r="H1">
        <v>2031</v>
      </c>
      <c r="I1">
        <v>2032</v>
      </c>
      <c r="J1">
        <v>2033</v>
      </c>
      <c r="K1">
        <v>2034</v>
      </c>
      <c r="L1">
        <v>2035</v>
      </c>
      <c r="M1">
        <v>2036</v>
      </c>
      <c r="N1">
        <v>2037</v>
      </c>
      <c r="O1">
        <v>2038</v>
      </c>
      <c r="P1">
        <v>2039</v>
      </c>
      <c r="Q1">
        <v>2040</v>
      </c>
      <c r="R1">
        <v>2041</v>
      </c>
      <c r="S1">
        <v>2042</v>
      </c>
      <c r="T1">
        <v>2043</v>
      </c>
      <c r="U1">
        <v>2044</v>
      </c>
      <c r="V1">
        <v>2045</v>
      </c>
      <c r="W1">
        <v>2046</v>
      </c>
      <c r="X1">
        <v>2047</v>
      </c>
      <c r="Y1">
        <v>2048</v>
      </c>
      <c r="Z1">
        <v>2049</v>
      </c>
      <c r="AA1">
        <v>2050</v>
      </c>
    </row>
    <row r="2" spans="1:27" x14ac:dyDescent="0.3">
      <c r="A2" t="s">
        <v>102</v>
      </c>
      <c r="B2" s="21">
        <f>0</f>
        <v>0</v>
      </c>
      <c r="C2" s="21">
        <f>B2+'Public Charging Ports'!C5*Assumptions!$B$7</f>
        <v>45</v>
      </c>
      <c r="D2" s="21">
        <f>C2+'Public Charging Ports'!D5*Assumptions!$B$7</f>
        <v>165</v>
      </c>
      <c r="E2" s="21">
        <f>D2+'Public Charging Ports'!E5*Assumptions!$B$7</f>
        <v>335</v>
      </c>
      <c r="F2" s="21">
        <f>E2+'Public Charging Ports'!F5*Assumptions!$B$7</f>
        <v>525</v>
      </c>
      <c r="G2" s="21">
        <f>F2+'Public Charging Ports'!G5*Assumptions!$B$7</f>
        <v>715</v>
      </c>
      <c r="H2" s="21">
        <f>G2+'Public Charging Ports'!H5*Assumptions!$B$7</f>
        <v>905</v>
      </c>
      <c r="I2" s="21">
        <f>H2+'Public Charging Ports'!I5*Assumptions!$B$7</f>
        <v>1095</v>
      </c>
      <c r="J2" s="21">
        <f>I2+'Public Charging Ports'!J5*Assumptions!$B$7</f>
        <v>1285</v>
      </c>
      <c r="K2" s="21">
        <f>J2+'Public Charging Ports'!K5*Assumptions!$B$7</f>
        <v>1475</v>
      </c>
      <c r="L2" s="21">
        <f>K2+'Public Charging Ports'!L5*Assumptions!$B$7</f>
        <v>1665</v>
      </c>
      <c r="M2" s="21">
        <f>L2+'Public Charging Ports'!M5*Assumptions!$B$7</f>
        <v>1855</v>
      </c>
      <c r="N2" s="21">
        <f>M2+'Public Charging Ports'!N5*Assumptions!$B$7</f>
        <v>2045</v>
      </c>
      <c r="O2" s="21">
        <f>N2+'Public Charging Ports'!O5*Assumptions!$B$7</f>
        <v>2235</v>
      </c>
      <c r="P2" s="21">
        <f>O2+'Public Charging Ports'!P5*Assumptions!$B$7</f>
        <v>2425</v>
      </c>
      <c r="Q2" s="21">
        <f>P2+'Public Charging Ports'!Q5*Assumptions!$B$7</f>
        <v>2615</v>
      </c>
      <c r="R2" s="21">
        <f>Q2+'Public Charging Ports'!R5*Assumptions!$B$7</f>
        <v>2805</v>
      </c>
      <c r="S2" s="21">
        <f>R2+'Public Charging Ports'!S5*Assumptions!$B$7</f>
        <v>2995</v>
      </c>
      <c r="T2" s="21">
        <f>S2+'Public Charging Ports'!T5*Assumptions!$B$7</f>
        <v>3185</v>
      </c>
      <c r="U2" s="21">
        <f>T2+'Public Charging Ports'!U5*Assumptions!$B$7</f>
        <v>3375</v>
      </c>
      <c r="V2" s="21">
        <f>U2+'Public Charging Ports'!V5*Assumptions!$B$7</f>
        <v>3565</v>
      </c>
      <c r="W2" s="21">
        <f>V2+'Public Charging Ports'!W5*Assumptions!$B$7</f>
        <v>3755</v>
      </c>
      <c r="X2" s="21">
        <f>W2+'Public Charging Ports'!X5*Assumptions!$B$7</f>
        <v>3945</v>
      </c>
      <c r="Y2" s="21">
        <f>X2+'Public Charging Ports'!Y5*Assumptions!$B$7</f>
        <v>4135</v>
      </c>
      <c r="Z2" s="21">
        <f>Y2+'Public Charging Ports'!Z5*Assumptions!$B$7</f>
        <v>4325</v>
      </c>
      <c r="AA2" s="21">
        <f>Z2+'Public Charging Ports'!AA5*Assumptions!$B$7</f>
        <v>4515</v>
      </c>
    </row>
    <row r="3" spans="1:27" x14ac:dyDescent="0.3">
      <c r="A3" t="s">
        <v>43</v>
      </c>
      <c r="B3" s="20">
        <v>0</v>
      </c>
      <c r="C3" s="20">
        <f>B3+'Vehicle Count'!C13*Assumptions!$B$6</f>
        <v>280</v>
      </c>
      <c r="D3" s="20">
        <f>C3+'Vehicle Count'!D13*Assumptions!$B$6</f>
        <v>770</v>
      </c>
      <c r="E3" s="20">
        <f>D3+'Vehicle Count'!E13*Assumptions!$B$6</f>
        <v>1344</v>
      </c>
      <c r="F3" s="20">
        <f>E3+'Vehicle Count'!F13*Assumptions!$B$6</f>
        <v>1974</v>
      </c>
      <c r="G3" s="20">
        <f>F3+'Vehicle Count'!G13*Assumptions!$B$6</f>
        <v>2604</v>
      </c>
      <c r="H3" s="20">
        <f>G3+'Vehicle Count'!H13*Assumptions!$B$6</f>
        <v>3234</v>
      </c>
      <c r="I3" s="20">
        <f>H3+'Vehicle Count'!I13*Assumptions!$B$6</f>
        <v>3864</v>
      </c>
      <c r="J3" s="20">
        <f>I3+'Vehicle Count'!J13*Assumptions!$B$6</f>
        <v>4494</v>
      </c>
      <c r="K3" s="20">
        <f>J3+'Vehicle Count'!K13*Assumptions!$B$6</f>
        <v>5124</v>
      </c>
      <c r="L3" s="20">
        <f>K3+'Vehicle Count'!L13*Assumptions!$B$6</f>
        <v>5754</v>
      </c>
      <c r="M3" s="20">
        <f>L3+'Vehicle Count'!M13*Assumptions!$B$6</f>
        <v>6384</v>
      </c>
      <c r="N3" s="20">
        <f>M3+'Vehicle Count'!N13*Assumptions!$B$6</f>
        <v>7014</v>
      </c>
      <c r="O3" s="20">
        <f>N3+'Vehicle Count'!O13*Assumptions!$B$6</f>
        <v>7644</v>
      </c>
      <c r="P3" s="20">
        <f>O3+'Vehicle Count'!P13*Assumptions!$B$6</f>
        <v>8274</v>
      </c>
      <c r="Q3" s="20">
        <f>P3+'Vehicle Count'!Q13*Assumptions!$B$6</f>
        <v>8904</v>
      </c>
      <c r="R3" s="20">
        <f>Q3+'Vehicle Count'!R13*Assumptions!$B$6</f>
        <v>9534</v>
      </c>
      <c r="S3" s="20">
        <f>R3+'Vehicle Count'!S13*Assumptions!$B$6</f>
        <v>10164</v>
      </c>
      <c r="T3" s="20">
        <f>S3+'Vehicle Count'!T13*Assumptions!$B$6</f>
        <v>10794</v>
      </c>
      <c r="U3" s="20">
        <f>T3+'Vehicle Count'!U13*Assumptions!$B$6</f>
        <v>11424</v>
      </c>
      <c r="V3" s="20">
        <f>U3+'Vehicle Count'!V13*Assumptions!$B$6</f>
        <v>12054</v>
      </c>
      <c r="W3" s="20">
        <f>V3+'Vehicle Count'!W13*Assumptions!$B$6</f>
        <v>12684</v>
      </c>
      <c r="X3" s="20">
        <f>W3+'Vehicle Count'!X13*Assumptions!$B$6</f>
        <v>13314</v>
      </c>
      <c r="Y3" s="20">
        <f>X3+'Vehicle Count'!Y13*Assumptions!$B$6</f>
        <v>13944</v>
      </c>
      <c r="Z3" s="20">
        <f>Y3+'Vehicle Count'!Z13*Assumptions!$B$6</f>
        <v>14574</v>
      </c>
      <c r="AA3" s="20">
        <f>Z3+'Vehicle Count'!AA13*Assumptions!$B$6</f>
        <v>15204</v>
      </c>
    </row>
    <row r="4" spans="1:27" x14ac:dyDescent="0.3">
      <c r="A4" t="s">
        <v>44</v>
      </c>
      <c r="B4" s="17">
        <f>SUM(B2:B3)</f>
        <v>0</v>
      </c>
      <c r="C4" s="17">
        <f>SUM(C2:C3)</f>
        <v>325</v>
      </c>
      <c r="D4" s="17">
        <f t="shared" ref="D4:AA4" si="0">SUM(D2:D3)</f>
        <v>935</v>
      </c>
      <c r="E4" s="17">
        <f t="shared" si="0"/>
        <v>1679</v>
      </c>
      <c r="F4" s="17">
        <f t="shared" si="0"/>
        <v>2499</v>
      </c>
      <c r="G4" s="17">
        <f t="shared" si="0"/>
        <v>3319</v>
      </c>
      <c r="H4" s="17">
        <f t="shared" si="0"/>
        <v>4139</v>
      </c>
      <c r="I4" s="17">
        <f t="shared" si="0"/>
        <v>4959</v>
      </c>
      <c r="J4" s="17">
        <f t="shared" si="0"/>
        <v>5779</v>
      </c>
      <c r="K4" s="17">
        <f t="shared" si="0"/>
        <v>6599</v>
      </c>
      <c r="L4" s="17">
        <f t="shared" si="0"/>
        <v>7419</v>
      </c>
      <c r="M4" s="17">
        <f t="shared" si="0"/>
        <v>8239</v>
      </c>
      <c r="N4" s="17">
        <f t="shared" si="0"/>
        <v>9059</v>
      </c>
      <c r="O4" s="17">
        <f t="shared" si="0"/>
        <v>9879</v>
      </c>
      <c r="P4" s="17">
        <f t="shared" si="0"/>
        <v>10699</v>
      </c>
      <c r="Q4" s="17">
        <f t="shared" si="0"/>
        <v>11519</v>
      </c>
      <c r="R4" s="17">
        <f t="shared" si="0"/>
        <v>12339</v>
      </c>
      <c r="S4" s="17">
        <f t="shared" si="0"/>
        <v>13159</v>
      </c>
      <c r="T4" s="17">
        <f t="shared" si="0"/>
        <v>13979</v>
      </c>
      <c r="U4" s="17">
        <f t="shared" si="0"/>
        <v>14799</v>
      </c>
      <c r="V4" s="17">
        <f t="shared" si="0"/>
        <v>15619</v>
      </c>
      <c r="W4" s="17">
        <f t="shared" si="0"/>
        <v>16439</v>
      </c>
      <c r="X4" s="17">
        <f t="shared" si="0"/>
        <v>17259</v>
      </c>
      <c r="Y4" s="17">
        <f t="shared" si="0"/>
        <v>18079</v>
      </c>
      <c r="Z4" s="17">
        <f t="shared" si="0"/>
        <v>18899</v>
      </c>
      <c r="AA4" s="17">
        <f t="shared" si="0"/>
        <v>19719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66B9A-0E05-4C07-B140-3D2D872CE1EE}">
  <dimension ref="A1:AA8"/>
  <sheetViews>
    <sheetView workbookViewId="0">
      <selection activeCell="B5" sqref="B5:G5"/>
    </sheetView>
  </sheetViews>
  <sheetFormatPr defaultColWidth="8.88671875" defaultRowHeight="14.4" x14ac:dyDescent="0.3"/>
  <cols>
    <col min="1" max="1" width="42.6640625" customWidth="1"/>
    <col min="2" max="27" width="11.6640625" customWidth="1"/>
  </cols>
  <sheetData>
    <row r="1" spans="1:27" x14ac:dyDescent="0.3">
      <c r="B1">
        <v>2025</v>
      </c>
      <c r="C1">
        <v>2026</v>
      </c>
      <c r="D1">
        <v>2027</v>
      </c>
      <c r="E1">
        <v>2028</v>
      </c>
      <c r="F1">
        <v>2029</v>
      </c>
      <c r="G1">
        <v>2030</v>
      </c>
      <c r="H1">
        <v>2031</v>
      </c>
      <c r="I1">
        <v>2032</v>
      </c>
      <c r="J1">
        <v>2033</v>
      </c>
      <c r="K1">
        <v>2034</v>
      </c>
      <c r="L1">
        <v>2035</v>
      </c>
      <c r="M1">
        <v>2036</v>
      </c>
      <c r="N1">
        <v>2037</v>
      </c>
      <c r="O1">
        <v>2038</v>
      </c>
      <c r="P1">
        <v>2039</v>
      </c>
      <c r="Q1">
        <v>2040</v>
      </c>
      <c r="R1">
        <v>2041</v>
      </c>
      <c r="S1">
        <v>2042</v>
      </c>
      <c r="T1">
        <v>2043</v>
      </c>
      <c r="U1">
        <v>2044</v>
      </c>
      <c r="V1">
        <v>2045</v>
      </c>
      <c r="W1">
        <v>2046</v>
      </c>
      <c r="X1">
        <v>2047</v>
      </c>
      <c r="Y1">
        <v>2048</v>
      </c>
      <c r="Z1">
        <v>2049</v>
      </c>
      <c r="AA1">
        <v>2050</v>
      </c>
    </row>
    <row r="2" spans="1:27" x14ac:dyDescent="0.3">
      <c r="A2" t="s">
        <v>45</v>
      </c>
      <c r="B2" s="17">
        <f>'Member Growth'!C20*Assumptions!$B$3*Assumptions!$B$4</f>
        <v>7874999.9999999991</v>
      </c>
      <c r="C2" s="17">
        <f>'Member Growth'!D20*Assumptions!$B$3*Assumptions!$B$4</f>
        <v>26381250</v>
      </c>
      <c r="D2" s="17">
        <f>'Member Growth'!E20*Assumptions!$B$3*Assumptions!$B$4</f>
        <v>46068750</v>
      </c>
      <c r="E2" s="17">
        <f>'Member Growth'!F20*Assumptions!$B$3*Assumptions!$B$4</f>
        <v>60479999.999999993</v>
      </c>
      <c r="F2" s="17">
        <f>'Member Growth'!G20*Assumptions!$B$3*Assumptions!$B$4</f>
        <v>67725000</v>
      </c>
      <c r="G2" s="17">
        <f>'Member Growth'!H20*Assumptions!$B$3*Assumptions!$B$4</f>
        <v>70245000</v>
      </c>
      <c r="H2" s="17">
        <f>'Member Growth'!I20*Assumptions!$B$3*Assumptions!$B$4</f>
        <v>70875000</v>
      </c>
      <c r="I2" s="17">
        <f>'Member Growth'!J20*Assumptions!$B$3*Assumptions!$B$4</f>
        <v>70875000</v>
      </c>
      <c r="J2" s="17">
        <f>'Member Growth'!K20*Assumptions!$B$3*Assumptions!$B$4</f>
        <v>70875000</v>
      </c>
      <c r="K2" s="17">
        <f>'Member Growth'!L20*Assumptions!$B$3*Assumptions!$B$4</f>
        <v>70875000</v>
      </c>
      <c r="L2" s="17">
        <f>'Member Growth'!M20*Assumptions!$B$3*Assumptions!$B$4</f>
        <v>70875000</v>
      </c>
      <c r="M2" s="17">
        <f>'Member Growth'!N20*Assumptions!$B$3*Assumptions!$B$4</f>
        <v>70875000</v>
      </c>
      <c r="N2" s="17">
        <f>'Member Growth'!O20*Assumptions!$B$3*Assumptions!$B$4</f>
        <v>70875000</v>
      </c>
      <c r="O2" s="17">
        <f>'Member Growth'!P20*Assumptions!$B$3*Assumptions!$B$4</f>
        <v>70875000</v>
      </c>
      <c r="P2" s="17">
        <f>'Member Growth'!Q20*Assumptions!$B$3*Assumptions!$B$4</f>
        <v>70875000</v>
      </c>
      <c r="Q2" s="17">
        <f>'Member Growth'!R20*Assumptions!$B$3*Assumptions!$B$4</f>
        <v>70875000</v>
      </c>
      <c r="R2" s="17">
        <f>'Member Growth'!S20*Assumptions!$B$3*Assumptions!$B$4</f>
        <v>70875000</v>
      </c>
      <c r="S2" s="17">
        <f>'Member Growth'!T20*Assumptions!$B$3*Assumptions!$B$4</f>
        <v>70875000</v>
      </c>
      <c r="T2" s="17">
        <f>'Member Growth'!U20*Assumptions!$B$3*Assumptions!$B$4</f>
        <v>70875000</v>
      </c>
      <c r="U2" s="17">
        <f>'Member Growth'!V20*Assumptions!$B$3*Assumptions!$B$4</f>
        <v>70875000</v>
      </c>
      <c r="V2" s="17">
        <f>'Member Growth'!W20*Assumptions!$B$3*Assumptions!$B$4</f>
        <v>70875000</v>
      </c>
      <c r="W2" s="17">
        <f>'Member Growth'!X20*Assumptions!$B$3*Assumptions!$B$4</f>
        <v>70875000</v>
      </c>
      <c r="X2" s="17">
        <f>'Member Growth'!Y20*Assumptions!$B$3*Assumptions!$B$4</f>
        <v>70875000</v>
      </c>
      <c r="Y2" s="17">
        <f>'Member Growth'!Z20*Assumptions!$B$3*Assumptions!$B$4</f>
        <v>70875000</v>
      </c>
      <c r="Z2" s="17">
        <f>'Member Growth'!AA20*Assumptions!$B$3*Assumptions!$B$4</f>
        <v>70875000</v>
      </c>
      <c r="AA2" s="17">
        <f>'Member Growth'!AB20*Assumptions!$B$3*Assumptions!$B$4</f>
        <v>70875000</v>
      </c>
    </row>
    <row r="3" spans="1:27" x14ac:dyDescent="0.3">
      <c r="A3" t="s">
        <v>46</v>
      </c>
      <c r="B3" s="19">
        <f>'Member Growth'!C20*'Carbon Intensity of Fuels'!B12</f>
        <v>1714.5777600000001</v>
      </c>
      <c r="C3" s="19">
        <f>'Member Growth'!D20*'Carbon Intensity of Fuels'!C12</f>
        <v>5829.9930284399998</v>
      </c>
      <c r="D3" s="19">
        <f>'Member Growth'!E20*'Carbon Intensity of Fuels'!D12</f>
        <v>10331.188292879999</v>
      </c>
      <c r="E3" s="19">
        <f>'Member Growth'!F20*'Carbon Intensity of Fuels'!E12</f>
        <v>13760.515270655997</v>
      </c>
      <c r="F3" s="19">
        <f>'Member Growth'!G20*'Carbon Intensity of Fuels'!F12</f>
        <v>15630.090860159999</v>
      </c>
      <c r="G3" s="19">
        <f>'Member Growth'!H20*'Carbon Intensity of Fuels'!G12</f>
        <v>16441.086140639996</v>
      </c>
      <c r="H3" s="19">
        <f>'Member Growth'!I20*'Carbon Intensity of Fuels'!H12</f>
        <v>16820.007825599998</v>
      </c>
      <c r="I3" s="19">
        <f>'Member Growth'!J20*'Carbon Intensity of Fuels'!I12</f>
        <v>17051.475823199995</v>
      </c>
      <c r="J3" s="19">
        <f>'Member Growth'!K20*'Carbon Intensity of Fuels'!J12</f>
        <v>17282.943820799996</v>
      </c>
      <c r="K3" s="19">
        <f>'Member Growth'!L20*'Carbon Intensity of Fuels'!K12</f>
        <v>17514.411818399993</v>
      </c>
      <c r="L3" s="19">
        <f>'Member Growth'!M20*'Carbon Intensity of Fuels'!L12</f>
        <v>17745.879815999997</v>
      </c>
      <c r="M3" s="19">
        <f>'Member Growth'!N20*'Carbon Intensity of Fuels'!M12</f>
        <v>17977.347813599994</v>
      </c>
      <c r="N3" s="19">
        <f>'Member Growth'!O20*'Carbon Intensity of Fuels'!N12</f>
        <v>18208.815811199995</v>
      </c>
      <c r="O3" s="19">
        <f>'Member Growth'!P20*'Carbon Intensity of Fuels'!O12</f>
        <v>18440.283808799992</v>
      </c>
      <c r="P3" s="19">
        <f>'Member Growth'!Q20*'Carbon Intensity of Fuels'!P12</f>
        <v>18671.751806399992</v>
      </c>
      <c r="Q3" s="19">
        <f>'Member Growth'!R20*'Carbon Intensity of Fuels'!Q12</f>
        <v>18903.219803999989</v>
      </c>
      <c r="R3" s="19">
        <f>'Member Growth'!S20*'Carbon Intensity of Fuels'!R12</f>
        <v>18993.235136399991</v>
      </c>
      <c r="S3" s="19">
        <f>'Member Growth'!T20*'Carbon Intensity of Fuels'!S12</f>
        <v>19083.250468799994</v>
      </c>
      <c r="T3" s="19">
        <f>'Member Growth'!U20*'Carbon Intensity of Fuels'!T12</f>
        <v>19173.265801199996</v>
      </c>
      <c r="U3" s="19">
        <f>'Member Growth'!V20*'Carbon Intensity of Fuels'!U12</f>
        <v>19263.281133599998</v>
      </c>
      <c r="V3" s="19">
        <f>'Member Growth'!W20*'Carbon Intensity of Fuels'!V12</f>
        <v>19353.296465999996</v>
      </c>
      <c r="W3" s="19">
        <f>'Member Growth'!X20*'Carbon Intensity of Fuels'!W12</f>
        <v>19443.311798399991</v>
      </c>
      <c r="X3" s="19">
        <f>'Member Growth'!Y20*'Carbon Intensity of Fuels'!X12</f>
        <v>19533.327130799993</v>
      </c>
      <c r="Y3" s="19">
        <f>'Member Growth'!Z20*'Carbon Intensity of Fuels'!Y12</f>
        <v>19623.342463199995</v>
      </c>
      <c r="Z3" s="19">
        <f>'Member Growth'!AA20*'Carbon Intensity of Fuels'!Z12</f>
        <v>19713.357795599994</v>
      </c>
      <c r="AA3" s="19">
        <f>'Member Growth'!AB20*'Carbon Intensity of Fuels'!AA12</f>
        <v>19803.373127999988</v>
      </c>
    </row>
    <row r="4" spans="1:27" x14ac:dyDescent="0.3">
      <c r="A4" t="s">
        <v>47</v>
      </c>
      <c r="B4" s="19">
        <f>B2/Assumptions!$B$5</f>
        <v>686.75329205546348</v>
      </c>
      <c r="C4" s="19">
        <f>C2/Assumptions!$B$5</f>
        <v>2300.6235283858027</v>
      </c>
      <c r="D4" s="19">
        <f>D2/Assumptions!$B$5</f>
        <v>4017.5067585244615</v>
      </c>
      <c r="E4" s="19">
        <f>E2/Assumptions!$B$5</f>
        <v>5274.2652829859589</v>
      </c>
      <c r="F4" s="19">
        <f>F2/Assumptions!$B$5</f>
        <v>5906.0783116769862</v>
      </c>
      <c r="G4" s="19">
        <f>G2/Assumptions!$B$5</f>
        <v>6125.8393651347342</v>
      </c>
      <c r="H4" s="19">
        <f>H2/Assumptions!$B$5</f>
        <v>6180.7796284991718</v>
      </c>
      <c r="I4" s="19">
        <f>I2/Assumptions!$B$5</f>
        <v>6180.7796284991718</v>
      </c>
      <c r="J4" s="19">
        <f>J2/Assumptions!$B$5</f>
        <v>6180.7796284991718</v>
      </c>
      <c r="K4" s="19">
        <f>K2/Assumptions!$B$5</f>
        <v>6180.7796284991718</v>
      </c>
      <c r="L4" s="19">
        <f>L2/Assumptions!$B$5</f>
        <v>6180.7796284991718</v>
      </c>
      <c r="M4" s="19">
        <f>M2/Assumptions!$B$5</f>
        <v>6180.7796284991718</v>
      </c>
      <c r="N4" s="19">
        <f>N2/Assumptions!$B$5</f>
        <v>6180.7796284991718</v>
      </c>
      <c r="O4" s="19">
        <f>O2/Assumptions!$B$5</f>
        <v>6180.7796284991718</v>
      </c>
      <c r="P4" s="19">
        <f>P2/Assumptions!$B$5</f>
        <v>6180.7796284991718</v>
      </c>
      <c r="Q4" s="19">
        <f>Q2/Assumptions!$B$5</f>
        <v>6180.7796284991718</v>
      </c>
      <c r="R4" s="19">
        <f>R2/Assumptions!$B$5</f>
        <v>6180.7796284991718</v>
      </c>
      <c r="S4" s="19">
        <f>S2/Assumptions!$B$5</f>
        <v>6180.7796284991718</v>
      </c>
      <c r="T4" s="19">
        <f>T2/Assumptions!$B$5</f>
        <v>6180.7796284991718</v>
      </c>
      <c r="U4" s="19">
        <f>U2/Assumptions!$B$5</f>
        <v>6180.7796284991718</v>
      </c>
      <c r="V4" s="19">
        <f>V2/Assumptions!$B$5</f>
        <v>6180.7796284991718</v>
      </c>
      <c r="W4" s="19">
        <f>W2/Assumptions!$B$5</f>
        <v>6180.7796284991718</v>
      </c>
      <c r="X4" s="19">
        <f>X2/Assumptions!$B$5</f>
        <v>6180.7796284991718</v>
      </c>
      <c r="Y4" s="19">
        <f>Y2/Assumptions!$B$5</f>
        <v>6180.7796284991718</v>
      </c>
      <c r="Z4" s="19">
        <f>Z2/Assumptions!$B$5</f>
        <v>6180.7796284991718</v>
      </c>
      <c r="AA4" s="19">
        <f>AA2/Assumptions!$B$5</f>
        <v>6180.7796284991718</v>
      </c>
    </row>
    <row r="5" spans="1:27" x14ac:dyDescent="0.3">
      <c r="A5" t="s">
        <v>48</v>
      </c>
      <c r="B5" s="19">
        <f>B4/'Vehicle Count'!C13</f>
        <v>3.4337664602773175</v>
      </c>
      <c r="C5" s="19">
        <f>C4/'Vehicle Count'!D13</f>
        <v>6.5732100811022933</v>
      </c>
      <c r="D5" s="19">
        <f>D4/'Vehicle Count'!E13</f>
        <v>9.7987969720108818</v>
      </c>
      <c r="E5" s="19">
        <f>E4/'Vehicle Count'!F13</f>
        <v>11.720589517746575</v>
      </c>
      <c r="F5" s="19">
        <f>F4/'Vehicle Count'!G13</f>
        <v>13.124618470393303</v>
      </c>
      <c r="G5" s="19">
        <f>G4/'Vehicle Count'!H13</f>
        <v>13.612976366966077</v>
      </c>
      <c r="H5" s="19">
        <f>H4/'Vehicle Count'!I13</f>
        <v>13.735065841109272</v>
      </c>
      <c r="I5" s="19">
        <f>I4/'Vehicle Count'!J13</f>
        <v>13.735065841109272</v>
      </c>
      <c r="J5" s="19">
        <f>J4/'Vehicle Count'!K13</f>
        <v>13.735065841109272</v>
      </c>
      <c r="K5" s="19">
        <f>K4/'Vehicle Count'!L13</f>
        <v>13.735065841109272</v>
      </c>
      <c r="L5" s="19">
        <f>L4/'Vehicle Count'!M13</f>
        <v>13.735065841109272</v>
      </c>
      <c r="M5" s="19">
        <f>M4/'Vehicle Count'!N13</f>
        <v>13.735065841109272</v>
      </c>
      <c r="N5" s="19">
        <f>N4/'Vehicle Count'!O13</f>
        <v>13.735065841109272</v>
      </c>
      <c r="O5" s="19">
        <f>O4/'Vehicle Count'!P13</f>
        <v>13.735065841109272</v>
      </c>
      <c r="P5" s="19">
        <f>P4/'Vehicle Count'!Q13</f>
        <v>13.735065841109272</v>
      </c>
      <c r="Q5" s="19">
        <f>Q4/'Vehicle Count'!R13</f>
        <v>13.735065841109272</v>
      </c>
      <c r="R5" s="19">
        <f>R4/'Vehicle Count'!S13</f>
        <v>13.735065841109272</v>
      </c>
      <c r="S5" s="19">
        <f>S4/'Vehicle Count'!T13</f>
        <v>13.735065841109272</v>
      </c>
      <c r="T5" s="19">
        <f>T4/'Vehicle Count'!U13</f>
        <v>13.735065841109272</v>
      </c>
      <c r="U5" s="19">
        <f>U4/'Vehicle Count'!V13</f>
        <v>13.735065841109272</v>
      </c>
      <c r="V5" s="19">
        <f>V4/'Vehicle Count'!W13</f>
        <v>13.735065841109272</v>
      </c>
      <c r="W5" s="19">
        <f>W4/'Vehicle Count'!X13</f>
        <v>13.735065841109272</v>
      </c>
      <c r="X5" s="19">
        <f>X4/'Vehicle Count'!Y13</f>
        <v>13.735065841109272</v>
      </c>
      <c r="Y5" s="19">
        <f>Y4/'Vehicle Count'!Z13</f>
        <v>13.735065841109272</v>
      </c>
      <c r="Z5" s="19">
        <f>Z4/'Vehicle Count'!AA13</f>
        <v>13.735065841109272</v>
      </c>
      <c r="AA5" s="19">
        <f>AA4/'Vehicle Count'!AB13</f>
        <v>13.735065841109272</v>
      </c>
    </row>
    <row r="8" spans="1:27" x14ac:dyDescent="0.3">
      <c r="C8" s="2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BF925-824C-4488-B28C-1FBD0175F2C3}">
  <dimension ref="A1:AA4"/>
  <sheetViews>
    <sheetView workbookViewId="0">
      <selection activeCell="B4" sqref="B4:G4"/>
    </sheetView>
  </sheetViews>
  <sheetFormatPr defaultColWidth="8.88671875" defaultRowHeight="14.4" x14ac:dyDescent="0.3"/>
  <cols>
    <col min="1" max="1" width="30.88671875" customWidth="1"/>
    <col min="2" max="27" width="12.109375" customWidth="1"/>
  </cols>
  <sheetData>
    <row r="1" spans="1:27" x14ac:dyDescent="0.3">
      <c r="B1">
        <v>2025</v>
      </c>
      <c r="C1">
        <v>2026</v>
      </c>
      <c r="D1">
        <v>2027</v>
      </c>
      <c r="E1">
        <v>2028</v>
      </c>
      <c r="F1">
        <v>2029</v>
      </c>
      <c r="G1">
        <v>2030</v>
      </c>
      <c r="H1">
        <v>2031</v>
      </c>
      <c r="I1">
        <v>2032</v>
      </c>
      <c r="J1">
        <v>2033</v>
      </c>
      <c r="K1">
        <v>2034</v>
      </c>
      <c r="L1">
        <v>2035</v>
      </c>
      <c r="M1">
        <v>2036</v>
      </c>
      <c r="N1">
        <v>2037</v>
      </c>
      <c r="O1">
        <v>2038</v>
      </c>
      <c r="P1">
        <v>2039</v>
      </c>
      <c r="Q1">
        <v>2040</v>
      </c>
      <c r="R1">
        <v>2041</v>
      </c>
      <c r="S1">
        <v>2042</v>
      </c>
      <c r="T1">
        <v>2043</v>
      </c>
      <c r="U1">
        <v>2044</v>
      </c>
      <c r="V1">
        <v>2045</v>
      </c>
      <c r="W1">
        <v>2046</v>
      </c>
      <c r="X1">
        <v>2047</v>
      </c>
      <c r="Y1">
        <v>2048</v>
      </c>
      <c r="Z1">
        <v>2049</v>
      </c>
      <c r="AA1">
        <v>2050</v>
      </c>
    </row>
    <row r="2" spans="1:27" x14ac:dyDescent="0.3">
      <c r="A2" s="4" t="s">
        <v>49</v>
      </c>
      <c r="B2" s="5">
        <f>'Member Growth'!C9*Assumptions!$B$8</f>
        <v>8835000</v>
      </c>
      <c r="C2" s="5">
        <f>'Member Growth'!D9*Assumptions!$B$8</f>
        <v>27388500</v>
      </c>
      <c r="D2" s="5">
        <f>'Member Growth'!E9*Assumptions!$B$8</f>
        <v>43291500</v>
      </c>
      <c r="E2" s="5">
        <f>'Member Growth'!F9*Assumptions!$B$8</f>
        <v>51243000</v>
      </c>
      <c r="F2" s="5">
        <f>'Member Growth'!G9*Assumptions!$B$8</f>
        <v>53010000</v>
      </c>
      <c r="G2" s="5">
        <f>'Member Growth'!H9*Assumptions!$B$8</f>
        <v>53010000</v>
      </c>
      <c r="H2" s="5">
        <f>'Member Growth'!I9*Assumptions!$B$8</f>
        <v>53010000</v>
      </c>
      <c r="I2" s="5">
        <f>'Member Growth'!J9*Assumptions!$B$8</f>
        <v>53010000</v>
      </c>
      <c r="J2" s="5">
        <f>'Member Growth'!K9*Assumptions!$B$8</f>
        <v>53010000</v>
      </c>
      <c r="K2" s="5">
        <f>'Member Growth'!L9*Assumptions!$B$8</f>
        <v>53010000</v>
      </c>
      <c r="L2" s="5">
        <f>'Member Growth'!M9*Assumptions!$B$8</f>
        <v>53010000</v>
      </c>
      <c r="M2" s="5">
        <f>'Member Growth'!N9*Assumptions!$B$8</f>
        <v>53010000</v>
      </c>
      <c r="N2" s="5">
        <f>'Member Growth'!O9*Assumptions!$B$8</f>
        <v>53010000</v>
      </c>
      <c r="O2" s="5">
        <f>'Member Growth'!P9*Assumptions!$B$8</f>
        <v>53010000</v>
      </c>
      <c r="P2" s="5">
        <f>'Member Growth'!Q9*Assumptions!$B$8</f>
        <v>53010000</v>
      </c>
      <c r="Q2" s="5">
        <f>'Member Growth'!R9*Assumptions!$B$8</f>
        <v>53010000</v>
      </c>
      <c r="R2" s="5">
        <f>'Member Growth'!S9*Assumptions!$B$8</f>
        <v>53010000</v>
      </c>
      <c r="S2" s="5">
        <f>'Member Growth'!T9*Assumptions!$B$8</f>
        <v>53010000</v>
      </c>
      <c r="T2" s="5">
        <f>'Member Growth'!U9*Assumptions!$B$8</f>
        <v>53010000</v>
      </c>
      <c r="U2" s="5">
        <f>'Member Growth'!V9*Assumptions!$B$8</f>
        <v>53010000</v>
      </c>
      <c r="V2" s="5">
        <f>'Member Growth'!W9*Assumptions!$B$8</f>
        <v>53010000</v>
      </c>
      <c r="W2" s="5">
        <f>'Member Growth'!X9*Assumptions!$B$8</f>
        <v>53010000</v>
      </c>
      <c r="X2" s="5">
        <f>'Member Growth'!Y9*Assumptions!$B$8</f>
        <v>53010000</v>
      </c>
      <c r="Y2" s="5">
        <f>'Member Growth'!Z9*Assumptions!$B$8</f>
        <v>53010000</v>
      </c>
      <c r="Z2" s="5">
        <f>'Member Growth'!AA9*Assumptions!$B$8</f>
        <v>53010000</v>
      </c>
      <c r="AA2" s="5">
        <f>'Member Growth'!AB9*Assumptions!$B$8</f>
        <v>53010000</v>
      </c>
    </row>
    <row r="3" spans="1:27" x14ac:dyDescent="0.3">
      <c r="A3" s="4" t="s">
        <v>50</v>
      </c>
      <c r="B3" s="42">
        <f>'Member Growth'!C18*Assumptions!$B$8</f>
        <v>0</v>
      </c>
      <c r="C3" s="42">
        <f>'Member Growth'!D18*Assumptions!$B$8</f>
        <v>2208750</v>
      </c>
      <c r="D3" s="42">
        <f>'Member Growth'!E18*Assumptions!$B$8</f>
        <v>8393250</v>
      </c>
      <c r="E3" s="42">
        <f>'Member Growth'!F18*Assumptions!$B$8</f>
        <v>16609800</v>
      </c>
      <c r="F3" s="42">
        <f>'Member Growth'!G18*Assumptions!$B$8</f>
        <v>22971000</v>
      </c>
      <c r="G3" s="42">
        <f>'Member Growth'!H18*Assumptions!$B$8</f>
        <v>25798200</v>
      </c>
      <c r="H3" s="42">
        <f>'Member Growth'!I18*Assumptions!$B$8</f>
        <v>26505000</v>
      </c>
      <c r="I3" s="42">
        <f>'Member Growth'!J18*Assumptions!$B$8</f>
        <v>26505000</v>
      </c>
      <c r="J3" s="42">
        <f>'Member Growth'!K18*Assumptions!$B$8</f>
        <v>26505000</v>
      </c>
      <c r="K3" s="42">
        <f>'Member Growth'!L18*Assumptions!$B$8</f>
        <v>26505000</v>
      </c>
      <c r="L3" s="42">
        <f>'Member Growth'!M18*Assumptions!$B$8</f>
        <v>26505000</v>
      </c>
      <c r="M3" s="42">
        <f>'Member Growth'!N18*Assumptions!$B$8</f>
        <v>26505000</v>
      </c>
      <c r="N3" s="42">
        <f>'Member Growth'!O18*Assumptions!$B$8</f>
        <v>26505000</v>
      </c>
      <c r="O3" s="42">
        <f>'Member Growth'!P18*Assumptions!$B$8</f>
        <v>26505000</v>
      </c>
      <c r="P3" s="42">
        <f>'Member Growth'!Q18*Assumptions!$B$8</f>
        <v>26505000</v>
      </c>
      <c r="Q3" s="42">
        <f>'Member Growth'!R18*Assumptions!$B$8</f>
        <v>26505000</v>
      </c>
      <c r="R3" s="42">
        <f>'Member Growth'!S18*Assumptions!$B$8</f>
        <v>26505000</v>
      </c>
      <c r="S3" s="42">
        <f>'Member Growth'!T18*Assumptions!$B$8</f>
        <v>26505000</v>
      </c>
      <c r="T3" s="42">
        <f>'Member Growth'!U18*Assumptions!$B$8</f>
        <v>26505000</v>
      </c>
      <c r="U3" s="42">
        <f>'Member Growth'!V18*Assumptions!$B$8</f>
        <v>26505000</v>
      </c>
      <c r="V3" s="42">
        <f>'Member Growth'!W18*Assumptions!$B$8</f>
        <v>26505000</v>
      </c>
      <c r="W3" s="42">
        <f>'Member Growth'!X18*Assumptions!$B$8</f>
        <v>26505000</v>
      </c>
      <c r="X3" s="42">
        <f>'Member Growth'!Y18*Assumptions!$B$8</f>
        <v>26505000</v>
      </c>
      <c r="Y3" s="42">
        <f>'Member Growth'!Z18*Assumptions!$B$8</f>
        <v>26505000</v>
      </c>
      <c r="Z3" s="42">
        <f>'Member Growth'!AA18*Assumptions!$B$8</f>
        <v>26505000</v>
      </c>
      <c r="AA3" s="42">
        <f>'Member Growth'!AB18*Assumptions!$B$8</f>
        <v>26505000</v>
      </c>
    </row>
    <row r="4" spans="1:27" x14ac:dyDescent="0.3">
      <c r="A4" t="s">
        <v>51</v>
      </c>
      <c r="B4" s="41">
        <f>SUM('Cost Savings'!B2,'Cost Savings'!B3)</f>
        <v>8835000</v>
      </c>
      <c r="C4" s="41">
        <f>SUM('Cost Savings'!C2,'Cost Savings'!C3)</f>
        <v>29597250</v>
      </c>
      <c r="D4" s="41">
        <f>SUM('Cost Savings'!D2,'Cost Savings'!D3)</f>
        <v>51684750</v>
      </c>
      <c r="E4" s="41">
        <f>SUM('Cost Savings'!E2,'Cost Savings'!E3)</f>
        <v>67852800</v>
      </c>
      <c r="F4" s="41">
        <f>SUM('Cost Savings'!F2,'Cost Savings'!F3)</f>
        <v>75981000</v>
      </c>
      <c r="G4" s="41">
        <f>SUM('Cost Savings'!G2,'Cost Savings'!G3)</f>
        <v>78808200</v>
      </c>
      <c r="H4" s="41">
        <f>SUM('Cost Savings'!H2,'Cost Savings'!H3)</f>
        <v>79515000</v>
      </c>
      <c r="I4" s="41">
        <f>SUM('Cost Savings'!I2,'Cost Savings'!I3)</f>
        <v>79515000</v>
      </c>
      <c r="J4" s="41">
        <f>SUM('Cost Savings'!J2,'Cost Savings'!J3)</f>
        <v>79515000</v>
      </c>
      <c r="K4" s="41">
        <f>SUM('Cost Savings'!K2,'Cost Savings'!K3)</f>
        <v>79515000</v>
      </c>
      <c r="L4" s="41">
        <f>SUM('Cost Savings'!L2,'Cost Savings'!L3)</f>
        <v>79515000</v>
      </c>
      <c r="M4" s="41">
        <f>SUM('Cost Savings'!M2,'Cost Savings'!M3)</f>
        <v>79515000</v>
      </c>
      <c r="N4" s="41">
        <f>SUM('Cost Savings'!N2,'Cost Savings'!N3)</f>
        <v>79515000</v>
      </c>
      <c r="O4" s="41">
        <f>SUM('Cost Savings'!O2,'Cost Savings'!O3)</f>
        <v>79515000</v>
      </c>
      <c r="P4" s="41">
        <f>SUM('Cost Savings'!P2,'Cost Savings'!P3)</f>
        <v>79515000</v>
      </c>
      <c r="Q4" s="41">
        <f>SUM('Cost Savings'!Q2,'Cost Savings'!Q3)</f>
        <v>79515000</v>
      </c>
      <c r="R4" s="41">
        <f>SUM('Cost Savings'!R2,'Cost Savings'!R3)</f>
        <v>79515000</v>
      </c>
      <c r="S4" s="41">
        <f>SUM('Cost Savings'!S2,'Cost Savings'!S3)</f>
        <v>79515000</v>
      </c>
      <c r="T4" s="41">
        <f>SUM('Cost Savings'!T2,'Cost Savings'!T3)</f>
        <v>79515000</v>
      </c>
      <c r="U4" s="41">
        <f>SUM('Cost Savings'!U2,'Cost Savings'!U3)</f>
        <v>79515000</v>
      </c>
      <c r="V4" s="41">
        <f>SUM('Cost Savings'!V2,'Cost Savings'!V3)</f>
        <v>79515000</v>
      </c>
      <c r="W4" s="41">
        <f>SUM('Cost Savings'!W2,'Cost Savings'!W3)</f>
        <v>79515000</v>
      </c>
      <c r="X4" s="41">
        <f>SUM('Cost Savings'!X2,'Cost Savings'!X3)</f>
        <v>79515000</v>
      </c>
      <c r="Y4" s="41">
        <f>SUM('Cost Savings'!Y2,'Cost Savings'!Y3)</f>
        <v>79515000</v>
      </c>
      <c r="Z4" s="41">
        <f>SUM('Cost Savings'!Z2,'Cost Savings'!Z3)</f>
        <v>79515000</v>
      </c>
      <c r="AA4" s="41">
        <f>SUM('Cost Savings'!AA2,'Cost Savings'!AA3)</f>
        <v>79515000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76E71-C1B0-468B-82AE-A2B3D4FD9DA4}">
  <dimension ref="A1:AB13"/>
  <sheetViews>
    <sheetView workbookViewId="0">
      <selection activeCell="F3" sqref="F3"/>
    </sheetView>
  </sheetViews>
  <sheetFormatPr defaultColWidth="8.88671875" defaultRowHeight="14.4" x14ac:dyDescent="0.3"/>
  <cols>
    <col min="1" max="1" width="22.6640625" customWidth="1"/>
    <col min="2" max="2" width="25.109375" customWidth="1"/>
    <col min="3" max="7" width="10.6640625" customWidth="1"/>
  </cols>
  <sheetData>
    <row r="1" spans="1:28" x14ac:dyDescent="0.3">
      <c r="A1" t="s">
        <v>52</v>
      </c>
      <c r="C1">
        <v>2025</v>
      </c>
      <c r="D1">
        <v>2026</v>
      </c>
      <c r="E1">
        <v>2027</v>
      </c>
      <c r="F1">
        <v>2028</v>
      </c>
      <c r="G1">
        <v>2029</v>
      </c>
      <c r="H1">
        <v>2030</v>
      </c>
      <c r="I1">
        <v>2031</v>
      </c>
      <c r="J1">
        <v>2032</v>
      </c>
      <c r="K1">
        <v>2033</v>
      </c>
      <c r="L1">
        <v>2034</v>
      </c>
      <c r="M1">
        <v>2035</v>
      </c>
      <c r="N1">
        <v>2036</v>
      </c>
      <c r="O1">
        <v>2037</v>
      </c>
      <c r="P1">
        <v>2038</v>
      </c>
      <c r="Q1">
        <v>2039</v>
      </c>
      <c r="R1">
        <v>2040</v>
      </c>
      <c r="S1">
        <v>2041</v>
      </c>
      <c r="T1">
        <v>2042</v>
      </c>
      <c r="U1">
        <v>2043</v>
      </c>
      <c r="V1">
        <v>2044</v>
      </c>
      <c r="W1">
        <v>2045</v>
      </c>
      <c r="X1">
        <v>2046</v>
      </c>
      <c r="Y1">
        <v>2047</v>
      </c>
      <c r="Z1">
        <v>2048</v>
      </c>
      <c r="AA1">
        <v>2049</v>
      </c>
      <c r="AB1">
        <v>2050</v>
      </c>
    </row>
    <row r="2" spans="1:28" x14ac:dyDescent="0.3">
      <c r="B2" t="s">
        <v>53</v>
      </c>
      <c r="C2">
        <v>200</v>
      </c>
      <c r="D2">
        <v>100</v>
      </c>
      <c r="E2">
        <v>0</v>
      </c>
      <c r="F2">
        <v>0</v>
      </c>
      <c r="G2">
        <v>0</v>
      </c>
      <c r="H2">
        <v>0</v>
      </c>
      <c r="I2">
        <v>0</v>
      </c>
      <c r="J2">
        <v>0</v>
      </c>
      <c r="K2">
        <v>0</v>
      </c>
      <c r="L2">
        <v>0</v>
      </c>
      <c r="M2">
        <v>0</v>
      </c>
      <c r="N2">
        <v>0</v>
      </c>
      <c r="O2">
        <v>0</v>
      </c>
      <c r="P2">
        <v>0</v>
      </c>
      <c r="Q2">
        <v>0</v>
      </c>
      <c r="R2">
        <v>0</v>
      </c>
      <c r="S2">
        <v>0</v>
      </c>
      <c r="T2">
        <v>0</v>
      </c>
      <c r="U2">
        <v>0</v>
      </c>
      <c r="V2">
        <v>0</v>
      </c>
      <c r="W2">
        <v>0</v>
      </c>
      <c r="X2">
        <v>0</v>
      </c>
      <c r="Y2">
        <v>0</v>
      </c>
      <c r="Z2">
        <v>0</v>
      </c>
      <c r="AA2">
        <v>0</v>
      </c>
      <c r="AB2">
        <v>0</v>
      </c>
    </row>
    <row r="3" spans="1:28" x14ac:dyDescent="0.3">
      <c r="B3" t="s">
        <v>54</v>
      </c>
      <c r="C3" s="7">
        <v>0</v>
      </c>
      <c r="D3" s="59">
        <v>50</v>
      </c>
      <c r="E3" s="7">
        <v>60</v>
      </c>
      <c r="F3" s="7">
        <v>40</v>
      </c>
      <c r="G3" s="7">
        <v>0</v>
      </c>
      <c r="H3" s="7">
        <v>0</v>
      </c>
      <c r="I3" s="7">
        <v>0</v>
      </c>
      <c r="J3" s="7">
        <v>0</v>
      </c>
      <c r="K3" s="7">
        <v>0</v>
      </c>
      <c r="L3" s="7">
        <v>0</v>
      </c>
      <c r="M3" s="7">
        <v>0</v>
      </c>
      <c r="N3" s="7">
        <v>0</v>
      </c>
      <c r="O3" s="7">
        <v>0</v>
      </c>
      <c r="P3" s="7">
        <v>0</v>
      </c>
      <c r="Q3" s="7">
        <v>0</v>
      </c>
      <c r="R3" s="7">
        <v>0</v>
      </c>
      <c r="S3" s="7">
        <v>0</v>
      </c>
      <c r="T3" s="7">
        <v>0</v>
      </c>
      <c r="U3" s="7">
        <v>0</v>
      </c>
      <c r="V3" s="7">
        <v>0</v>
      </c>
      <c r="W3" s="7">
        <v>0</v>
      </c>
      <c r="X3" s="7">
        <v>0</v>
      </c>
      <c r="Y3" s="7">
        <v>0</v>
      </c>
      <c r="Z3" s="7">
        <v>0</v>
      </c>
      <c r="AA3" s="7">
        <v>0</v>
      </c>
      <c r="AB3" s="7">
        <v>0</v>
      </c>
    </row>
    <row r="4" spans="1:28" x14ac:dyDescent="0.3">
      <c r="B4" t="s">
        <v>55</v>
      </c>
      <c r="C4">
        <f>SUM(C2:C3)</f>
        <v>200</v>
      </c>
      <c r="D4">
        <v>150</v>
      </c>
      <c r="E4">
        <f t="shared" ref="E4:G4" si="0">SUM(E2:E3)</f>
        <v>60</v>
      </c>
      <c r="F4">
        <f t="shared" si="0"/>
        <v>40</v>
      </c>
      <c r="G4">
        <f t="shared" si="0"/>
        <v>0</v>
      </c>
      <c r="H4">
        <f t="shared" ref="H4" si="1">SUM(H2:H3)</f>
        <v>0</v>
      </c>
      <c r="I4">
        <f t="shared" ref="I4" si="2">SUM(I2:I3)</f>
        <v>0</v>
      </c>
      <c r="J4">
        <f t="shared" ref="J4" si="3">SUM(J2:J3)</f>
        <v>0</v>
      </c>
      <c r="K4">
        <f t="shared" ref="K4" si="4">SUM(K2:K3)</f>
        <v>0</v>
      </c>
      <c r="L4">
        <f t="shared" ref="L4" si="5">SUM(L2:L3)</f>
        <v>0</v>
      </c>
      <c r="M4">
        <f t="shared" ref="M4" si="6">SUM(M2:M3)</f>
        <v>0</v>
      </c>
      <c r="N4">
        <f t="shared" ref="N4" si="7">SUM(N2:N3)</f>
        <v>0</v>
      </c>
      <c r="O4">
        <f t="shared" ref="O4" si="8">SUM(O2:O3)</f>
        <v>0</v>
      </c>
      <c r="P4">
        <f t="shared" ref="P4" si="9">SUM(P2:P3)</f>
        <v>0</v>
      </c>
      <c r="Q4">
        <f t="shared" ref="Q4" si="10">SUM(Q2:Q3)</f>
        <v>0</v>
      </c>
      <c r="R4">
        <f t="shared" ref="R4" si="11">SUM(R2:R3)</f>
        <v>0</v>
      </c>
      <c r="S4">
        <f t="shared" ref="S4" si="12">SUM(S2:S3)</f>
        <v>0</v>
      </c>
      <c r="T4">
        <f t="shared" ref="T4" si="13">SUM(T2:T3)</f>
        <v>0</v>
      </c>
      <c r="U4">
        <f t="shared" ref="U4" si="14">SUM(U2:U3)</f>
        <v>0</v>
      </c>
      <c r="V4">
        <f t="shared" ref="V4" si="15">SUM(V2:V3)</f>
        <v>0</v>
      </c>
      <c r="W4">
        <f t="shared" ref="W4" si="16">SUM(W2:W3)</f>
        <v>0</v>
      </c>
      <c r="X4">
        <f t="shared" ref="X4" si="17">SUM(X2:X3)</f>
        <v>0</v>
      </c>
      <c r="Y4">
        <f t="shared" ref="Y4" si="18">SUM(Y2:Y3)</f>
        <v>0</v>
      </c>
      <c r="Z4">
        <f t="shared" ref="Z4" si="19">SUM(Z2:Z3)</f>
        <v>0</v>
      </c>
      <c r="AA4">
        <f t="shared" ref="AA4" si="20">SUM(AA2:AA3)</f>
        <v>0</v>
      </c>
      <c r="AB4">
        <f t="shared" ref="AB4" si="21">SUM(AB2:AB3)</f>
        <v>0</v>
      </c>
    </row>
    <row r="6" spans="1:28" x14ac:dyDescent="0.3">
      <c r="A6" t="s">
        <v>56</v>
      </c>
    </row>
    <row r="7" spans="1:28" x14ac:dyDescent="0.3">
      <c r="B7" t="s">
        <v>57</v>
      </c>
      <c r="C7">
        <f>C2/2</f>
        <v>100</v>
      </c>
      <c r="D7">
        <f t="shared" ref="D7:G8" si="22">C11+D2/2</f>
        <v>250</v>
      </c>
      <c r="E7">
        <f t="shared" si="22"/>
        <v>300</v>
      </c>
      <c r="F7">
        <f t="shared" si="22"/>
        <v>300</v>
      </c>
      <c r="G7">
        <f t="shared" si="22"/>
        <v>300</v>
      </c>
      <c r="H7">
        <f t="shared" ref="H7:AB7" si="23">G11+H2/2</f>
        <v>300</v>
      </c>
      <c r="I7">
        <f t="shared" si="23"/>
        <v>300</v>
      </c>
      <c r="J7">
        <f t="shared" si="23"/>
        <v>300</v>
      </c>
      <c r="K7">
        <f t="shared" si="23"/>
        <v>300</v>
      </c>
      <c r="L7">
        <f t="shared" si="23"/>
        <v>300</v>
      </c>
      <c r="M7">
        <f t="shared" si="23"/>
        <v>300</v>
      </c>
      <c r="N7">
        <f t="shared" si="23"/>
        <v>300</v>
      </c>
      <c r="O7">
        <f t="shared" si="23"/>
        <v>300</v>
      </c>
      <c r="P7">
        <f t="shared" si="23"/>
        <v>300</v>
      </c>
      <c r="Q7">
        <f t="shared" si="23"/>
        <v>300</v>
      </c>
      <c r="R7">
        <f t="shared" si="23"/>
        <v>300</v>
      </c>
      <c r="S7">
        <f t="shared" si="23"/>
        <v>300</v>
      </c>
      <c r="T7">
        <f t="shared" si="23"/>
        <v>300</v>
      </c>
      <c r="U7">
        <f t="shared" si="23"/>
        <v>300</v>
      </c>
      <c r="V7">
        <f t="shared" si="23"/>
        <v>300</v>
      </c>
      <c r="W7">
        <f t="shared" si="23"/>
        <v>300</v>
      </c>
      <c r="X7">
        <f t="shared" si="23"/>
        <v>300</v>
      </c>
      <c r="Y7">
        <f t="shared" si="23"/>
        <v>300</v>
      </c>
      <c r="Z7">
        <f t="shared" si="23"/>
        <v>300</v>
      </c>
      <c r="AA7">
        <f t="shared" si="23"/>
        <v>300</v>
      </c>
      <c r="AB7">
        <f t="shared" si="23"/>
        <v>300</v>
      </c>
    </row>
    <row r="8" spans="1:28" x14ac:dyDescent="0.3">
      <c r="B8" t="s">
        <v>54</v>
      </c>
      <c r="C8" s="7">
        <f>C3/2</f>
        <v>0</v>
      </c>
      <c r="D8" s="7">
        <f t="shared" si="22"/>
        <v>25</v>
      </c>
      <c r="E8" s="7">
        <f t="shared" si="22"/>
        <v>80</v>
      </c>
      <c r="F8" s="7">
        <f t="shared" si="22"/>
        <v>130</v>
      </c>
      <c r="G8" s="7">
        <f t="shared" si="22"/>
        <v>150</v>
      </c>
      <c r="H8" s="7">
        <f t="shared" ref="H8:AB8" si="24">G12+H3/2</f>
        <v>150</v>
      </c>
      <c r="I8" s="7">
        <f t="shared" si="24"/>
        <v>150</v>
      </c>
      <c r="J8" s="7">
        <f t="shared" si="24"/>
        <v>150</v>
      </c>
      <c r="K8" s="7">
        <f t="shared" si="24"/>
        <v>150</v>
      </c>
      <c r="L8" s="7">
        <f t="shared" si="24"/>
        <v>150</v>
      </c>
      <c r="M8" s="7">
        <f t="shared" si="24"/>
        <v>150</v>
      </c>
      <c r="N8" s="7">
        <f t="shared" si="24"/>
        <v>150</v>
      </c>
      <c r="O8" s="7">
        <f t="shared" si="24"/>
        <v>150</v>
      </c>
      <c r="P8" s="7">
        <f t="shared" si="24"/>
        <v>150</v>
      </c>
      <c r="Q8" s="7">
        <f t="shared" si="24"/>
        <v>150</v>
      </c>
      <c r="R8" s="7">
        <f t="shared" si="24"/>
        <v>150</v>
      </c>
      <c r="S8" s="7">
        <f t="shared" si="24"/>
        <v>150</v>
      </c>
      <c r="T8" s="7">
        <f t="shared" si="24"/>
        <v>150</v>
      </c>
      <c r="U8" s="7">
        <f t="shared" si="24"/>
        <v>150</v>
      </c>
      <c r="V8" s="7">
        <f t="shared" si="24"/>
        <v>150</v>
      </c>
      <c r="W8" s="7">
        <f t="shared" si="24"/>
        <v>150</v>
      </c>
      <c r="X8" s="7">
        <f t="shared" si="24"/>
        <v>150</v>
      </c>
      <c r="Y8" s="7">
        <f t="shared" si="24"/>
        <v>150</v>
      </c>
      <c r="Z8" s="7">
        <f t="shared" si="24"/>
        <v>150</v>
      </c>
      <c r="AA8" s="7">
        <f t="shared" si="24"/>
        <v>150</v>
      </c>
      <c r="AB8" s="7">
        <f t="shared" si="24"/>
        <v>150</v>
      </c>
    </row>
    <row r="9" spans="1:28" x14ac:dyDescent="0.3">
      <c r="B9" t="s">
        <v>58</v>
      </c>
      <c r="C9">
        <f>SUM(C7:C8)</f>
        <v>100</v>
      </c>
      <c r="D9">
        <f t="shared" ref="D9:G9" si="25">SUM(D7:D8)</f>
        <v>275</v>
      </c>
      <c r="E9">
        <f t="shared" si="25"/>
        <v>380</v>
      </c>
      <c r="F9">
        <f t="shared" si="25"/>
        <v>430</v>
      </c>
      <c r="G9">
        <f t="shared" si="25"/>
        <v>450</v>
      </c>
      <c r="H9">
        <f t="shared" ref="H9" si="26">SUM(H7:H8)</f>
        <v>450</v>
      </c>
      <c r="I9">
        <f t="shared" ref="I9" si="27">SUM(I7:I8)</f>
        <v>450</v>
      </c>
      <c r="J9">
        <f t="shared" ref="J9" si="28">SUM(J7:J8)</f>
        <v>450</v>
      </c>
      <c r="K9">
        <f t="shared" ref="K9" si="29">SUM(K7:K8)</f>
        <v>450</v>
      </c>
      <c r="L9">
        <f t="shared" ref="L9" si="30">SUM(L7:L8)</f>
        <v>450</v>
      </c>
      <c r="M9">
        <f t="shared" ref="M9" si="31">SUM(M7:M8)</f>
        <v>450</v>
      </c>
      <c r="N9">
        <f t="shared" ref="N9" si="32">SUM(N7:N8)</f>
        <v>450</v>
      </c>
      <c r="O9">
        <f t="shared" ref="O9" si="33">SUM(O7:O8)</f>
        <v>450</v>
      </c>
      <c r="P9">
        <f t="shared" ref="P9" si="34">SUM(P7:P8)</f>
        <v>450</v>
      </c>
      <c r="Q9">
        <f t="shared" ref="Q9" si="35">SUM(Q7:Q8)</f>
        <v>450</v>
      </c>
      <c r="R9">
        <f t="shared" ref="R9" si="36">SUM(R7:R8)</f>
        <v>450</v>
      </c>
      <c r="S9">
        <f t="shared" ref="S9" si="37">SUM(S7:S8)</f>
        <v>450</v>
      </c>
      <c r="T9">
        <f t="shared" ref="T9" si="38">SUM(T7:T8)</f>
        <v>450</v>
      </c>
      <c r="U9">
        <f t="shared" ref="U9" si="39">SUM(U7:U8)</f>
        <v>450</v>
      </c>
      <c r="V9">
        <f t="shared" ref="V9" si="40">SUM(V7:V8)</f>
        <v>450</v>
      </c>
      <c r="W9">
        <f t="shared" ref="W9" si="41">SUM(W7:W8)</f>
        <v>450</v>
      </c>
      <c r="X9">
        <f t="shared" ref="X9" si="42">SUM(X7:X8)</f>
        <v>450</v>
      </c>
      <c r="Y9">
        <f t="shared" ref="Y9" si="43">SUM(Y7:Y8)</f>
        <v>450</v>
      </c>
      <c r="Z9">
        <f t="shared" ref="Z9" si="44">SUM(Z7:Z8)</f>
        <v>450</v>
      </c>
      <c r="AA9">
        <f t="shared" ref="AA9" si="45">SUM(AA7:AA8)</f>
        <v>450</v>
      </c>
      <c r="AB9">
        <f t="shared" ref="AB9" si="46">SUM(AB7:AB8)</f>
        <v>450</v>
      </c>
    </row>
    <row r="11" spans="1:28" x14ac:dyDescent="0.3">
      <c r="A11" t="s">
        <v>59</v>
      </c>
      <c r="B11" t="s">
        <v>57</v>
      </c>
      <c r="C11">
        <f>C2</f>
        <v>200</v>
      </c>
      <c r="D11">
        <f t="shared" ref="D11:G12" si="47">C11+D2</f>
        <v>300</v>
      </c>
      <c r="E11">
        <f t="shared" si="47"/>
        <v>300</v>
      </c>
      <c r="F11">
        <f t="shared" si="47"/>
        <v>300</v>
      </c>
      <c r="G11">
        <f t="shared" si="47"/>
        <v>300</v>
      </c>
      <c r="H11">
        <f t="shared" ref="H11:AB11" si="48">G11+H2</f>
        <v>300</v>
      </c>
      <c r="I11">
        <f t="shared" si="48"/>
        <v>300</v>
      </c>
      <c r="J11">
        <f t="shared" si="48"/>
        <v>300</v>
      </c>
      <c r="K11">
        <f t="shared" si="48"/>
        <v>300</v>
      </c>
      <c r="L11">
        <f t="shared" si="48"/>
        <v>300</v>
      </c>
      <c r="M11">
        <f t="shared" si="48"/>
        <v>300</v>
      </c>
      <c r="N11">
        <f t="shared" si="48"/>
        <v>300</v>
      </c>
      <c r="O11">
        <f t="shared" si="48"/>
        <v>300</v>
      </c>
      <c r="P11">
        <f t="shared" si="48"/>
        <v>300</v>
      </c>
      <c r="Q11">
        <f t="shared" si="48"/>
        <v>300</v>
      </c>
      <c r="R11">
        <f t="shared" si="48"/>
        <v>300</v>
      </c>
      <c r="S11">
        <f t="shared" si="48"/>
        <v>300</v>
      </c>
      <c r="T11">
        <f t="shared" si="48"/>
        <v>300</v>
      </c>
      <c r="U11">
        <f t="shared" si="48"/>
        <v>300</v>
      </c>
      <c r="V11">
        <f t="shared" si="48"/>
        <v>300</v>
      </c>
      <c r="W11">
        <f t="shared" si="48"/>
        <v>300</v>
      </c>
      <c r="X11">
        <f t="shared" si="48"/>
        <v>300</v>
      </c>
      <c r="Y11">
        <f t="shared" si="48"/>
        <v>300</v>
      </c>
      <c r="Z11">
        <f t="shared" si="48"/>
        <v>300</v>
      </c>
      <c r="AA11">
        <f t="shared" si="48"/>
        <v>300</v>
      </c>
      <c r="AB11">
        <f t="shared" si="48"/>
        <v>300</v>
      </c>
    </row>
    <row r="12" spans="1:28" x14ac:dyDescent="0.3">
      <c r="B12" t="s">
        <v>54</v>
      </c>
      <c r="C12" s="7">
        <f>C3</f>
        <v>0</v>
      </c>
      <c r="D12" s="7">
        <f t="shared" si="47"/>
        <v>50</v>
      </c>
      <c r="E12" s="7">
        <f t="shared" si="47"/>
        <v>110</v>
      </c>
      <c r="F12" s="7">
        <f t="shared" si="47"/>
        <v>150</v>
      </c>
      <c r="G12" s="7">
        <f t="shared" si="47"/>
        <v>150</v>
      </c>
      <c r="H12" s="7">
        <f t="shared" ref="H12:AB12" si="49">G12+H3</f>
        <v>150</v>
      </c>
      <c r="I12" s="7">
        <f t="shared" si="49"/>
        <v>150</v>
      </c>
      <c r="J12" s="7">
        <f t="shared" si="49"/>
        <v>150</v>
      </c>
      <c r="K12" s="7">
        <f t="shared" si="49"/>
        <v>150</v>
      </c>
      <c r="L12" s="7">
        <f t="shared" si="49"/>
        <v>150</v>
      </c>
      <c r="M12" s="7">
        <f t="shared" si="49"/>
        <v>150</v>
      </c>
      <c r="N12" s="7">
        <f t="shared" si="49"/>
        <v>150</v>
      </c>
      <c r="O12" s="7">
        <f t="shared" si="49"/>
        <v>150</v>
      </c>
      <c r="P12" s="7">
        <f t="shared" si="49"/>
        <v>150</v>
      </c>
      <c r="Q12" s="7">
        <f t="shared" si="49"/>
        <v>150</v>
      </c>
      <c r="R12" s="7">
        <f t="shared" si="49"/>
        <v>150</v>
      </c>
      <c r="S12" s="7">
        <f t="shared" si="49"/>
        <v>150</v>
      </c>
      <c r="T12" s="7">
        <f t="shared" si="49"/>
        <v>150</v>
      </c>
      <c r="U12" s="7">
        <f t="shared" si="49"/>
        <v>150</v>
      </c>
      <c r="V12" s="7">
        <f t="shared" si="49"/>
        <v>150</v>
      </c>
      <c r="W12" s="7">
        <f t="shared" si="49"/>
        <v>150</v>
      </c>
      <c r="X12" s="7">
        <f t="shared" si="49"/>
        <v>150</v>
      </c>
      <c r="Y12" s="7">
        <f t="shared" si="49"/>
        <v>150</v>
      </c>
      <c r="Z12" s="7">
        <f t="shared" si="49"/>
        <v>150</v>
      </c>
      <c r="AA12" s="7">
        <f t="shared" si="49"/>
        <v>150</v>
      </c>
      <c r="AB12" s="7">
        <f t="shared" si="49"/>
        <v>150</v>
      </c>
    </row>
    <row r="13" spans="1:28" x14ac:dyDescent="0.3">
      <c r="B13" t="s">
        <v>60</v>
      </c>
      <c r="C13">
        <f>SUM(C11:C12)</f>
        <v>200</v>
      </c>
      <c r="D13">
        <f t="shared" ref="D13:G13" si="50">SUM(D11:D12)</f>
        <v>350</v>
      </c>
      <c r="E13">
        <f t="shared" si="50"/>
        <v>410</v>
      </c>
      <c r="F13">
        <f t="shared" si="50"/>
        <v>450</v>
      </c>
      <c r="G13">
        <f t="shared" si="50"/>
        <v>450</v>
      </c>
      <c r="H13">
        <f t="shared" ref="H13" si="51">SUM(H11:H12)</f>
        <v>450</v>
      </c>
      <c r="I13">
        <f t="shared" ref="I13" si="52">SUM(I11:I12)</f>
        <v>450</v>
      </c>
      <c r="J13">
        <f t="shared" ref="J13" si="53">SUM(J11:J12)</f>
        <v>450</v>
      </c>
      <c r="K13">
        <f t="shared" ref="K13" si="54">SUM(K11:K12)</f>
        <v>450</v>
      </c>
      <c r="L13">
        <f t="shared" ref="L13" si="55">SUM(L11:L12)</f>
        <v>450</v>
      </c>
      <c r="M13">
        <f t="shared" ref="M13" si="56">SUM(M11:M12)</f>
        <v>450</v>
      </c>
      <c r="N13">
        <f t="shared" ref="N13" si="57">SUM(N11:N12)</f>
        <v>450</v>
      </c>
      <c r="O13">
        <f t="shared" ref="O13" si="58">SUM(O11:O12)</f>
        <v>450</v>
      </c>
      <c r="P13">
        <f t="shared" ref="P13" si="59">SUM(P11:P12)</f>
        <v>450</v>
      </c>
      <c r="Q13">
        <f t="shared" ref="Q13" si="60">SUM(Q11:Q12)</f>
        <v>450</v>
      </c>
      <c r="R13">
        <f t="shared" ref="R13" si="61">SUM(R11:R12)</f>
        <v>450</v>
      </c>
      <c r="S13">
        <f t="shared" ref="S13" si="62">SUM(S11:S12)</f>
        <v>450</v>
      </c>
      <c r="T13">
        <f t="shared" ref="T13" si="63">SUM(T11:T12)</f>
        <v>450</v>
      </c>
      <c r="U13">
        <f t="shared" ref="U13" si="64">SUM(U11:U12)</f>
        <v>450</v>
      </c>
      <c r="V13">
        <f t="shared" ref="V13" si="65">SUM(V11:V12)</f>
        <v>450</v>
      </c>
      <c r="W13">
        <f t="shared" ref="W13" si="66">SUM(W11:W12)</f>
        <v>450</v>
      </c>
      <c r="X13">
        <f t="shared" ref="X13" si="67">SUM(X11:X12)</f>
        <v>450</v>
      </c>
      <c r="Y13">
        <f t="shared" ref="Y13" si="68">SUM(Y11:Y12)</f>
        <v>450</v>
      </c>
      <c r="Z13">
        <f t="shared" ref="Z13" si="69">SUM(Z11:Z12)</f>
        <v>450</v>
      </c>
      <c r="AA13">
        <f t="shared" ref="AA13" si="70">SUM(AA11:AA12)</f>
        <v>450</v>
      </c>
      <c r="AB13">
        <f t="shared" ref="AB13" si="71">SUM(AB11:AB12)</f>
        <v>450</v>
      </c>
    </row>
  </sheetData>
  <pageMargins left="0.7" right="0.7" top="0.75" bottom="0.75" header="0.3" footer="0.3"/>
  <ignoredErrors>
    <ignoredError sqref="C4 E4:G4" formulaRange="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33D90-E6FB-415E-85CF-730A6D6A66C0}">
  <dimension ref="A1:AA11"/>
  <sheetViews>
    <sheetView topLeftCell="H1" workbookViewId="0">
      <selection activeCell="B10" sqref="B10:AA10"/>
    </sheetView>
  </sheetViews>
  <sheetFormatPr defaultColWidth="8.88671875" defaultRowHeight="14.4" x14ac:dyDescent="0.3"/>
  <cols>
    <col min="1" max="1" width="43.44140625" customWidth="1"/>
    <col min="2" max="2" width="9.44140625" style="17" bestFit="1" customWidth="1"/>
    <col min="3" max="27" width="12.33203125" style="17" customWidth="1"/>
  </cols>
  <sheetData>
    <row r="1" spans="1:27" x14ac:dyDescent="0.3">
      <c r="B1" s="56">
        <v>2025</v>
      </c>
      <c r="C1" s="56">
        <v>2026</v>
      </c>
      <c r="D1" s="56">
        <v>2027</v>
      </c>
      <c r="E1" s="56">
        <v>2028</v>
      </c>
      <c r="F1" s="56">
        <v>2029</v>
      </c>
      <c r="G1" s="56">
        <v>2030</v>
      </c>
      <c r="H1" s="56">
        <v>2031</v>
      </c>
      <c r="I1" s="56">
        <v>2032</v>
      </c>
      <c r="J1" s="56">
        <v>2033</v>
      </c>
      <c r="K1" s="56">
        <v>2034</v>
      </c>
      <c r="L1" s="56">
        <v>2035</v>
      </c>
      <c r="M1" s="56">
        <v>2036</v>
      </c>
      <c r="N1" s="56">
        <v>2037</v>
      </c>
      <c r="O1" s="56">
        <v>2038</v>
      </c>
      <c r="P1" s="56">
        <v>2039</v>
      </c>
      <c r="Q1" s="56">
        <v>2040</v>
      </c>
      <c r="R1" s="56">
        <v>2041</v>
      </c>
      <c r="S1" s="56">
        <v>2042</v>
      </c>
      <c r="T1" s="56">
        <v>2043</v>
      </c>
      <c r="U1" s="56">
        <v>2044</v>
      </c>
      <c r="V1" s="56">
        <v>2045</v>
      </c>
      <c r="W1" s="56">
        <v>2046</v>
      </c>
      <c r="X1" s="56">
        <v>2047</v>
      </c>
      <c r="Y1" s="56">
        <v>2048</v>
      </c>
      <c r="Z1" s="56">
        <v>2049</v>
      </c>
      <c r="AA1" s="56">
        <v>2050</v>
      </c>
    </row>
    <row r="2" spans="1:27" x14ac:dyDescent="0.3">
      <c r="A2" t="s">
        <v>61</v>
      </c>
      <c r="B2" s="17">
        <v>0</v>
      </c>
      <c r="C2" s="17">
        <f>B4</f>
        <v>0</v>
      </c>
      <c r="D2" s="17">
        <f t="shared" ref="D2:AA2" si="0">C4</f>
        <v>90</v>
      </c>
      <c r="E2" s="17">
        <f t="shared" si="0"/>
        <v>150</v>
      </c>
      <c r="F2" s="17">
        <f t="shared" si="0"/>
        <v>190</v>
      </c>
      <c r="G2" s="17">
        <f t="shared" si="0"/>
        <v>190</v>
      </c>
      <c r="H2" s="17">
        <f t="shared" si="0"/>
        <v>190</v>
      </c>
      <c r="I2" s="17">
        <f t="shared" si="0"/>
        <v>190</v>
      </c>
      <c r="J2" s="17">
        <f t="shared" si="0"/>
        <v>190</v>
      </c>
      <c r="K2" s="17">
        <f t="shared" si="0"/>
        <v>190</v>
      </c>
      <c r="L2" s="17">
        <f t="shared" si="0"/>
        <v>190</v>
      </c>
      <c r="M2" s="17">
        <f t="shared" si="0"/>
        <v>190</v>
      </c>
      <c r="N2" s="17">
        <f t="shared" si="0"/>
        <v>190</v>
      </c>
      <c r="O2" s="17">
        <f t="shared" si="0"/>
        <v>190</v>
      </c>
      <c r="P2" s="17">
        <f t="shared" si="0"/>
        <v>190</v>
      </c>
      <c r="Q2" s="17">
        <f t="shared" si="0"/>
        <v>190</v>
      </c>
      <c r="R2" s="17">
        <f t="shared" si="0"/>
        <v>190</v>
      </c>
      <c r="S2" s="17">
        <f t="shared" si="0"/>
        <v>190</v>
      </c>
      <c r="T2" s="17">
        <f t="shared" si="0"/>
        <v>190</v>
      </c>
      <c r="U2" s="17">
        <f t="shared" si="0"/>
        <v>190</v>
      </c>
      <c r="V2" s="17">
        <f t="shared" si="0"/>
        <v>190</v>
      </c>
      <c r="W2" s="17">
        <f t="shared" si="0"/>
        <v>190</v>
      </c>
      <c r="X2" s="17">
        <f t="shared" si="0"/>
        <v>190</v>
      </c>
      <c r="Y2" s="17">
        <f t="shared" si="0"/>
        <v>190</v>
      </c>
      <c r="Z2" s="17">
        <f t="shared" si="0"/>
        <v>190</v>
      </c>
      <c r="AA2" s="17">
        <f t="shared" si="0"/>
        <v>190</v>
      </c>
    </row>
    <row r="3" spans="1:27" x14ac:dyDescent="0.3">
      <c r="A3" t="s">
        <v>62</v>
      </c>
      <c r="B3" s="17">
        <v>0</v>
      </c>
      <c r="C3" s="17">
        <v>90</v>
      </c>
      <c r="D3" s="17">
        <v>60</v>
      </c>
      <c r="E3" s="17">
        <v>40</v>
      </c>
      <c r="F3" s="17">
        <v>0</v>
      </c>
      <c r="G3" s="17">
        <v>0</v>
      </c>
      <c r="H3" s="17">
        <v>0</v>
      </c>
      <c r="I3" s="17">
        <v>0</v>
      </c>
      <c r="J3" s="17">
        <v>0</v>
      </c>
      <c r="K3" s="17">
        <v>0</v>
      </c>
      <c r="L3" s="17">
        <v>0</v>
      </c>
      <c r="M3" s="17">
        <v>0</v>
      </c>
      <c r="N3" s="17">
        <v>0</v>
      </c>
      <c r="O3" s="17">
        <v>0</v>
      </c>
      <c r="P3" s="17">
        <v>0</v>
      </c>
      <c r="Q3" s="17">
        <v>0</v>
      </c>
      <c r="R3" s="17">
        <v>0</v>
      </c>
      <c r="S3" s="17">
        <v>0</v>
      </c>
      <c r="T3" s="17">
        <v>0</v>
      </c>
      <c r="U3" s="17">
        <v>0</v>
      </c>
      <c r="V3" s="17">
        <v>0</v>
      </c>
      <c r="W3" s="17">
        <v>0</v>
      </c>
      <c r="X3" s="17">
        <v>0</v>
      </c>
      <c r="Y3" s="17">
        <v>0</v>
      </c>
      <c r="Z3" s="17">
        <v>0</v>
      </c>
      <c r="AA3" s="17">
        <v>0</v>
      </c>
    </row>
    <row r="4" spans="1:27" x14ac:dyDescent="0.3">
      <c r="A4" t="s">
        <v>63</v>
      </c>
      <c r="B4" s="17">
        <f>'Vehicle Count'!C12</f>
        <v>0</v>
      </c>
      <c r="C4" s="17">
        <f>B4+C3</f>
        <v>90</v>
      </c>
      <c r="D4" s="17">
        <f t="shared" ref="D4:AA4" si="1">C4+D3</f>
        <v>150</v>
      </c>
      <c r="E4" s="17">
        <f t="shared" si="1"/>
        <v>190</v>
      </c>
      <c r="F4" s="17">
        <f t="shared" si="1"/>
        <v>190</v>
      </c>
      <c r="G4" s="17">
        <f t="shared" si="1"/>
        <v>190</v>
      </c>
      <c r="H4" s="17">
        <f t="shared" si="1"/>
        <v>190</v>
      </c>
      <c r="I4" s="17">
        <f t="shared" si="1"/>
        <v>190</v>
      </c>
      <c r="J4" s="17">
        <f t="shared" si="1"/>
        <v>190</v>
      </c>
      <c r="K4" s="17">
        <f t="shared" si="1"/>
        <v>190</v>
      </c>
      <c r="L4" s="17">
        <f t="shared" si="1"/>
        <v>190</v>
      </c>
      <c r="M4" s="17">
        <f t="shared" si="1"/>
        <v>190</v>
      </c>
      <c r="N4" s="17">
        <f t="shared" si="1"/>
        <v>190</v>
      </c>
      <c r="O4" s="17">
        <f t="shared" si="1"/>
        <v>190</v>
      </c>
      <c r="P4" s="17">
        <f t="shared" si="1"/>
        <v>190</v>
      </c>
      <c r="Q4" s="17">
        <f t="shared" si="1"/>
        <v>190</v>
      </c>
      <c r="R4" s="17">
        <f t="shared" si="1"/>
        <v>190</v>
      </c>
      <c r="S4" s="17">
        <f t="shared" si="1"/>
        <v>190</v>
      </c>
      <c r="T4" s="17">
        <f t="shared" si="1"/>
        <v>190</v>
      </c>
      <c r="U4" s="17">
        <f t="shared" si="1"/>
        <v>190</v>
      </c>
      <c r="V4" s="17">
        <f t="shared" si="1"/>
        <v>190</v>
      </c>
      <c r="W4" s="17">
        <f t="shared" si="1"/>
        <v>190</v>
      </c>
      <c r="X4" s="17">
        <f t="shared" si="1"/>
        <v>190</v>
      </c>
      <c r="Y4" s="17">
        <f t="shared" si="1"/>
        <v>190</v>
      </c>
      <c r="Z4" s="17">
        <f t="shared" si="1"/>
        <v>190</v>
      </c>
      <c r="AA4" s="17">
        <f t="shared" si="1"/>
        <v>190</v>
      </c>
    </row>
    <row r="5" spans="1:27" x14ac:dyDescent="0.3">
      <c r="A5" t="s">
        <v>64</v>
      </c>
      <c r="B5" s="17">
        <v>0</v>
      </c>
      <c r="C5" s="17">
        <f t="shared" ref="C5:AA5" si="2">B4+C3/2</f>
        <v>45</v>
      </c>
      <c r="D5" s="17">
        <f>C4+D3/2</f>
        <v>120</v>
      </c>
      <c r="E5" s="17">
        <f t="shared" si="2"/>
        <v>170</v>
      </c>
      <c r="F5" s="17">
        <f t="shared" si="2"/>
        <v>190</v>
      </c>
      <c r="G5" s="17">
        <f t="shared" si="2"/>
        <v>190</v>
      </c>
      <c r="H5" s="17">
        <f t="shared" si="2"/>
        <v>190</v>
      </c>
      <c r="I5" s="17">
        <f t="shared" si="2"/>
        <v>190</v>
      </c>
      <c r="J5" s="17">
        <f t="shared" si="2"/>
        <v>190</v>
      </c>
      <c r="K5" s="17">
        <f t="shared" si="2"/>
        <v>190</v>
      </c>
      <c r="L5" s="17">
        <f t="shared" si="2"/>
        <v>190</v>
      </c>
      <c r="M5" s="17">
        <f t="shared" si="2"/>
        <v>190</v>
      </c>
      <c r="N5" s="17">
        <f t="shared" si="2"/>
        <v>190</v>
      </c>
      <c r="O5" s="17">
        <f t="shared" si="2"/>
        <v>190</v>
      </c>
      <c r="P5" s="17">
        <f t="shared" si="2"/>
        <v>190</v>
      </c>
      <c r="Q5" s="17">
        <f t="shared" si="2"/>
        <v>190</v>
      </c>
      <c r="R5" s="17">
        <f t="shared" si="2"/>
        <v>190</v>
      </c>
      <c r="S5" s="17">
        <f t="shared" si="2"/>
        <v>190</v>
      </c>
      <c r="T5" s="17">
        <f t="shared" si="2"/>
        <v>190</v>
      </c>
      <c r="U5" s="17">
        <f t="shared" si="2"/>
        <v>190</v>
      </c>
      <c r="V5" s="17">
        <f t="shared" si="2"/>
        <v>190</v>
      </c>
      <c r="W5" s="17">
        <f t="shared" si="2"/>
        <v>190</v>
      </c>
      <c r="X5" s="17">
        <f t="shared" si="2"/>
        <v>190</v>
      </c>
      <c r="Y5" s="17">
        <f t="shared" si="2"/>
        <v>190</v>
      </c>
      <c r="Z5" s="17">
        <f t="shared" si="2"/>
        <v>190</v>
      </c>
      <c r="AA5" s="17">
        <f t="shared" si="2"/>
        <v>190</v>
      </c>
    </row>
    <row r="7" spans="1:27" x14ac:dyDescent="0.3">
      <c r="A7" t="s">
        <v>65</v>
      </c>
      <c r="B7" s="43">
        <v>0</v>
      </c>
      <c r="C7">
        <v>0.25</v>
      </c>
      <c r="D7" s="2">
        <f>IF((C7*(1+Assumptions!$B$9))&lt;6,(C7*(1+Assumptions!$B$9)),6)</f>
        <v>0.28749999999999998</v>
      </c>
      <c r="E7" s="2">
        <f>IF((D7*(1+Assumptions!$B$9))&lt;6,(D7*(1+Assumptions!$B$9)),6)</f>
        <v>0.33062499999999995</v>
      </c>
      <c r="F7" s="2">
        <f>IF((E7*(1+Assumptions!$B$9))&lt;6,(E7*(1+Assumptions!$B$9)),6)</f>
        <v>0.38021874999999988</v>
      </c>
      <c r="G7" s="2">
        <f>IF((F7*(1+Assumptions!$B$9))&lt;6,(F7*(1+Assumptions!$B$9)),6)</f>
        <v>0.43725156249999986</v>
      </c>
      <c r="H7" s="2">
        <f>IF((G7*(1+Assumptions!$B$9))&lt;6,(G7*(1+Assumptions!$B$9)),6)</f>
        <v>0.50283929687499984</v>
      </c>
      <c r="I7" s="2">
        <f>IF((H7*(1+Assumptions!$B$9))&lt;6,(H7*(1+Assumptions!$B$9)),6)</f>
        <v>0.57826519140624977</v>
      </c>
      <c r="J7" s="2">
        <f>IF((I7*(1+Assumptions!$B$9))&lt;6,(I7*(1+Assumptions!$B$9)),6)</f>
        <v>0.66500497011718718</v>
      </c>
      <c r="K7" s="2">
        <f>IF((J7*(1+Assumptions!$B$9))&lt;6,(J7*(1+Assumptions!$B$9)),6)</f>
        <v>0.76475571563476519</v>
      </c>
      <c r="L7" s="2">
        <f>IF((K7*(1+Assumptions!$B$9))&lt;6,(K7*(1+Assumptions!$B$9)),6)</f>
        <v>0.87946907297997989</v>
      </c>
      <c r="M7" s="2">
        <f>IF((L7*(1+Assumptions!$B$9))&lt;6,(L7*(1+Assumptions!$B$9)),6)</f>
        <v>1.0113894339269769</v>
      </c>
      <c r="N7" s="2">
        <f>IF((M7*(1+Assumptions!$B$9))&lt;6,(M7*(1+Assumptions!$B$9)),6)</f>
        <v>1.1630978490160233</v>
      </c>
      <c r="O7" s="2">
        <f>IF((N7*(1+Assumptions!$B$9))&lt;6,(N7*(1+Assumptions!$B$9)),6)</f>
        <v>1.3375625263684268</v>
      </c>
      <c r="P7" s="2">
        <f>IF((O7*(1+Assumptions!$B$9))&lt;6,(O7*(1+Assumptions!$B$9)),6)</f>
        <v>1.5381969053236906</v>
      </c>
      <c r="Q7" s="2">
        <f>IF((P7*(1+Assumptions!$B$9))&lt;6,(P7*(1+Assumptions!$B$9)),6)</f>
        <v>1.7689264411222441</v>
      </c>
      <c r="R7" s="2">
        <f>IF((Q7*(1+Assumptions!$B$9))&lt;6,(Q7*(1+Assumptions!$B$9)),6)</f>
        <v>2.0342654072905804</v>
      </c>
      <c r="S7" s="2">
        <f>IF((R7*(1+Assumptions!$B$9))&lt;6,(R7*(1+Assumptions!$B$9)),6)</f>
        <v>2.3394052183841674</v>
      </c>
      <c r="T7" s="2">
        <f>IF((S7*(1+Assumptions!$B$9))&lt;6,(S7*(1+Assumptions!$B$9)),6)</f>
        <v>2.6903160011417921</v>
      </c>
      <c r="U7" s="2">
        <f>IF((T7*(1+Assumptions!$B$9))&lt;6,(T7*(1+Assumptions!$B$9)),6)</f>
        <v>3.0938634013130608</v>
      </c>
      <c r="V7" s="2">
        <f>IF((U7*(1+Assumptions!$B$9))&lt;6,(U7*(1+Assumptions!$B$9)),6)</f>
        <v>3.5579429115100196</v>
      </c>
      <c r="W7" s="2">
        <f>IF((V7*(1+Assumptions!$B$9))&lt;6,(V7*(1+Assumptions!$B$9)),6)</f>
        <v>4.0916343482365223</v>
      </c>
      <c r="X7" s="2">
        <f>IF((W7*(1+Assumptions!$B$9))&lt;6,(W7*(1+Assumptions!$B$9)),6)</f>
        <v>4.7053795004720005</v>
      </c>
      <c r="Y7" s="2">
        <f>IF((X7*(1+Assumptions!$B$9))&lt;6,(X7*(1+Assumptions!$B$9)),6)</f>
        <v>5.4111864255427999</v>
      </c>
      <c r="Z7" s="2">
        <f>IF((Y7*(1+Assumptions!$B$9))&lt;6,(Y7*(1+Assumptions!$B$9)),6)</f>
        <v>6</v>
      </c>
      <c r="AA7" s="2">
        <f>IF((Z7*(1+Assumptions!$B$9))&lt;6,(Z7*(1+Assumptions!$B$9)),6)</f>
        <v>6</v>
      </c>
    </row>
    <row r="8" spans="1:27" x14ac:dyDescent="0.3">
      <c r="A8" t="s">
        <v>66</v>
      </c>
      <c r="B8">
        <f t="shared" ref="B8:AA8" si="3">B7*365</f>
        <v>0</v>
      </c>
      <c r="C8">
        <f t="shared" si="3"/>
        <v>91.25</v>
      </c>
      <c r="D8">
        <f t="shared" si="3"/>
        <v>104.93749999999999</v>
      </c>
      <c r="E8">
        <f t="shared" si="3"/>
        <v>120.67812499999998</v>
      </c>
      <c r="F8">
        <f t="shared" si="3"/>
        <v>138.77984374999997</v>
      </c>
      <c r="G8">
        <f t="shared" si="3"/>
        <v>159.59682031249994</v>
      </c>
      <c r="H8">
        <f t="shared" si="3"/>
        <v>183.53634335937494</v>
      </c>
      <c r="I8">
        <f t="shared" si="3"/>
        <v>211.06679486328116</v>
      </c>
      <c r="J8">
        <f t="shared" si="3"/>
        <v>242.72681409277331</v>
      </c>
      <c r="K8">
        <f t="shared" si="3"/>
        <v>279.13583620668931</v>
      </c>
      <c r="L8">
        <f t="shared" si="3"/>
        <v>321.00621163769267</v>
      </c>
      <c r="M8">
        <f t="shared" si="3"/>
        <v>369.15714338334658</v>
      </c>
      <c r="N8">
        <f t="shared" si="3"/>
        <v>424.53071489084851</v>
      </c>
      <c r="O8">
        <f t="shared" si="3"/>
        <v>488.21032212447579</v>
      </c>
      <c r="P8">
        <f t="shared" si="3"/>
        <v>561.44187044314708</v>
      </c>
      <c r="Q8">
        <f t="shared" si="3"/>
        <v>645.65815100961913</v>
      </c>
      <c r="R8">
        <f t="shared" si="3"/>
        <v>742.50687366106183</v>
      </c>
      <c r="S8">
        <f t="shared" si="3"/>
        <v>853.88290471022106</v>
      </c>
      <c r="T8">
        <f t="shared" si="3"/>
        <v>981.96534041675409</v>
      </c>
      <c r="U8">
        <f t="shared" si="3"/>
        <v>1129.2601414792673</v>
      </c>
      <c r="V8">
        <f t="shared" si="3"/>
        <v>1298.6491627011571</v>
      </c>
      <c r="W8">
        <f t="shared" si="3"/>
        <v>1493.4465371063307</v>
      </c>
      <c r="X8">
        <f t="shared" si="3"/>
        <v>1717.4635176722802</v>
      </c>
      <c r="Y8">
        <f t="shared" si="3"/>
        <v>1975.083045323122</v>
      </c>
      <c r="Z8">
        <f t="shared" si="3"/>
        <v>2190</v>
      </c>
      <c r="AA8">
        <f t="shared" si="3"/>
        <v>2190</v>
      </c>
    </row>
    <row r="9" spans="1:27" x14ac:dyDescent="0.3">
      <c r="A9" t="s">
        <v>67</v>
      </c>
      <c r="B9" s="17">
        <f>B5*B5</f>
        <v>0</v>
      </c>
      <c r="C9" s="17">
        <f>C5*'Public Charging Ports'!C8</f>
        <v>4106.25</v>
      </c>
      <c r="D9" s="17">
        <f>D5*'Public Charging Ports'!D8</f>
        <v>12592.499999999998</v>
      </c>
      <c r="E9" s="17">
        <f>E5*'Public Charging Ports'!E8</f>
        <v>20515.281249999996</v>
      </c>
      <c r="F9" s="17">
        <f>F5*'Public Charging Ports'!F8</f>
        <v>26368.170312499995</v>
      </c>
      <c r="G9" s="17">
        <f>G5*'Public Charging Ports'!G8</f>
        <v>30323.395859374989</v>
      </c>
      <c r="H9" s="17">
        <f>H5*'Public Charging Ports'!H8</f>
        <v>34871.905238281237</v>
      </c>
      <c r="I9" s="17">
        <f>I5*'Public Charging Ports'!I8</f>
        <v>40102.691024023421</v>
      </c>
      <c r="J9" s="17">
        <f>J5*'Public Charging Ports'!J8</f>
        <v>46118.094677626927</v>
      </c>
      <c r="K9" s="17">
        <f>K5*'Public Charging Ports'!K8</f>
        <v>53035.808879270968</v>
      </c>
      <c r="L9" s="17">
        <f>L5*'Public Charging Ports'!L8</f>
        <v>60991.180211161605</v>
      </c>
      <c r="M9" s="17">
        <f>M5*'Public Charging Ports'!M8</f>
        <v>70139.857242835846</v>
      </c>
      <c r="N9" s="17">
        <f>N5*'Public Charging Ports'!N8</f>
        <v>80660.835829261225</v>
      </c>
      <c r="O9" s="17">
        <f>O5*'Public Charging Ports'!O8</f>
        <v>92759.961203650397</v>
      </c>
      <c r="P9" s="17">
        <f>P5*'Public Charging Ports'!P8</f>
        <v>106673.95538419795</v>
      </c>
      <c r="Q9" s="17">
        <f>Q5*'Public Charging Ports'!Q8</f>
        <v>122675.04869182763</v>
      </c>
      <c r="R9" s="17">
        <f>R5*'Public Charging Ports'!R8</f>
        <v>141076.30599560175</v>
      </c>
      <c r="S9" s="17">
        <f>S5*'Public Charging Ports'!S8</f>
        <v>162237.75189494199</v>
      </c>
      <c r="T9" s="17">
        <f>T5*'Public Charging Ports'!T8</f>
        <v>186573.41467918328</v>
      </c>
      <c r="U9" s="17">
        <f>U5*'Public Charging Ports'!U8</f>
        <v>214559.42688106079</v>
      </c>
      <c r="V9" s="17">
        <f>V5*'Public Charging Ports'!V8</f>
        <v>246743.34091321984</v>
      </c>
      <c r="W9" s="17">
        <f>W5*'Public Charging Ports'!W8</f>
        <v>283754.84205020283</v>
      </c>
      <c r="X9" s="17">
        <f>X5*'Public Charging Ports'!X8</f>
        <v>326318.06835773325</v>
      </c>
      <c r="Y9" s="17">
        <f>Y5*'Public Charging Ports'!Y8</f>
        <v>375265.77861139318</v>
      </c>
      <c r="Z9" s="17">
        <f>Z5*'Public Charging Ports'!Z8</f>
        <v>416100</v>
      </c>
      <c r="AA9" s="17">
        <f>AA5*'Public Charging Ports'!AA8</f>
        <v>416100</v>
      </c>
    </row>
    <row r="10" spans="1:27" x14ac:dyDescent="0.3">
      <c r="A10" t="s">
        <v>68</v>
      </c>
      <c r="B10" s="17">
        <v>0</v>
      </c>
      <c r="C10" s="17">
        <f>C9*Assumptions!$B$10</f>
        <v>94443.75</v>
      </c>
      <c r="D10" s="17">
        <f>D9*Assumptions!$B$10</f>
        <v>289627.49999999994</v>
      </c>
      <c r="E10" s="17">
        <f>E9*Assumptions!$B$10</f>
        <v>471851.46874999994</v>
      </c>
      <c r="F10" s="17">
        <f>F9*Assumptions!$B$10</f>
        <v>606467.91718749993</v>
      </c>
      <c r="G10" s="17">
        <f>G9*Assumptions!$B$10</f>
        <v>697438.10476562474</v>
      </c>
      <c r="H10" s="17">
        <f>H9*Assumptions!$B$10</f>
        <v>802053.82048046845</v>
      </c>
      <c r="I10" s="17">
        <f>I9*Assumptions!$B$10</f>
        <v>922361.89355253871</v>
      </c>
      <c r="J10" s="17">
        <f>J9*Assumptions!$B$10</f>
        <v>1060716.1775854193</v>
      </c>
      <c r="K10" s="17">
        <f>K9*Assumptions!$B$10</f>
        <v>1219823.6042232323</v>
      </c>
      <c r="L10" s="17">
        <f>L9*Assumptions!$B$10</f>
        <v>1402797.144856717</v>
      </c>
      <c r="M10" s="17">
        <f>M9*Assumptions!$B$10</f>
        <v>1613216.7165852245</v>
      </c>
      <c r="N10" s="17">
        <f>N9*Assumptions!$B$10</f>
        <v>1855199.2240730082</v>
      </c>
      <c r="O10" s="17">
        <f>O9*Assumptions!$B$10</f>
        <v>2133479.107683959</v>
      </c>
      <c r="P10" s="17">
        <f>P9*Assumptions!$B$10</f>
        <v>2453500.9738365528</v>
      </c>
      <c r="Q10" s="17">
        <f>Q9*Assumptions!$B$10</f>
        <v>2821526.1199120353</v>
      </c>
      <c r="R10" s="17">
        <f>R9*Assumptions!$B$10</f>
        <v>3244755.0378988404</v>
      </c>
      <c r="S10" s="17">
        <f>S9*Assumptions!$B$10</f>
        <v>3731468.293583666</v>
      </c>
      <c r="T10" s="17">
        <f>T9*Assumptions!$B$10</f>
        <v>4291188.537621215</v>
      </c>
      <c r="U10" s="17">
        <f>U9*Assumptions!$B$10</f>
        <v>4934866.8182643978</v>
      </c>
      <c r="V10" s="17">
        <f>V9*Assumptions!$B$10</f>
        <v>5675096.8410040569</v>
      </c>
      <c r="W10" s="17">
        <f>W9*Assumptions!$B$10</f>
        <v>6526361.3671546653</v>
      </c>
      <c r="X10" s="17">
        <f>X9*Assumptions!$B$10</f>
        <v>7505315.5722278645</v>
      </c>
      <c r="Y10" s="17">
        <f>Y9*Assumptions!$B$10</f>
        <v>8631112.9080620427</v>
      </c>
      <c r="Z10" s="17">
        <f>Z9*Assumptions!$B$10</f>
        <v>9570300</v>
      </c>
      <c r="AA10" s="17">
        <f>AA9*Assumptions!$B$10</f>
        <v>9570300</v>
      </c>
    </row>
    <row r="11" spans="1:27" x14ac:dyDescent="0.3">
      <c r="A11" t="s">
        <v>69</v>
      </c>
      <c r="B11" s="17">
        <v>0</v>
      </c>
      <c r="C11" s="17">
        <f>C10*'Carbon Intensity of Fuels'!C3</f>
        <v>24.149732495279999</v>
      </c>
      <c r="D11" s="17">
        <f>D10*'Carbon Intensity of Fuels'!D3</f>
        <v>68.769238248463978</v>
      </c>
      <c r="E11" s="17">
        <f>E10*'Carbon Intensity of Fuels'!E3</f>
        <v>103.41835444288238</v>
      </c>
      <c r="F11" s="17">
        <f>F10*'Carbon Intensity of Fuels'!F3</f>
        <v>121.84608573699401</v>
      </c>
      <c r="G11" s="17">
        <f>G10*'Carbon Intensity of Fuels'!G3</f>
        <v>127.38454417958461</v>
      </c>
      <c r="H11" s="17">
        <f>H10*'Carbon Intensity of Fuels'!H3</f>
        <v>131.84300322587006</v>
      </c>
      <c r="I11" s="17">
        <f>I10*'Carbon Intensity of Fuels'!I3</f>
        <v>134.77284774200049</v>
      </c>
      <c r="J11" s="17">
        <f>J10*'Carbon Intensity of Fuels'!J3</f>
        <v>135.615178040388</v>
      </c>
      <c r="K11" s="17">
        <f>K10*'Carbon Intensity of Fuels'!K3</f>
        <v>133.67781835409673</v>
      </c>
      <c r="L11" s="17">
        <f>L10*'Carbon Intensity of Fuels'!L3</f>
        <v>128.10790925600932</v>
      </c>
      <c r="M11" s="17">
        <f>M10*'Carbon Intensity of Fuels'!M3</f>
        <v>117.85927651552858</v>
      </c>
      <c r="N11" s="17">
        <f>N10*'Carbon Intensity of Fuels'!N3</f>
        <v>101.65362599464336</v>
      </c>
      <c r="O11" s="17">
        <f>O10*'Carbon Intensity of Fuels'!O3</f>
        <v>77.934446595893206</v>
      </c>
      <c r="P11" s="17">
        <f>P10*'Carbon Intensity of Fuels'!P3</f>
        <v>44.81230679263853</v>
      </c>
      <c r="Q11" s="17">
        <f>Q10*'Carbon Intensity of Fuels'!Q3</f>
        <v>0</v>
      </c>
      <c r="R11" s="17">
        <f>R10*'Carbon Intensity of Fuels'!R3</f>
        <v>0</v>
      </c>
      <c r="S11" s="17">
        <f>S10*'Carbon Intensity of Fuels'!S3</f>
        <v>0</v>
      </c>
      <c r="T11" s="17">
        <f>T10*'Carbon Intensity of Fuels'!T3</f>
        <v>0</v>
      </c>
      <c r="U11" s="17">
        <f>U10*'Carbon Intensity of Fuels'!U3</f>
        <v>0</v>
      </c>
      <c r="V11" s="17">
        <f>V10*'Carbon Intensity of Fuels'!V3</f>
        <v>0</v>
      </c>
      <c r="W11" s="17">
        <f>W10*'Carbon Intensity of Fuels'!W3</f>
        <v>0</v>
      </c>
      <c r="X11" s="17">
        <f>X10*'Carbon Intensity of Fuels'!X3</f>
        <v>0</v>
      </c>
      <c r="Y11" s="17">
        <f>Y10*'Carbon Intensity of Fuels'!Y3</f>
        <v>0</v>
      </c>
      <c r="Z11" s="17">
        <f>Z10*'Carbon Intensity of Fuels'!Z3</f>
        <v>0</v>
      </c>
      <c r="AA11" s="17">
        <f>AA10*'Carbon Intensity of Fuels'!AA3</f>
        <v>0</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134C51A046FF548B8F37AB3816F7A7F" ma:contentTypeVersion="16" ma:contentTypeDescription="Create a new document." ma:contentTypeScope="" ma:versionID="36a1725469aec19c63e984cac18be0c6">
  <xsd:schema xmlns:xsd="http://www.w3.org/2001/XMLSchema" xmlns:xs="http://www.w3.org/2001/XMLSchema" xmlns:p="http://schemas.microsoft.com/office/2006/metadata/properties" xmlns:ns2="b58c24b0-871f-4695-981c-18577f2d9e32" xmlns:ns3="479aa468-c48d-41cd-b953-20b46e836ed7" targetNamespace="http://schemas.microsoft.com/office/2006/metadata/properties" ma:root="true" ma:fieldsID="0d2f5dbf8fd2627d41cf104a6c74c4ea" ns2:_="" ns3:_="">
    <xsd:import namespace="b58c24b0-871f-4695-981c-18577f2d9e32"/>
    <xsd:import namespace="479aa468-c48d-41cd-b953-20b46e836ed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GenerationTime" minOccurs="0"/>
                <xsd:element ref="ns2:MediaServiceEventHashCode" minOccurs="0"/>
                <xsd:element ref="ns2:MediaServiceDateTaken" minOccurs="0"/>
                <xsd:element ref="ns2:MediaServiceLocation" minOccurs="0"/>
                <xsd:element ref="ns2:MediaServiceOCR"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8c24b0-871f-4695-981c-18577f2d9e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be6fa08e-94ad-4838-b240-0b9edb7c1f5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9aa468-c48d-41cd-b953-20b46e836ed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5c427581-40a7-4682-b651-e3a459e8d73b}" ma:internalName="TaxCatchAll" ma:showField="CatchAllData" ma:web="479aa468-c48d-41cd-b953-20b46e836ed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8c24b0-871f-4695-981c-18577f2d9e32">
      <Terms xmlns="http://schemas.microsoft.com/office/infopath/2007/PartnerControls"/>
    </lcf76f155ced4ddcb4097134ff3c332f>
    <TaxCatchAll xmlns="479aa468-c48d-41cd-b953-20b46e836ed7" xsi:nil="true"/>
  </documentManagement>
</p:properties>
</file>

<file path=customXml/itemProps1.xml><?xml version="1.0" encoding="utf-8"?>
<ds:datastoreItem xmlns:ds="http://schemas.openxmlformats.org/officeDocument/2006/customXml" ds:itemID="{9EB90811-FE55-4CBF-AE6E-F7BAB4EE51D8}"/>
</file>

<file path=customXml/itemProps2.xml><?xml version="1.0" encoding="utf-8"?>
<ds:datastoreItem xmlns:ds="http://schemas.openxmlformats.org/officeDocument/2006/customXml" ds:itemID="{F524EF60-2613-4B1D-9EF9-3B3DDC311D21}"/>
</file>

<file path=customXml/itemProps3.xml><?xml version="1.0" encoding="utf-8"?>
<ds:datastoreItem xmlns:ds="http://schemas.openxmlformats.org/officeDocument/2006/customXml" ds:itemID="{809C1047-F062-4E3E-8E68-A4C117FD41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GHG reductions</vt:lpstr>
      <vt:lpstr>Reference Case</vt:lpstr>
      <vt:lpstr>Assumptions</vt:lpstr>
      <vt:lpstr>Carbon Intensity of Fuels</vt:lpstr>
      <vt:lpstr>Adoptions</vt:lpstr>
      <vt:lpstr>Mode Shift</vt:lpstr>
      <vt:lpstr>Cost Savings</vt:lpstr>
      <vt:lpstr>Vehicle Count</vt:lpstr>
      <vt:lpstr>Public Charging Ports</vt:lpstr>
      <vt:lpstr>Direct Replacement of VMT</vt:lpstr>
      <vt:lpstr>One-Way Trips</vt:lpstr>
      <vt:lpstr>Two-Way Trips</vt:lpstr>
      <vt:lpstr>Member Growth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 Schroeder</dc:creator>
  <cp:keywords/>
  <dc:description/>
  <cp:lastModifiedBy>Erin Kayser</cp:lastModifiedBy>
  <cp:revision/>
  <dcterms:created xsi:type="dcterms:W3CDTF">2023-04-03T14:08:25Z</dcterms:created>
  <dcterms:modified xsi:type="dcterms:W3CDTF">2024-03-29T22:43:13Z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0x0101004134C51A046FF548B8F37AB3816F7A7F</vt:lpwstr>
  </property>
</Properties>
</file>