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3" documentId="8_{40C8FF9E-EC0D-4B01-A3C1-2440BE831652}" xr6:coauthVersionLast="47" xr6:coauthVersionMax="47" xr10:uidLastSave="{E74AE489-E96C-4289-BFCE-969FEDE43D5D}"/>
  <bookViews>
    <workbookView xWindow="732" yWindow="0" windowWidth="21468" windowHeight="12360" tabRatio="754" activeTab="1" xr2:uid="{D150DF87-7CB6-494E-861B-90A4868A8402}"/>
  </bookViews>
  <sheets>
    <sheet name="Overview" sheetId="26" r:id="rId1"/>
    <sheet name="Consolidated Budget" sheetId="30" r:id="rId2"/>
    <sheet name="Measure 1.1.2 Budget" sheetId="16" r:id="rId3"/>
    <sheet name="Measure 1.2.3 Budget" sheetId="27" r:id="rId4"/>
    <sheet name="Sub-Recipient Budget - HOURCAR" sheetId="33" r:id="rId5"/>
    <sheet name="Sub-Recipient Budget - SPC" sheetId="34" r:id="rId6"/>
  </sheets>
  <definedNames>
    <definedName name="_xlnm._FilterDatabase" localSheetId="1" hidden="1">'Consolidated Budget'!#REF!</definedName>
    <definedName name="_xlnm._FilterDatabase" localSheetId="2" hidden="1">'Measure 1.1.2 Budget'!#REF!</definedName>
    <definedName name="_xlnm._FilterDatabase" localSheetId="3" hidden="1">'Measure 1.2.3 Budget'!#REF!</definedName>
    <definedName name="_xlnm._FilterDatabase" localSheetId="4" hidden="1">'Sub-Recipient Budget - HOURCAR'!#REF!</definedName>
    <definedName name="_xlnm._FilterDatabase" localSheetId="5" hidden="1">'Sub-Recipient Budget - SPC'!#REF!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33" l="1"/>
  <c r="G50" i="33"/>
  <c r="F50" i="33"/>
  <c r="E50" i="33"/>
  <c r="D50" i="33"/>
  <c r="J37" i="33"/>
  <c r="J36" i="33"/>
  <c r="J35" i="33"/>
  <c r="J50" i="33"/>
  <c r="J47" i="33"/>
  <c r="J42" i="33"/>
  <c r="J41" i="33"/>
  <c r="J19" i="33"/>
  <c r="H35" i="33"/>
  <c r="G35" i="33"/>
  <c r="G36" i="33"/>
  <c r="F36" i="33"/>
  <c r="E52" i="33" l="1"/>
  <c r="E48" i="33"/>
  <c r="F35" i="33"/>
  <c r="E35" i="33"/>
  <c r="D35" i="33"/>
  <c r="D36" i="33"/>
  <c r="D37" i="33"/>
  <c r="E18" i="27"/>
  <c r="F18" i="27"/>
  <c r="G18" i="27"/>
  <c r="D18" i="27"/>
  <c r="J17" i="27"/>
  <c r="D27" i="33" l="1"/>
  <c r="E27" i="33"/>
  <c r="F27" i="33"/>
  <c r="G27" i="33"/>
  <c r="H27" i="33"/>
  <c r="J27" i="33"/>
  <c r="D30" i="33"/>
  <c r="E30" i="33"/>
  <c r="F30" i="33"/>
  <c r="G30" i="33"/>
  <c r="H30" i="33"/>
  <c r="J30" i="33"/>
  <c r="D33" i="33"/>
  <c r="E33" i="33"/>
  <c r="F33" i="33"/>
  <c r="G33" i="33"/>
  <c r="H33" i="33"/>
  <c r="J33" i="33"/>
  <c r="I9" i="27"/>
  <c r="I12" i="27"/>
  <c r="D7" i="30"/>
  <c r="I12" i="34"/>
  <c r="D12" i="34"/>
  <c r="J11" i="34"/>
  <c r="J12" i="34" s="1"/>
  <c r="E9" i="34"/>
  <c r="E16" i="34" s="1"/>
  <c r="E18" i="34" s="1"/>
  <c r="F9" i="34"/>
  <c r="F16" i="34" s="1"/>
  <c r="F18" i="34" s="1"/>
  <c r="G9" i="34"/>
  <c r="G16" i="34" s="1"/>
  <c r="G18" i="34" s="1"/>
  <c r="H9" i="34"/>
  <c r="H16" i="34" s="1"/>
  <c r="H18" i="34" s="1"/>
  <c r="J8" i="34"/>
  <c r="I18" i="34"/>
  <c r="J14" i="34"/>
  <c r="I9" i="34"/>
  <c r="H47" i="33"/>
  <c r="F43" i="33"/>
  <c r="D43" i="33"/>
  <c r="F42" i="33"/>
  <c r="F47" i="33" s="1"/>
  <c r="E42" i="33"/>
  <c r="D42" i="33"/>
  <c r="E9" i="16"/>
  <c r="F9" i="16"/>
  <c r="G9" i="16"/>
  <c r="H9" i="16" s="1"/>
  <c r="E10" i="16"/>
  <c r="F10" i="16" s="1"/>
  <c r="G10" i="16" s="1"/>
  <c r="H10" i="16" s="1"/>
  <c r="D14" i="16"/>
  <c r="E8" i="16"/>
  <c r="E13" i="16" s="1"/>
  <c r="D11" i="16"/>
  <c r="D13" i="16"/>
  <c r="E20" i="16"/>
  <c r="F20" i="16"/>
  <c r="G20" i="16"/>
  <c r="E23" i="16"/>
  <c r="F23" i="16"/>
  <c r="G23" i="16"/>
  <c r="H23" i="16"/>
  <c r="E24" i="16"/>
  <c r="F24" i="16"/>
  <c r="G24" i="16"/>
  <c r="H24" i="16"/>
  <c r="E25" i="16"/>
  <c r="F25" i="16"/>
  <c r="G25" i="16"/>
  <c r="H25" i="16"/>
  <c r="E28" i="16"/>
  <c r="F28" i="16"/>
  <c r="G28" i="16"/>
  <c r="F29" i="16"/>
  <c r="G29" i="16"/>
  <c r="H29" i="16"/>
  <c r="E30" i="16"/>
  <c r="J30" i="16" s="1"/>
  <c r="F30" i="16"/>
  <c r="G30" i="16"/>
  <c r="E31" i="16"/>
  <c r="F31" i="16"/>
  <c r="G31" i="16"/>
  <c r="J33" i="16"/>
  <c r="J34" i="16"/>
  <c r="J35" i="16"/>
  <c r="J36" i="16"/>
  <c r="J37" i="16"/>
  <c r="D39" i="33"/>
  <c r="I53" i="33"/>
  <c r="G47" i="33"/>
  <c r="J38" i="33"/>
  <c r="E46" i="33"/>
  <c r="D46" i="33"/>
  <c r="E45" i="33"/>
  <c r="D45" i="33"/>
  <c r="J45" i="33" s="1"/>
  <c r="J44" i="33"/>
  <c r="E43" i="33"/>
  <c r="G37" i="33"/>
  <c r="F37" i="33"/>
  <c r="E37" i="33"/>
  <c r="E36" i="33"/>
  <c r="I24" i="33"/>
  <c r="I20" i="33"/>
  <c r="E19" i="33"/>
  <c r="F19" i="33" s="1"/>
  <c r="G19" i="33" s="1"/>
  <c r="H19" i="33" s="1"/>
  <c r="D18" i="33"/>
  <c r="E17" i="33"/>
  <c r="F17" i="33" s="1"/>
  <c r="D16" i="33"/>
  <c r="E16" i="33" s="1"/>
  <c r="D15" i="33"/>
  <c r="E15" i="33" s="1"/>
  <c r="D14" i="33"/>
  <c r="D13" i="33"/>
  <c r="D12" i="33"/>
  <c r="E12" i="33" s="1"/>
  <c r="E11" i="33"/>
  <c r="D10" i="33"/>
  <c r="E10" i="33" s="1"/>
  <c r="D9" i="33"/>
  <c r="E9" i="33" s="1"/>
  <c r="D8" i="33"/>
  <c r="E8" i="33" s="1"/>
  <c r="G17" i="27"/>
  <c r="F17" i="27"/>
  <c r="J9" i="16" l="1"/>
  <c r="F8" i="16"/>
  <c r="F13" i="16" s="1"/>
  <c r="H14" i="16"/>
  <c r="E39" i="33"/>
  <c r="F39" i="33"/>
  <c r="G39" i="33"/>
  <c r="H39" i="33"/>
  <c r="J43" i="33"/>
  <c r="F14" i="16"/>
  <c r="J9" i="34"/>
  <c r="D15" i="34"/>
  <c r="D16" i="34" s="1"/>
  <c r="D18" i="34" s="1"/>
  <c r="J10" i="16"/>
  <c r="E14" i="16"/>
  <c r="G14" i="16"/>
  <c r="J29" i="16"/>
  <c r="J20" i="16"/>
  <c r="J23" i="16"/>
  <c r="J31" i="16"/>
  <c r="J24" i="16"/>
  <c r="J28" i="16"/>
  <c r="J25" i="16"/>
  <c r="E47" i="33"/>
  <c r="J46" i="33"/>
  <c r="F12" i="33"/>
  <c r="G12" i="33" s="1"/>
  <c r="H12" i="33" s="1"/>
  <c r="E13" i="33"/>
  <c r="F13" i="33" s="1"/>
  <c r="G13" i="33" s="1"/>
  <c r="H13" i="33" s="1"/>
  <c r="F8" i="33"/>
  <c r="F9" i="33"/>
  <c r="G9" i="33" s="1"/>
  <c r="H9" i="33" s="1"/>
  <c r="F10" i="33"/>
  <c r="G10" i="33" s="1"/>
  <c r="H10" i="33" s="1"/>
  <c r="F15" i="33"/>
  <c r="G15" i="33" s="1"/>
  <c r="H15" i="33" s="1"/>
  <c r="F16" i="33"/>
  <c r="G16" i="33" s="1"/>
  <c r="H16" i="33" s="1"/>
  <c r="G17" i="33"/>
  <c r="H17" i="33" s="1"/>
  <c r="D20" i="33"/>
  <c r="D22" i="33" s="1"/>
  <c r="E14" i="33"/>
  <c r="F14" i="33" s="1"/>
  <c r="G14" i="33" s="1"/>
  <c r="H14" i="33" s="1"/>
  <c r="D47" i="33"/>
  <c r="F11" i="33"/>
  <c r="G11" i="33" s="1"/>
  <c r="H11" i="33" s="1"/>
  <c r="E18" i="33"/>
  <c r="F18" i="33" s="1"/>
  <c r="G18" i="33" s="1"/>
  <c r="H18" i="33" s="1"/>
  <c r="J23" i="27"/>
  <c r="J27" i="27"/>
  <c r="G8" i="16" l="1"/>
  <c r="G13" i="16" s="1"/>
  <c r="J39" i="33"/>
  <c r="J15" i="34"/>
  <c r="J14" i="16"/>
  <c r="J10" i="33"/>
  <c r="J18" i="33"/>
  <c r="J11" i="33"/>
  <c r="J15" i="33"/>
  <c r="J13" i="33"/>
  <c r="J12" i="33"/>
  <c r="G8" i="33"/>
  <c r="F20" i="33"/>
  <c r="F22" i="33" s="1"/>
  <c r="F24" i="33" s="1"/>
  <c r="F48" i="33" s="1"/>
  <c r="D24" i="33"/>
  <c r="D48" i="33" s="1"/>
  <c r="E20" i="33"/>
  <c r="E22" i="33" s="1"/>
  <c r="E24" i="33" s="1"/>
  <c r="J17" i="33"/>
  <c r="J16" i="33"/>
  <c r="J14" i="33"/>
  <c r="J9" i="33"/>
  <c r="D28" i="27"/>
  <c r="H8" i="16" l="1"/>
  <c r="H13" i="16" s="1"/>
  <c r="J13" i="16" s="1"/>
  <c r="E53" i="33"/>
  <c r="E24" i="27" s="1"/>
  <c r="E25" i="27" s="1"/>
  <c r="F32" i="16"/>
  <c r="F38" i="16" s="1"/>
  <c r="F52" i="33"/>
  <c r="F53" i="33" s="1"/>
  <c r="F24" i="27" s="1"/>
  <c r="F25" i="27" s="1"/>
  <c r="H8" i="33"/>
  <c r="H20" i="33" s="1"/>
  <c r="H22" i="33" s="1"/>
  <c r="H24" i="33" s="1"/>
  <c r="H48" i="33" s="1"/>
  <c r="G20" i="33"/>
  <c r="G22" i="33" s="1"/>
  <c r="G24" i="33" s="1"/>
  <c r="G48" i="33" s="1"/>
  <c r="J8" i="16" l="1"/>
  <c r="D32" i="16"/>
  <c r="G32" i="16"/>
  <c r="G38" i="16" s="1"/>
  <c r="G52" i="33"/>
  <c r="G53" i="33" s="1"/>
  <c r="G24" i="27" s="1"/>
  <c r="G25" i="27" s="1"/>
  <c r="H52" i="33"/>
  <c r="H53" i="33" s="1"/>
  <c r="H24" i="27" s="1"/>
  <c r="J48" i="33"/>
  <c r="D52" i="33"/>
  <c r="J22" i="33"/>
  <c r="J24" i="33" s="1"/>
  <c r="J8" i="33"/>
  <c r="J20" i="33" s="1"/>
  <c r="D38" i="16" l="1"/>
  <c r="H25" i="27"/>
  <c r="J52" i="33"/>
  <c r="J53" i="33" s="1"/>
  <c r="D53" i="33"/>
  <c r="D24" i="27" s="1"/>
  <c r="D25" i="27" s="1"/>
  <c r="D29" i="27" s="1"/>
  <c r="E17" i="27"/>
  <c r="D17" i="27"/>
  <c r="J24" i="27" l="1"/>
  <c r="J25" i="27" s="1"/>
  <c r="J16" i="34"/>
  <c r="J18" i="34" s="1"/>
  <c r="E32" i="16"/>
  <c r="E38" i="16" l="1"/>
  <c r="E11" i="16"/>
  <c r="E15" i="16"/>
  <c r="I36" i="27"/>
  <c r="H29" i="27"/>
  <c r="G29" i="27"/>
  <c r="F29" i="27"/>
  <c r="E29" i="27"/>
  <c r="J46" i="16"/>
  <c r="F12" i="30"/>
  <c r="G12" i="30"/>
  <c r="D12" i="30"/>
  <c r="E26" i="16"/>
  <c r="F26" i="16"/>
  <c r="G26" i="16"/>
  <c r="H26" i="16"/>
  <c r="E21" i="16"/>
  <c r="F21" i="16"/>
  <c r="G21" i="16"/>
  <c r="H21" i="16"/>
  <c r="E18" i="16"/>
  <c r="F18" i="16"/>
  <c r="G18" i="16"/>
  <c r="H18" i="16"/>
  <c r="J17" i="16"/>
  <c r="D15" i="16"/>
  <c r="E42" i="16" l="1"/>
  <c r="E45" i="16" s="1"/>
  <c r="J28" i="27"/>
  <c r="E9" i="30"/>
  <c r="F15" i="16"/>
  <c r="F11" i="16"/>
  <c r="D10" i="30"/>
  <c r="F9" i="30"/>
  <c r="E13" i="30"/>
  <c r="D11" i="30"/>
  <c r="D32" i="27"/>
  <c r="E12" i="30"/>
  <c r="G9" i="30"/>
  <c r="H9" i="30"/>
  <c r="D13" i="30"/>
  <c r="E11" i="30"/>
  <c r="H13" i="30"/>
  <c r="F13" i="30"/>
  <c r="F11" i="30"/>
  <c r="D9" i="30"/>
  <c r="G13" i="30"/>
  <c r="G11" i="30"/>
  <c r="H11" i="30"/>
  <c r="H10" i="30"/>
  <c r="G10" i="30"/>
  <c r="F10" i="30"/>
  <c r="J18" i="27"/>
  <c r="E8" i="30"/>
  <c r="E10" i="30"/>
  <c r="J21" i="16"/>
  <c r="J26" i="16"/>
  <c r="J18" i="16"/>
  <c r="H32" i="16" l="1"/>
  <c r="J15" i="16"/>
  <c r="F8" i="30"/>
  <c r="G15" i="16"/>
  <c r="G8" i="30" s="1"/>
  <c r="E47" i="16"/>
  <c r="D42" i="16"/>
  <c r="D45" i="16" s="1"/>
  <c r="D8" i="30"/>
  <c r="D14" i="30" s="1"/>
  <c r="E7" i="30"/>
  <c r="E14" i="30" s="1"/>
  <c r="E32" i="27"/>
  <c r="H32" i="27"/>
  <c r="F32" i="27"/>
  <c r="G32" i="27"/>
  <c r="F7" i="30"/>
  <c r="J10" i="30"/>
  <c r="H11" i="16"/>
  <c r="H7" i="30" s="1"/>
  <c r="G11" i="16"/>
  <c r="G7" i="30" s="1"/>
  <c r="J11" i="30"/>
  <c r="J9" i="30"/>
  <c r="J13" i="30"/>
  <c r="H38" i="16" l="1"/>
  <c r="H12" i="30" s="1"/>
  <c r="J12" i="30" s="1"/>
  <c r="J32" i="16"/>
  <c r="J38" i="16" s="1"/>
  <c r="D47" i="16"/>
  <c r="D49" i="16" s="1"/>
  <c r="H15" i="16"/>
  <c r="H8" i="30" s="1"/>
  <c r="J8" i="30" s="1"/>
  <c r="J32" i="27"/>
  <c r="G34" i="27"/>
  <c r="G36" i="27" s="1"/>
  <c r="F34" i="27"/>
  <c r="F36" i="27" s="1"/>
  <c r="H34" i="27"/>
  <c r="H36" i="27" s="1"/>
  <c r="D34" i="27"/>
  <c r="D36" i="27" s="1"/>
  <c r="E49" i="16"/>
  <c r="J29" i="27"/>
  <c r="J11" i="16"/>
  <c r="F42" i="16"/>
  <c r="F45" i="16" s="1"/>
  <c r="F14" i="30"/>
  <c r="G42" i="16"/>
  <c r="G45" i="16" s="1"/>
  <c r="H42" i="16" l="1"/>
  <c r="H14" i="30"/>
  <c r="G47" i="16"/>
  <c r="F47" i="16"/>
  <c r="E34" i="27"/>
  <c r="D16" i="30"/>
  <c r="G14" i="30"/>
  <c r="J7" i="30"/>
  <c r="H45" i="16" l="1"/>
  <c r="J45" i="16" s="1"/>
  <c r="J47" i="16" s="1"/>
  <c r="J14" i="30"/>
  <c r="J42" i="16"/>
  <c r="F49" i="16"/>
  <c r="F16" i="30"/>
  <c r="F18" i="30" s="1"/>
  <c r="G16" i="30"/>
  <c r="G18" i="30" s="1"/>
  <c r="G49" i="16"/>
  <c r="J34" i="27"/>
  <c r="J36" i="27" s="1"/>
  <c r="D24" i="30" s="1"/>
  <c r="E36" i="27"/>
  <c r="E16" i="30"/>
  <c r="E18" i="30" s="1"/>
  <c r="D18" i="30"/>
  <c r="H47" i="16" l="1"/>
  <c r="H16" i="30" s="1"/>
  <c r="H18" i="30" s="1"/>
  <c r="J49" i="16"/>
  <c r="D23" i="30" s="1"/>
  <c r="D26" i="30" s="1"/>
  <c r="E24" i="30" s="1"/>
  <c r="J16" i="30" l="1"/>
  <c r="J18" i="30" s="1"/>
  <c r="H49" i="16"/>
  <c r="E23" i="30"/>
  <c r="E26" i="30" l="1"/>
</calcChain>
</file>

<file path=xl/sharedStrings.xml><?xml version="1.0" encoding="utf-8"?>
<sst xmlns="http://schemas.openxmlformats.org/spreadsheetml/2006/main" count="257" uniqueCount="98">
  <si>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</si>
  <si>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</si>
  <si>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</si>
  <si>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</si>
  <si>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</si>
  <si>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</si>
  <si>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</si>
  <si>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</si>
  <si>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</si>
  <si>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</si>
  <si>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</si>
  <si>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</si>
  <si>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</si>
  <si>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</si>
  <si>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</si>
  <si>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</si>
  <si>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</si>
  <si>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</si>
  <si>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</si>
  <si>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</si>
  <si>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</si>
  <si>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</si>
  <si>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</si>
  <si>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</si>
  <si>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</si>
  <si>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</si>
  <si>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</si>
  <si>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</si>
  <si>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</si>
  <si>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</si>
  <si>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</si>
  <si>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</si>
  <si>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</si>
  <si>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</si>
  <si>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</si>
  <si>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</si>
  <si>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</si>
  <si>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</si>
  <si>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</si>
  <si>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</si>
  <si>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</si>
  <si>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>TOTAL EQUIPMENT</t>
  </si>
  <si>
    <t>Insurance: Carshare Vehicles @ $2000/vehicle/year</t>
  </si>
  <si>
    <t xml:space="preserve">Service Agreement: EVSE @ $600/charger/year after first year in operation </t>
  </si>
  <si>
    <t xml:space="preserve">Installation and Commissioning: EVSE @ $465 each </t>
  </si>
  <si>
    <t xml:space="preserve">HOURCAR CEO @ $113,401/yr, 0.5FTE, with salary increase of 5% annually </t>
  </si>
  <si>
    <t xml:space="preserve">HOURCAR COO @ $74,006/yr, 0.5FTE, with salary increase of 5% annually </t>
  </si>
  <si>
    <t xml:space="preserve">HOURCAR Member Services Personnel @ 41,600/yr, 1.0FTE, with salary increase of 5% annually </t>
  </si>
  <si>
    <t xml:space="preserve">HOURCAR Fleet Manager @ $57,491/yr, 0.5FTE, with salary increase of 5% annually </t>
  </si>
  <si>
    <t xml:space="preserve">HOURCAR Member Services Manager @ $55,640/yr, 0.1FTE, with salary increase of 5% annually </t>
  </si>
  <si>
    <t xml:space="preserve">HOURCAR Fleet Personnel @ $41,600/yr, 6.0FTE, with salary increase of 5% annually </t>
  </si>
  <si>
    <t xml:space="preserve">HOURCAR Shop Manager @ $63,003/yr, 0.6FTE, with salary increase of 5% annually </t>
  </si>
  <si>
    <t xml:space="preserve">HOURCAR Technicians @ $52,000/yr, 5.0FTE, with salary increase of 5% annually </t>
  </si>
  <si>
    <t xml:space="preserve">HOURCAR Director of Planning &amp; Community Development @ $72,010/yr, 0.5FTE, with salary increase of 5% annually </t>
  </si>
  <si>
    <t xml:space="preserve">HOURCAR Expansion &amp; Community Engagement Coordinator @ $49,920/yr, 1.0FTE, with salary increase of 5% annually </t>
  </si>
  <si>
    <t xml:space="preserve">HOURCAR Head of Growth, Marketing &amp; Communications @ $65,270/yr, 0.5FTE, with salary increase of 5% annually </t>
  </si>
  <si>
    <t>HOURCAR Expansion Marketing Coordinator @ $49,920/yr, 1.0FTE, with salary increase of 5% annually</t>
  </si>
  <si>
    <t xml:space="preserve">HOURCAR Full FTE Fringe Benefits @ 20% of salary </t>
  </si>
  <si>
    <t xml:space="preserve">Supplies </t>
  </si>
  <si>
    <t xml:space="preserve">Level 2 EVSE Cable Retractor Assembly for replacement @ $350/unit, 30 per year </t>
  </si>
  <si>
    <t xml:space="preserve">Level 2 EVSE 25' Plug/Cable Assembly for replacement @ $450/unit, 30 per year </t>
  </si>
  <si>
    <t xml:space="preserve">Level 2 EVSE HMI Assembly for replacement @ $1,650/unit, 15 per year </t>
  </si>
  <si>
    <t xml:space="preserve">Marketing and Communications Plan Development and Execution @ $200,000 unique interest area (6) </t>
  </si>
  <si>
    <t xml:space="preserve">In-Person Planning Workshops @ $15,000 per session, 3 for each unique interest area (18 total) </t>
  </si>
  <si>
    <t>Communication Support (Workshop and outreach materials, website support, listserv support)</t>
  </si>
  <si>
    <t xml:space="preserve">Translation Services </t>
  </si>
  <si>
    <t xml:space="preserve">ADA Specific Infrastructure Upgrades or Design Specifications @ $5,000/site, 95 sites </t>
  </si>
  <si>
    <t>City of Saint Paul Management Assistant I @ $71,000/yr, 1.0 FTE, with salary increase of 5% annually</t>
  </si>
  <si>
    <t xml:space="preserve">Direct Mailing - Workshop Awareness @ $2,500 per mailing (18 total) </t>
  </si>
  <si>
    <t xml:space="preserve">Social Media Campaign - Virtual Workshop Awareness @ $500 per campaign (12 total) </t>
  </si>
  <si>
    <t xml:space="preserve">Development of Digital Assets </t>
  </si>
  <si>
    <t xml:space="preserve">Technology: Carshare Hardware @ $500/vehicle </t>
  </si>
  <si>
    <t>10% Indirect Rate * Direct Costs, less equipment and subawards in excess of $25,000</t>
  </si>
  <si>
    <t xml:space="preserve">City of Saint Paul Full FTE Fringe Benefits @ 33% of salary. </t>
  </si>
  <si>
    <t>Dual Port Level 2 EVSE @ $11,550 each, 190 units</t>
  </si>
  <si>
    <t xml:space="preserve">Sub-Recipient: HOURCAR </t>
  </si>
  <si>
    <t>Design, Connection and Infrastructure Costs for Charging Hubs @$120,000/site, 95 sites</t>
  </si>
  <si>
    <t xml:space="preserve">Sub-Recipient: Saint Paul College - Workforce Development Program Creation </t>
  </si>
  <si>
    <t xml:space="preserve">Sub-Recipient: Rice Larpenteur Alliance </t>
  </si>
  <si>
    <t xml:space="preserve">Sub-Recipient: Powderhorn Neighborhood Association </t>
  </si>
  <si>
    <t xml:space="preserve">Sub-Recipient: Northside Residents Redevelopment Council </t>
  </si>
  <si>
    <t xml:space="preserve">Sub-Recipient: Payne-Phalen Community Council </t>
  </si>
  <si>
    <t xml:space="preserve">Sub-Recipient: West Side Community Organization </t>
  </si>
  <si>
    <t>City of Minneapolis Project Manager @ 0.5FTE, with salary increase of 5% annually</t>
  </si>
  <si>
    <t xml:space="preserve">City of Minneapolis Engineer Tech II @ 0.25FTE with salary increase of 5% annually </t>
  </si>
  <si>
    <t>City of Minneapolis Program Staff @ 33% of salary</t>
  </si>
  <si>
    <t>Virtual Planning Workshops @ $5,000 per session, 3 for each unique interest area (18 total)</t>
  </si>
  <si>
    <t xml:space="preserve">Improve equitable access to electric vehicle charging infrastructure </t>
  </si>
  <si>
    <t xml:space="preserve">Facilitate equitable access to electric vehicle car-share programs </t>
  </si>
  <si>
    <t xml:space="preserve">Develop boot camp courses and materials </t>
  </si>
  <si>
    <t xml:space="preserve">Tools and Equipment: SPC has an EV and charger lab, but will need to add tools, upgrade the EV and equipment to deliver instruction </t>
  </si>
  <si>
    <t xml:space="preserve">Instructor labor hours per boot camp class </t>
  </si>
  <si>
    <t>MPCA PCAP 1.1.2</t>
  </si>
  <si>
    <t>MPCA PCAP 1.2.3</t>
  </si>
  <si>
    <t xml:space="preserve">TOTAL BUDGET REQUEST </t>
  </si>
  <si>
    <t>Licensing: Carshare Vehicles @ $200/vehicle/year</t>
  </si>
  <si>
    <t xml:space="preserve">Capital Improvements to HOURCAR Facilities including Electrical Upgrades, Roof Preparation, and Solar Panel Installation. </t>
  </si>
  <si>
    <t>Carshare Vehicles - Annual Purchasing $40,000/vehicle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</si>
</sst>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&quot;$&quot;#,##0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6" fillId="4" borderId="1" xfId="0" applyFont="1" applyFill="1" applyBorder="1" applyAlignment="1">
      <alignment wrapText="1"/>
    </xf>
    <xf numFmtId="6" fontId="8" fillId="4" borderId="1" xfId="0" applyNumberFormat="1" applyFont="1" applyFill="1" applyBorder="1" applyAlignment="1">
      <alignment wrapText="1"/>
    </xf>
    <xf numFmtId="0" fontId="10" fillId="0" borderId="0" xfId="0" applyFont="1"/>
    <xf numFmtId="0" fontId="12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0" fontId="0" fillId="0" borderId="0" xfId="0" applyAlignment="1">
      <alignment vertical="top"/>
    </xf>
    <xf numFmtId="0" fontId="6" fillId="0" borderId="0" xfId="0" applyFont="1"/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6" fillId="7" borderId="1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wrapText="1"/>
    </xf>
    <xf numFmtId="0" fontId="6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1" xfId="0" applyFont="1" applyBorder="1" applyAlignment="1">
      <alignment wrapText="1"/>
    </xf>
    <xf numFmtId="6" fontId="9" fillId="0" borderId="19" xfId="0" applyNumberFormat="1" applyFont="1" applyBorder="1" applyAlignment="1">
      <alignment wrapText="1"/>
    </xf>
    <xf numFmtId="0" fontId="9" fillId="0" borderId="0" xfId="0" applyFont="1"/>
    <xf numFmtId="0" fontId="9" fillId="3" borderId="20" xfId="0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0" fontId="0" fillId="0" borderId="1" xfId="0" applyBorder="1"/>
    <xf numFmtId="6" fontId="9" fillId="0" borderId="1" xfId="0" applyNumberFormat="1" applyFont="1" applyBorder="1" applyAlignment="1">
      <alignment wrapText="1"/>
    </xf>
    <xf numFmtId="164" fontId="8" fillId="7" borderId="1" xfId="0" applyNumberFormat="1" applyFont="1" applyFill="1" applyBorder="1" applyAlignment="1">
      <alignment wrapText="1"/>
    </xf>
    <xf numFmtId="0" fontId="13" fillId="0" borderId="0" xfId="0" applyFont="1"/>
    <xf numFmtId="0" fontId="14" fillId="0" borderId="0" xfId="0" applyFont="1"/>
    <xf numFmtId="44" fontId="14" fillId="0" borderId="0" xfId="1" applyFont="1" applyBorder="1" applyAlignment="1">
      <alignment vertical="top"/>
    </xf>
    <xf numFmtId="44" fontId="14" fillId="0" borderId="0" xfId="1" applyFont="1" applyBorder="1"/>
    <xf numFmtId="44" fontId="14" fillId="0" borderId="0" xfId="1" applyFont="1" applyFill="1" applyBorder="1" applyAlignment="1"/>
    <xf numFmtId="0" fontId="15" fillId="0" borderId="0" xfId="0" applyFont="1"/>
    <xf numFmtId="0" fontId="16" fillId="5" borderId="8" xfId="0" applyFont="1" applyFill="1" applyBorder="1"/>
    <xf numFmtId="0" fontId="17" fillId="5" borderId="7" xfId="0" applyFont="1" applyFill="1" applyBorder="1" applyAlignment="1">
      <alignment wrapText="1"/>
    </xf>
    <xf numFmtId="44" fontId="17" fillId="5" borderId="7" xfId="1" applyFont="1" applyFill="1" applyBorder="1" applyAlignment="1">
      <alignment wrapText="1"/>
    </xf>
    <xf numFmtId="44" fontId="17" fillId="5" borderId="6" xfId="1" applyFont="1" applyFill="1" applyBorder="1" applyAlignment="1">
      <alignment wrapText="1"/>
    </xf>
    <xf numFmtId="0" fontId="17" fillId="6" borderId="13" xfId="0" applyFont="1" applyFill="1" applyBorder="1" applyAlignment="1">
      <alignment wrapText="1"/>
    </xf>
    <xf numFmtId="44" fontId="17" fillId="6" borderId="13" xfId="1" applyFont="1" applyFill="1" applyBorder="1" applyAlignment="1">
      <alignment wrapText="1"/>
    </xf>
    <xf numFmtId="44" fontId="17" fillId="6" borderId="14" xfId="1" applyFont="1" applyFill="1" applyBorder="1" applyAlignment="1">
      <alignment wrapText="1"/>
    </xf>
    <xf numFmtId="44" fontId="17" fillId="6" borderId="15" xfId="1" applyFont="1" applyFill="1" applyBorder="1" applyAlignment="1">
      <alignment wrapText="1"/>
    </xf>
    <xf numFmtId="44" fontId="17" fillId="6" borderId="7" xfId="1" applyFont="1" applyFill="1" applyBorder="1" applyAlignment="1">
      <alignment wrapText="1"/>
    </xf>
    <xf numFmtId="44" fontId="17" fillId="6" borderId="3" xfId="1" applyFont="1" applyFill="1" applyBorder="1" applyAlignment="1"/>
    <xf numFmtId="0" fontId="17" fillId="0" borderId="2" xfId="0" applyFont="1" applyBorder="1" applyAlignment="1">
      <alignment vertical="top" wrapText="1"/>
    </xf>
    <xf numFmtId="0" fontId="17" fillId="0" borderId="1" xfId="0" applyFont="1" applyBorder="1" applyAlignment="1">
      <alignment vertical="top"/>
    </xf>
    <xf numFmtId="44" fontId="14" fillId="0" borderId="1" xfId="1" applyFont="1" applyFill="1" applyBorder="1" applyAlignment="1">
      <alignment wrapText="1"/>
    </xf>
    <xf numFmtId="44" fontId="14" fillId="0" borderId="1" xfId="1" applyFont="1" applyFill="1" applyBorder="1" applyAlignment="1"/>
    <xf numFmtId="0" fontId="14" fillId="0" borderId="5" xfId="0" applyFont="1" applyBorder="1" applyAlignment="1">
      <alignment vertical="top"/>
    </xf>
    <xf numFmtId="0" fontId="15" fillId="0" borderId="1" xfId="0" applyFont="1" applyBorder="1" applyAlignment="1">
      <alignment horizontal="left" wrapText="1" indent="2"/>
    </xf>
    <xf numFmtId="0" fontId="14" fillId="4" borderId="1" xfId="0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 indent="1"/>
    </xf>
    <xf numFmtId="0" fontId="14" fillId="0" borderId="3" xfId="0" applyFont="1" applyBorder="1" applyAlignment="1">
      <alignment vertical="top"/>
    </xf>
    <xf numFmtId="0" fontId="14" fillId="0" borderId="0" xfId="0" applyFont="1" applyAlignment="1">
      <alignment vertical="top"/>
    </xf>
    <xf numFmtId="0" fontId="17" fillId="0" borderId="1" xfId="0" applyFont="1" applyBorder="1"/>
    <xf numFmtId="0" fontId="17" fillId="0" borderId="11" xfId="0" applyFont="1" applyBorder="1" applyAlignment="1">
      <alignment wrapText="1"/>
    </xf>
    <xf numFmtId="0" fontId="17" fillId="0" borderId="0" xfId="0" applyFont="1"/>
    <xf numFmtId="164" fontId="14" fillId="0" borderId="0" xfId="1" applyNumberFormat="1" applyFont="1" applyBorder="1"/>
    <xf numFmtId="0" fontId="17" fillId="5" borderId="6" xfId="0" applyFont="1" applyFill="1" applyBorder="1" applyAlignment="1">
      <alignment wrapText="1"/>
    </xf>
    <xf numFmtId="0" fontId="17" fillId="6" borderId="14" xfId="0" applyFont="1" applyFill="1" applyBorder="1" applyAlignment="1">
      <alignment wrapText="1"/>
    </xf>
    <xf numFmtId="0" fontId="17" fillId="6" borderId="15" xfId="0" applyFont="1" applyFill="1" applyBorder="1" applyAlignment="1">
      <alignment wrapText="1"/>
    </xf>
    <xf numFmtId="0" fontId="17" fillId="6" borderId="7" xfId="0" applyFont="1" applyFill="1" applyBorder="1" applyAlignment="1">
      <alignment wrapText="1"/>
    </xf>
    <xf numFmtId="0" fontId="17" fillId="6" borderId="3" xfId="0" applyFont="1" applyFill="1" applyBorder="1"/>
    <xf numFmtId="0" fontId="17" fillId="0" borderId="2" xfId="0" applyFont="1" applyBorder="1" applyAlignment="1">
      <alignment vertical="top"/>
    </xf>
    <xf numFmtId="0" fontId="14" fillId="0" borderId="1" xfId="0" applyFont="1" applyBorder="1"/>
    <xf numFmtId="6" fontId="15" fillId="0" borderId="1" xfId="0" applyNumberFormat="1" applyFont="1" applyBorder="1" applyAlignment="1">
      <alignment wrapText="1"/>
    </xf>
    <xf numFmtId="6" fontId="14" fillId="0" borderId="0" xfId="0" applyNumberFormat="1" applyFont="1"/>
    <xf numFmtId="6" fontId="15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6" fontId="14" fillId="0" borderId="1" xfId="0" applyNumberFormat="1" applyFont="1" applyBorder="1" applyAlignment="1">
      <alignment wrapText="1"/>
    </xf>
    <xf numFmtId="6" fontId="15" fillId="4" borderId="4" xfId="0" applyNumberFormat="1" applyFont="1" applyFill="1" applyBorder="1" applyAlignment="1">
      <alignment wrapText="1"/>
    </xf>
    <xf numFmtId="8" fontId="15" fillId="0" borderId="1" xfId="0" applyNumberFormat="1" applyFont="1" applyBorder="1" applyAlignment="1">
      <alignment wrapText="1"/>
    </xf>
    <xf numFmtId="6" fontId="18" fillId="0" borderId="12" xfId="0" applyNumberFormat="1" applyFont="1" applyBorder="1" applyAlignment="1">
      <alignment wrapText="1"/>
    </xf>
    <xf numFmtId="165" fontId="15" fillId="0" borderId="1" xfId="1" applyNumberFormat="1" applyFont="1" applyFill="1" applyBorder="1" applyAlignment="1">
      <alignment wrapText="1"/>
    </xf>
    <xf numFmtId="166" fontId="15" fillId="4" borderId="1" xfId="1" applyNumberFormat="1" applyFont="1" applyFill="1" applyBorder="1" applyAlignment="1">
      <alignment wrapText="1"/>
    </xf>
    <xf numFmtId="164" fontId="14" fillId="0" borderId="0" xfId="0" applyNumberFormat="1" applyFont="1"/>
    <xf numFmtId="6" fontId="15" fillId="7" borderId="1" xfId="0" applyNumberFormat="1" applyFont="1" applyFill="1" applyBorder="1" applyAlignment="1">
      <alignment horizontal="left" vertical="top" wrapText="1"/>
    </xf>
    <xf numFmtId="6" fontId="15" fillId="7" borderId="8" xfId="0" applyNumberFormat="1" applyFont="1" applyFill="1" applyBorder="1" applyAlignment="1">
      <alignment wrapText="1"/>
    </xf>
    <xf numFmtId="6" fontId="15" fillId="7" borderId="1" xfId="0" applyNumberFormat="1" applyFont="1" applyFill="1" applyBorder="1" applyAlignment="1">
      <alignment wrapText="1"/>
    </xf>
    <xf numFmtId="164" fontId="15" fillId="0" borderId="1" xfId="1" applyNumberFormat="1" applyFont="1" applyFill="1" applyBorder="1" applyAlignment="1">
      <alignment wrapText="1"/>
    </xf>
    <xf numFmtId="164" fontId="14" fillId="0" borderId="0" xfId="1" applyNumberFormat="1" applyFont="1" applyFill="1" applyBorder="1" applyAlignment="1"/>
    <xf numFmtId="164" fontId="15" fillId="4" borderId="1" xfId="1" applyNumberFormat="1" applyFont="1" applyFill="1" applyBorder="1" applyAlignment="1">
      <alignment wrapText="1"/>
    </xf>
    <xf numFmtId="164" fontId="14" fillId="0" borderId="1" xfId="1" applyNumberFormat="1" applyFont="1" applyFill="1" applyBorder="1" applyAlignment="1">
      <alignment wrapText="1"/>
    </xf>
    <xf numFmtId="164" fontId="14" fillId="0" borderId="1" xfId="1" applyNumberFormat="1" applyFont="1" applyFill="1" applyBorder="1" applyAlignment="1"/>
    <xf numFmtId="164" fontId="15" fillId="4" borderId="4" xfId="1" applyNumberFormat="1" applyFont="1" applyFill="1" applyBorder="1" applyAlignment="1">
      <alignment wrapText="1"/>
    </xf>
    <xf numFmtId="164" fontId="14" fillId="0" borderId="0" xfId="1" applyNumberFormat="1" applyFont="1" applyFill="1" applyBorder="1"/>
    <xf numFmtId="164" fontId="14" fillId="0" borderId="1" xfId="1" applyNumberFormat="1" applyFont="1" applyFill="1" applyBorder="1"/>
    <xf numFmtId="164" fontId="18" fillId="0" borderId="12" xfId="1" applyNumberFormat="1" applyFont="1" applyFill="1" applyBorder="1" applyAlignment="1">
      <alignment wrapText="1"/>
    </xf>
    <xf numFmtId="43" fontId="14" fillId="0" borderId="0" xfId="3" applyFont="1"/>
    <xf numFmtId="0" fontId="3" fillId="0" borderId="0" xfId="0" applyFont="1" applyAlignment="1">
      <alignment horizontal="left" wrapText="1"/>
    </xf>
    <xf numFmtId="9" fontId="15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workbookViewId="0"/>
  </sheetViews>
  <sheetFormatPr defaultRowHeight="14.4" x14ac:dyDescent="0.3"/>
  <cols>
    <col min="1" max="1" width="1.88671875" customWidth="1"/>
    <col min="5" max="5" width="13.44140625" bestFit="1" customWidth="1"/>
    <col min="6" max="6" width="14.44140625" bestFit="1" customWidth="1"/>
    <col min="7" max="9" width="14.44140625" customWidth="1"/>
    <col min="10" max="10" width="10.886718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12"/>
      <c r="K2" s="3"/>
    </row>
    <row r="3" spans="4:11" x14ac:dyDescent="0.3">
      <c r="D3" s="3"/>
      <c r="E3" s="3"/>
      <c r="J3" s="10"/>
      <c r="K3" s="11"/>
    </row>
    <row r="4" spans="4:11" x14ac:dyDescent="0.3">
      <c r="D4" s="4"/>
      <c r="E4" s="3"/>
    </row>
    <row r="9" spans="4:11" x14ac:dyDescent="0.3">
      <c r="J9" s="8"/>
    </row>
    <row r="17" spans="5:18" x14ac:dyDescent="0.3">
      <c r="E17" s="13"/>
      <c r="F17" s="13"/>
      <c r="G17" s="13"/>
      <c r="H17" s="13"/>
      <c r="I17" s="13"/>
    </row>
    <row r="18" spans="5:18" x14ac:dyDescent="0.3">
      <c r="E18" s="13"/>
      <c r="F18" s="13"/>
      <c r="G18" s="13"/>
      <c r="H18" s="13"/>
      <c r="I18" s="13"/>
    </row>
    <row r="27" spans="5:18" ht="23.4" x14ac:dyDescent="0.45">
      <c r="Q27" s="9"/>
    </row>
    <row r="28" spans="5:18" x14ac:dyDescent="0.3">
      <c r="Q28" s="33"/>
      <c r="R28" s="3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7"/>
  <sheetViews>
    <sheetView tabSelected="1" workbookViewId="0">
      <selection activeCell="L15" sqref="L15"/>
    </sheetView>
  </sheetViews>
  <sheetFormatPr defaultColWidth="9.109375" defaultRowHeight="15" customHeight="1" x14ac:dyDescent="0.3"/>
  <cols>
    <col min="1" max="1" width="3.109375" customWidth="1"/>
    <col min="2" max="2" width="12.109375" customWidth="1"/>
    <col min="3" max="3" width="29.109375" customWidth="1"/>
    <col min="4" max="4" width="16" style="14" bestFit="1" customWidth="1"/>
    <col min="5" max="5" width="16.6640625" style="2" bestFit="1" customWidth="1"/>
    <col min="6" max="6" width="16.6640625" bestFit="1" customWidth="1"/>
    <col min="7" max="7" width="15.44140625" bestFit="1" customWidth="1"/>
    <col min="8" max="8" width="14.88671875" style="2" bestFit="1" customWidth="1"/>
    <col min="9" max="9" width="3.5546875" style="15" customWidth="1"/>
    <col min="10" max="10" width="17.109375" bestFit="1" customWidth="1"/>
    <col min="11" max="11" width="10.109375" customWidth="1"/>
  </cols>
  <sheetData>
    <row r="2" spans="2:39" ht="23.4" x14ac:dyDescent="0.45">
      <c r="B2" s="9" t="s">
        <v>0</v>
      </c>
    </row>
    <row r="3" spans="2:39" ht="26.4" customHeight="1" x14ac:dyDescent="0.3">
      <c r="B3" s="105" t="s">
        <v>1</v>
      </c>
      <c r="C3" s="105"/>
      <c r="D3" s="105"/>
      <c r="E3" s="105"/>
      <c r="F3" s="105"/>
      <c r="G3" s="105"/>
      <c r="H3" s="105"/>
      <c r="I3" s="105"/>
      <c r="J3" s="105"/>
    </row>
    <row r="4" spans="2:39" ht="15" customHeight="1" x14ac:dyDescent="0.3">
      <c r="B4" s="5"/>
    </row>
    <row r="5" spans="2:39" ht="18" x14ac:dyDescent="0.35">
      <c r="B5" s="16" t="s">
        <v>2</v>
      </c>
      <c r="C5" s="17"/>
      <c r="D5" s="17"/>
      <c r="E5" s="17"/>
      <c r="F5" s="17"/>
      <c r="G5" s="17"/>
      <c r="H5" s="17"/>
      <c r="I5" s="17"/>
      <c r="J5" s="37"/>
    </row>
    <row r="6" spans="2:39" ht="17.100000000000001" customHeight="1" x14ac:dyDescent="0.3">
      <c r="B6" s="18" t="s">
        <v>3</v>
      </c>
      <c r="C6" s="18" t="s">
        <v>4</v>
      </c>
      <c r="D6" s="18" t="s">
        <v>5</v>
      </c>
      <c r="E6" s="19" t="s">
        <v>6</v>
      </c>
      <c r="F6" s="19" t="s">
        <v>7</v>
      </c>
      <c r="G6" s="19" t="s">
        <v>8</v>
      </c>
      <c r="H6" s="20" t="s">
        <v>9</v>
      </c>
      <c r="I6" s="21"/>
      <c r="J6" s="38" t="s">
        <v>10</v>
      </c>
    </row>
    <row r="7" spans="2:39" s="5" customFormat="1" ht="14.4" x14ac:dyDescent="0.3">
      <c r="B7" s="22" t="s">
        <v>11</v>
      </c>
      <c r="C7" s="23" t="s">
        <v>12</v>
      </c>
      <c r="D7" s="41">
        <f>'Measure 1.1.2 Budget'!D11+'Measure 1.2.3 Budget'!D9</f>
        <v>151917</v>
      </c>
      <c r="E7" s="24">
        <f>'Measure 1.1.2 Budget'!E11+'Measure 1.2.3 Budget'!E9</f>
        <v>159512.85</v>
      </c>
      <c r="F7" s="24">
        <f>'Measure 1.1.2 Budget'!F11+'Measure 1.2.3 Budget'!F9</f>
        <v>167488.49249999999</v>
      </c>
      <c r="G7" s="24">
        <f>'Measure 1.1.2 Budget'!G11+'Measure 1.2.3 Budget'!G9</f>
        <v>175862.91712500001</v>
      </c>
      <c r="H7" s="24">
        <f>'Measure 1.1.2 Budget'!H11+'Measure 1.2.3 Budget'!H9</f>
        <v>184656.06298125003</v>
      </c>
      <c r="I7" s="25"/>
      <c r="J7" s="24">
        <f>SUM(D7:I7)</f>
        <v>839437.32260624995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6"/>
      <c r="C8" s="23" t="s">
        <v>13</v>
      </c>
      <c r="D8" s="24">
        <f>'Measure 1.1.2 Budget'!D15+'Measure 1.2.3 Budget'!D12</f>
        <v>50132.61</v>
      </c>
      <c r="E8" s="24">
        <f>'Measure 1.1.2 Budget'!E15+'Measure 1.2.3 Budget'!E12</f>
        <v>52639.2405</v>
      </c>
      <c r="F8" s="24">
        <f>'Measure 1.1.2 Budget'!F15+'Measure 1.2.3 Budget'!F12</f>
        <v>55271.202525000001</v>
      </c>
      <c r="G8" s="24">
        <f>'Measure 1.1.2 Budget'!G15+'Measure 1.2.3 Budget'!G12</f>
        <v>58034.762651250014</v>
      </c>
      <c r="H8" s="24">
        <f>'Measure 1.1.2 Budget'!H15+'Measure 1.2.3 Budget'!H12</f>
        <v>60936.500783812509</v>
      </c>
      <c r="I8" s="25"/>
      <c r="J8" s="24">
        <f t="shared" ref="J8:J13" si="0">SUM(D8:I8)</f>
        <v>277014.31646006252</v>
      </c>
    </row>
    <row r="9" spans="2:39" ht="14.4" x14ac:dyDescent="0.3">
      <c r="B9" s="26"/>
      <c r="C9" s="23" t="s">
        <v>14</v>
      </c>
      <c r="D9" s="24">
        <f>'Measure 1.1.2 Budget'!D18+'Measure 1.2.3 Budget'!D15</f>
        <v>0</v>
      </c>
      <c r="E9" s="24">
        <f>'Measure 1.1.2 Budget'!E18+'Measure 1.2.3 Budget'!E15</f>
        <v>0</v>
      </c>
      <c r="F9" s="24">
        <f>'Measure 1.1.2 Budget'!F18+'Measure 1.2.3 Budget'!F15</f>
        <v>0</v>
      </c>
      <c r="G9" s="24">
        <f>'Measure 1.1.2 Budget'!G18+'Measure 1.2.3 Budget'!G15</f>
        <v>0</v>
      </c>
      <c r="H9" s="24">
        <f>'Measure 1.1.2 Budget'!H18+'Measure 1.2.3 Budget'!H15</f>
        <v>0</v>
      </c>
      <c r="I9" s="25"/>
      <c r="J9" s="24">
        <f t="shared" si="0"/>
        <v>0</v>
      </c>
    </row>
    <row r="10" spans="2:39" ht="14.4" x14ac:dyDescent="0.3">
      <c r="B10" s="26"/>
      <c r="C10" s="23" t="s">
        <v>15</v>
      </c>
      <c r="D10" s="24">
        <f>'Measure 1.1.2 Budget'!D21+'Measure 1.2.3 Budget'!D18</f>
        <v>8000000</v>
      </c>
      <c r="E10" s="24">
        <f>'Measure 1.1.2 Budget'!E21+'Measure 1.2.3 Budget'!E18</f>
        <v>7039500</v>
      </c>
      <c r="F10" s="24">
        <f>'Measure 1.1.2 Budget'!F21+'Measure 1.2.3 Budget'!F18</f>
        <v>3093000</v>
      </c>
      <c r="G10" s="24">
        <f>'Measure 1.1.2 Budget'!G21+'Measure 1.2.3 Budget'!G18</f>
        <v>2062000</v>
      </c>
      <c r="H10" s="24">
        <f>'Measure 1.1.2 Budget'!H21+'Measure 1.2.3 Budget'!H18</f>
        <v>0</v>
      </c>
      <c r="I10" s="25"/>
      <c r="J10" s="24">
        <f t="shared" si="0"/>
        <v>20194500</v>
      </c>
    </row>
    <row r="11" spans="2:39" ht="14.4" x14ac:dyDescent="0.3">
      <c r="B11" s="26"/>
      <c r="C11" s="23" t="s">
        <v>16</v>
      </c>
      <c r="D11" s="24">
        <f>'Measure 1.1.2 Budget'!D26+'Measure 1.2.3 Budget'!D21</f>
        <v>0</v>
      </c>
      <c r="E11" s="24">
        <f>'Measure 1.1.2 Budget'!E26+'Measure 1.2.3 Budget'!E21</f>
        <v>48750</v>
      </c>
      <c r="F11" s="24">
        <f>'Measure 1.1.2 Budget'!F26+'Measure 1.2.3 Budget'!F21</f>
        <v>48750</v>
      </c>
      <c r="G11" s="24">
        <f>'Measure 1.1.2 Budget'!G26+'Measure 1.2.3 Budget'!G21</f>
        <v>48750</v>
      </c>
      <c r="H11" s="24">
        <f>'Measure 1.1.2 Budget'!H26+'Measure 1.2.3 Budget'!H21</f>
        <v>48750</v>
      </c>
      <c r="I11" s="25"/>
      <c r="J11" s="24">
        <f t="shared" si="0"/>
        <v>195000</v>
      </c>
    </row>
    <row r="12" spans="2:39" ht="14.4" x14ac:dyDescent="0.3">
      <c r="B12" s="26"/>
      <c r="C12" s="23" t="s">
        <v>17</v>
      </c>
      <c r="D12" s="24">
        <f>'Measure 1.1.2 Budget'!D38+'Measure 1.2.3 Budget'!D25</f>
        <v>2818203.5320000001</v>
      </c>
      <c r="E12" s="24">
        <f>'Measure 1.1.2 Budget'!E38+'Measure 1.2.3 Budget'!E25</f>
        <v>8398696.2085999995</v>
      </c>
      <c r="F12" s="24">
        <f>'Measure 1.1.2 Budget'!F38+'Measure 1.2.3 Budget'!F25</f>
        <v>6758561.0190300001</v>
      </c>
      <c r="G12" s="24">
        <f>'Measure 1.1.2 Budget'!G38+'Measure 1.2.3 Budget'!G25</f>
        <v>5465694.0699815005</v>
      </c>
      <c r="H12" s="24">
        <f>'Measure 1.1.2 Budget'!H38+'Measure 1.2.3 Budget'!H25</f>
        <v>2564748.7734805751</v>
      </c>
      <c r="I12" s="25"/>
      <c r="J12" s="24">
        <f t="shared" si="0"/>
        <v>26005903.603092074</v>
      </c>
    </row>
    <row r="13" spans="2:39" ht="14.4" x14ac:dyDescent="0.3">
      <c r="B13" s="26"/>
      <c r="C13" s="23" t="s">
        <v>18</v>
      </c>
      <c r="D13" s="24">
        <f>'Measure 1.1.2 Budget'!D41+'Measure 1.2.3 Budget'!D28</f>
        <v>10000</v>
      </c>
      <c r="E13" s="24">
        <f>'Measure 1.1.2 Budget'!E41+'Measure 1.2.3 Budget'!E28</f>
        <v>0</v>
      </c>
      <c r="F13" s="24">
        <f>'Measure 1.1.2 Budget'!F41+'Measure 1.2.3 Budget'!F28</f>
        <v>0</v>
      </c>
      <c r="G13" s="24">
        <f>'Measure 1.1.2 Budget'!G41+'Measure 1.2.3 Budget'!G28</f>
        <v>0</v>
      </c>
      <c r="H13" s="24">
        <f>'Measure 1.1.2 Budget'!H41+'Measure 1.2.3 Budget'!H28</f>
        <v>0</v>
      </c>
      <c r="I13" s="25"/>
      <c r="J13" s="24">
        <f t="shared" si="0"/>
        <v>10000</v>
      </c>
    </row>
    <row r="14" spans="2:39" ht="14.4" x14ac:dyDescent="0.3">
      <c r="B14" s="27"/>
      <c r="C14" s="6" t="s">
        <v>19</v>
      </c>
      <c r="D14" s="7">
        <f>D13+D12+D11+D10+D9+D8+D7</f>
        <v>11030253.141999999</v>
      </c>
      <c r="E14" s="7">
        <f>E13+E12+E11+E10+E9+E8+E7</f>
        <v>15699098.299099999</v>
      </c>
      <c r="F14" s="7">
        <f>F13+F12+F11+F10+F9+F8+F7</f>
        <v>10123070.714055</v>
      </c>
      <c r="G14" s="7">
        <f>G13+G12+G11+G10+G9+G8+G7</f>
        <v>7810341.74975775</v>
      </c>
      <c r="H14" s="7">
        <f>H13+H12+H11+H10+H9+H8+H7</f>
        <v>2859091.337245638</v>
      </c>
      <c r="J14" s="7">
        <f>SUM(D14:I14)</f>
        <v>47521855.242158383</v>
      </c>
    </row>
    <row r="15" spans="2:39" ht="14.4" x14ac:dyDescent="0.3">
      <c r="B15" s="36"/>
      <c r="D15"/>
      <c r="E15"/>
      <c r="H15"/>
      <c r="I15"/>
      <c r="J15" s="39" t="s">
        <v>20</v>
      </c>
    </row>
    <row r="16" spans="2:39" ht="20.100000000000001" customHeight="1" x14ac:dyDescent="0.3">
      <c r="B16" s="36"/>
      <c r="C16" s="6" t="s">
        <v>21</v>
      </c>
      <c r="D16" s="32">
        <f>'Measure 1.1.2 Budget'!D47+'Measure 1.2.3 Budget'!D34</f>
        <v>41204.960999999959</v>
      </c>
      <c r="E16" s="32">
        <f>'Measure 1.1.2 Budget'!E47+'Measure 1.2.3 Budget'!E34</f>
        <v>33590.209049999954</v>
      </c>
      <c r="F16" s="32">
        <f>'Measure 1.1.2 Budget'!F47+'Measure 1.2.3 Budget'!F34</f>
        <v>29650.969502499982</v>
      </c>
      <c r="G16" s="32">
        <f>'Measure 1.1.2 Budget'!G47+'Measure 1.2.3 Budget'!G34</f>
        <v>28264.767977625041</v>
      </c>
      <c r="H16" s="32">
        <f>'Measure 1.1.2 Budget'!H47+'Measure 1.2.3 Budget'!H34</f>
        <v>29434.256376506251</v>
      </c>
      <c r="J16" s="32">
        <f>SUM(D16:H16)</f>
        <v>162145.16390663118</v>
      </c>
    </row>
    <row r="17" spans="2:10" thickBot="1" x14ac:dyDescent="0.35">
      <c r="B17" s="36"/>
      <c r="D17"/>
      <c r="E17"/>
      <c r="H17"/>
      <c r="I17"/>
      <c r="J17" s="39" t="s">
        <v>20</v>
      </c>
    </row>
    <row r="18" spans="2:10" ht="30.9" customHeight="1" thickBot="1" x14ac:dyDescent="0.35">
      <c r="B18" s="35" t="s">
        <v>22</v>
      </c>
      <c r="C18" s="28"/>
      <c r="D18" s="29">
        <f>D14+D16</f>
        <v>11071458.102999998</v>
      </c>
      <c r="E18" s="29">
        <f>E14+E16</f>
        <v>15732688.508149998</v>
      </c>
      <c r="F18" s="29">
        <f>F14+F16</f>
        <v>10152721.683557499</v>
      </c>
      <c r="G18" s="29">
        <f>G14+G16</f>
        <v>7838606.5177353751</v>
      </c>
      <c r="H18" s="29">
        <f>H14+H16</f>
        <v>2888525.5936221443</v>
      </c>
      <c r="I18" s="30"/>
      <c r="J18" s="40">
        <f>J14+J16</f>
        <v>47684000.406065017</v>
      </c>
    </row>
    <row r="19" spans="2:10" s="1" customFormat="1" ht="14.4" x14ac:dyDescent="0.3">
      <c r="B19" s="14"/>
      <c r="C19"/>
      <c r="D19" s="14"/>
      <c r="E19" s="2"/>
      <c r="F19"/>
      <c r="G19"/>
      <c r="H19" s="2"/>
      <c r="I19" s="15"/>
      <c r="J19"/>
    </row>
    <row r="20" spans="2:10" ht="15" customHeight="1" x14ac:dyDescent="0.3">
      <c r="B20" s="14"/>
    </row>
    <row r="21" spans="2:10" ht="15" customHeight="1" x14ac:dyDescent="0.35">
      <c r="B21" s="16" t="s">
        <v>23</v>
      </c>
      <c r="C21" s="17"/>
      <c r="D21" s="17"/>
      <c r="E21" s="107"/>
      <c r="F21" s="107"/>
      <c r="H21"/>
      <c r="I21"/>
    </row>
    <row r="22" spans="2:10" ht="29.1" customHeight="1" x14ac:dyDescent="0.3">
      <c r="B22" s="18" t="s">
        <v>24</v>
      </c>
      <c r="C22" s="18" t="s">
        <v>25</v>
      </c>
      <c r="D22" s="31" t="s">
        <v>26</v>
      </c>
      <c r="E22" s="108" t="s">
        <v>27</v>
      </c>
      <c r="F22" s="108"/>
      <c r="H22"/>
      <c r="I22"/>
    </row>
    <row r="23" spans="2:10" ht="43.2" x14ac:dyDescent="0.3">
      <c r="B23" s="23" t="s">
        <v>92</v>
      </c>
      <c r="C23" s="92" t="s">
        <v>87</v>
      </c>
      <c r="D23" s="93">
        <f>'Measure 1.1.2 Budget'!J49</f>
        <v>17464446.802972946</v>
      </c>
      <c r="E23" s="106">
        <f>D23/D$26</f>
        <v>0.3662538095430351</v>
      </c>
      <c r="F23" s="106"/>
      <c r="H23"/>
      <c r="I23"/>
    </row>
    <row r="24" spans="2:10" ht="43.2" x14ac:dyDescent="0.3">
      <c r="B24" s="23" t="s">
        <v>93</v>
      </c>
      <c r="C24" s="94" t="s">
        <v>88</v>
      </c>
      <c r="D24" s="93">
        <f>'Measure 1.2.3 Budget'!J36</f>
        <v>30219553.603092074</v>
      </c>
      <c r="E24" s="106">
        <f>D24/D$26</f>
        <v>0.6337461904569649</v>
      </c>
      <c r="F24" s="106"/>
      <c r="H24"/>
      <c r="I24"/>
    </row>
    <row r="25" spans="2:10" ht="15" customHeight="1" x14ac:dyDescent="0.3">
      <c r="B25" s="23"/>
      <c r="C25" s="94"/>
      <c r="D25" s="93"/>
      <c r="E25" s="106"/>
      <c r="F25" s="106"/>
      <c r="H25"/>
      <c r="I25"/>
    </row>
    <row r="26" spans="2:10" ht="15" customHeight="1" x14ac:dyDescent="0.3">
      <c r="B26" s="23" t="s">
        <v>28</v>
      </c>
      <c r="C26" s="94"/>
      <c r="D26" s="93">
        <f>SUM(D23:D25)</f>
        <v>47684000.406065017</v>
      </c>
      <c r="E26" s="106">
        <f>SUM(E23:E25)</f>
        <v>1</v>
      </c>
      <c r="F26" s="106"/>
      <c r="H26"/>
      <c r="I26"/>
    </row>
    <row r="27" spans="2:10" ht="15" customHeight="1" x14ac:dyDescent="0.3">
      <c r="H27"/>
      <c r="I27"/>
    </row>
  </sheetData>
  <mergeCells count="7">
    <mergeCell ref="B3:J3"/>
    <mergeCell ref="E25:F25"/>
    <mergeCell ref="E26:F26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L64"/>
  <sheetViews>
    <sheetView topLeftCell="A31" zoomScale="80" zoomScaleNormal="80" workbookViewId="0">
      <selection activeCell="K13" sqref="K13"/>
    </sheetView>
  </sheetViews>
  <sheetFormatPr defaultColWidth="9.109375" defaultRowHeight="14.4" x14ac:dyDescent="0.3"/>
  <cols>
    <col min="1" max="1" width="3.109375" style="43" customWidth="1"/>
    <col min="2" max="2" width="10.109375" style="43" customWidth="1"/>
    <col min="3" max="3" width="46.33203125" style="43" customWidth="1"/>
    <col min="4" max="4" width="19.6640625" style="44" bestFit="1" customWidth="1"/>
    <col min="5" max="5" width="22.109375" style="45" bestFit="1" customWidth="1"/>
    <col min="6" max="6" width="21.6640625" style="45" bestFit="1" customWidth="1"/>
    <col min="7" max="7" width="22.5546875" style="45" bestFit="1" customWidth="1"/>
    <col min="8" max="8" width="19.44140625" style="45" bestFit="1" customWidth="1"/>
    <col min="9" max="9" width="1.6640625" style="46" customWidth="1"/>
    <col min="10" max="10" width="23.6640625" style="45" bestFit="1" customWidth="1"/>
    <col min="11" max="11" width="10.109375" style="43" customWidth="1"/>
    <col min="12" max="16384" width="9.109375" style="43"/>
  </cols>
  <sheetData>
    <row r="2" spans="2:38" ht="23.4" x14ac:dyDescent="0.45">
      <c r="B2" s="42" t="s">
        <v>29</v>
      </c>
    </row>
    <row r="3" spans="2:38" x14ac:dyDescent="0.3">
      <c r="B3" s="47" t="s">
        <v>40</v>
      </c>
    </row>
    <row r="4" spans="2:38" x14ac:dyDescent="0.3">
      <c r="B4" s="47"/>
    </row>
    <row r="5" spans="2:38" ht="18" x14ac:dyDescent="0.35">
      <c r="B5" s="48" t="s">
        <v>2</v>
      </c>
      <c r="C5" s="49"/>
      <c r="D5" s="50"/>
      <c r="E5" s="50"/>
      <c r="F5" s="50"/>
      <c r="G5" s="50"/>
      <c r="H5" s="50"/>
      <c r="I5" s="50"/>
      <c r="J5" s="51"/>
    </row>
    <row r="6" spans="2:38" ht="28.8" x14ac:dyDescent="0.3">
      <c r="B6" s="52" t="s">
        <v>3</v>
      </c>
      <c r="C6" s="52" t="s">
        <v>4</v>
      </c>
      <c r="D6" s="53" t="s">
        <v>5</v>
      </c>
      <c r="E6" s="54" t="s">
        <v>6</v>
      </c>
      <c r="F6" s="54" t="s">
        <v>7</v>
      </c>
      <c r="G6" s="54" t="s">
        <v>8</v>
      </c>
      <c r="H6" s="55" t="s">
        <v>9</v>
      </c>
      <c r="I6" s="56"/>
      <c r="J6" s="57" t="s">
        <v>10</v>
      </c>
    </row>
    <row r="7" spans="2:38" s="47" customFormat="1" ht="28.8" x14ac:dyDescent="0.3">
      <c r="B7" s="58" t="s">
        <v>11</v>
      </c>
      <c r="C7" s="59" t="s">
        <v>30</v>
      </c>
      <c r="D7" s="60" t="s">
        <v>31</v>
      </c>
      <c r="E7" s="60" t="s">
        <v>31</v>
      </c>
      <c r="F7" s="60" t="s">
        <v>31</v>
      </c>
      <c r="G7" s="60"/>
      <c r="H7" s="60" t="s">
        <v>31</v>
      </c>
      <c r="I7" s="46"/>
      <c r="J7" s="61" t="s">
        <v>31</v>
      </c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</row>
    <row r="8" spans="2:38" ht="43.2" x14ac:dyDescent="0.3">
      <c r="B8" s="62"/>
      <c r="C8" s="63" t="s">
        <v>67</v>
      </c>
      <c r="D8" s="95">
        <v>71117</v>
      </c>
      <c r="E8" s="95">
        <f t="shared" ref="E8:H10" si="0">D8*1.05</f>
        <v>74672.850000000006</v>
      </c>
      <c r="F8" s="95">
        <f t="shared" si="0"/>
        <v>78406.492500000008</v>
      </c>
      <c r="G8" s="95">
        <f t="shared" si="0"/>
        <v>82326.817125000016</v>
      </c>
      <c r="H8" s="95">
        <f t="shared" si="0"/>
        <v>86443.157981250028</v>
      </c>
      <c r="I8" s="96"/>
      <c r="J8" s="95">
        <f>SUM(D8:H8)</f>
        <v>392966.31760625006</v>
      </c>
    </row>
    <row r="9" spans="2:38" ht="28.8" x14ac:dyDescent="0.3">
      <c r="B9" s="62"/>
      <c r="C9" s="63" t="s">
        <v>83</v>
      </c>
      <c r="D9" s="95">
        <v>62500</v>
      </c>
      <c r="E9" s="95">
        <f t="shared" si="0"/>
        <v>65625</v>
      </c>
      <c r="F9" s="95">
        <f t="shared" si="0"/>
        <v>68906.25</v>
      </c>
      <c r="G9" s="95">
        <f t="shared" si="0"/>
        <v>72351.5625</v>
      </c>
      <c r="H9" s="95">
        <f t="shared" si="0"/>
        <v>75969.140625</v>
      </c>
      <c r="I9" s="96"/>
      <c r="J9" s="95">
        <f>SUM(D9:H9)</f>
        <v>345351.953125</v>
      </c>
    </row>
    <row r="10" spans="2:38" ht="28.8" x14ac:dyDescent="0.3">
      <c r="B10" s="62"/>
      <c r="C10" s="63" t="s">
        <v>84</v>
      </c>
      <c r="D10" s="95">
        <v>18300</v>
      </c>
      <c r="E10" s="95">
        <f t="shared" si="0"/>
        <v>19215</v>
      </c>
      <c r="F10" s="95">
        <f t="shared" ref="F10" si="1">E10*1.05</f>
        <v>20175.75</v>
      </c>
      <c r="G10" s="95">
        <f t="shared" ref="G10" si="2">F10*1.05</f>
        <v>21184.537500000002</v>
      </c>
      <c r="H10" s="95">
        <f t="shared" ref="H10" si="3">G10*1.05</f>
        <v>22243.764375000002</v>
      </c>
      <c r="I10" s="96"/>
      <c r="J10" s="95">
        <f>SUM(D10:H10)</f>
        <v>101119.051875</v>
      </c>
    </row>
    <row r="11" spans="2:38" x14ac:dyDescent="0.3">
      <c r="B11" s="62"/>
      <c r="C11" s="64" t="s">
        <v>12</v>
      </c>
      <c r="D11" s="97">
        <f>SUM(D8:D10)</f>
        <v>151917</v>
      </c>
      <c r="E11" s="97">
        <f>SUM(E8:E10)</f>
        <v>159512.85</v>
      </c>
      <c r="F11" s="97">
        <f>SUM(F8:F10)</f>
        <v>167488.49249999999</v>
      </c>
      <c r="G11" s="97">
        <f>SUM(G8:G10)</f>
        <v>175862.91712500001</v>
      </c>
      <c r="H11" s="97">
        <f>SUM(H8:H10)</f>
        <v>184656.06298125003</v>
      </c>
      <c r="I11" s="96"/>
      <c r="J11" s="97">
        <f>SUM(J8:J10)</f>
        <v>839437.32260625006</v>
      </c>
    </row>
    <row r="12" spans="2:38" x14ac:dyDescent="0.3">
      <c r="B12" s="62"/>
      <c r="C12" s="65" t="s">
        <v>32</v>
      </c>
      <c r="D12" s="95" t="s">
        <v>31</v>
      </c>
      <c r="E12" s="98"/>
      <c r="F12" s="98"/>
      <c r="G12" s="98"/>
      <c r="H12" s="98"/>
      <c r="I12" s="96"/>
      <c r="J12" s="99" t="s">
        <v>31</v>
      </c>
    </row>
    <row r="13" spans="2:38" ht="28.8" x14ac:dyDescent="0.3">
      <c r="B13" s="62"/>
      <c r="C13" s="63" t="s">
        <v>73</v>
      </c>
      <c r="D13" s="95">
        <f>D8*0.33</f>
        <v>23468.61</v>
      </c>
      <c r="E13" s="95">
        <f>E8*0.33</f>
        <v>24642.040500000003</v>
      </c>
      <c r="F13" s="95">
        <f>F8*0.33</f>
        <v>25874.142525000003</v>
      </c>
      <c r="G13" s="95">
        <f>G8*0.33</f>
        <v>27167.849651250006</v>
      </c>
      <c r="H13" s="95">
        <f>H8*0.33</f>
        <v>28526.24213381251</v>
      </c>
      <c r="I13" s="96"/>
      <c r="J13" s="95">
        <f>SUM(D13:H13)</f>
        <v>129678.88481006253</v>
      </c>
    </row>
    <row r="14" spans="2:38" x14ac:dyDescent="0.3">
      <c r="B14" s="62"/>
      <c r="C14" s="63" t="s">
        <v>85</v>
      </c>
      <c r="D14" s="95">
        <f>(D9+D10)*0.33</f>
        <v>26664</v>
      </c>
      <c r="E14" s="95">
        <f>(E9+E10)*0.33</f>
        <v>27997.200000000001</v>
      </c>
      <c r="F14" s="95">
        <f>(F9+F10)*0.33</f>
        <v>29397.06</v>
      </c>
      <c r="G14" s="95">
        <f>(G9+G10)*0.33</f>
        <v>30866.913000000004</v>
      </c>
      <c r="H14" s="95">
        <f>(H9+H10)*0.33</f>
        <v>32410.25865</v>
      </c>
      <c r="I14" s="96"/>
      <c r="J14" s="95">
        <f t="shared" ref="J14" si="4">SUM(D14:H14)</f>
        <v>147335.43164999998</v>
      </c>
    </row>
    <row r="15" spans="2:38" x14ac:dyDescent="0.3">
      <c r="B15" s="62"/>
      <c r="C15" s="64" t="s">
        <v>13</v>
      </c>
      <c r="D15" s="97">
        <f>SUM(D13:D14)</f>
        <v>50132.61</v>
      </c>
      <c r="E15" s="97">
        <f>SUM(E13:E14)</f>
        <v>52639.2405</v>
      </c>
      <c r="F15" s="97">
        <f>SUM(F13:F14)</f>
        <v>55271.202525000001</v>
      </c>
      <c r="G15" s="97">
        <f>SUM(G13:G14)</f>
        <v>58034.762651250014</v>
      </c>
      <c r="H15" s="97">
        <f>SUM(H13:H14)</f>
        <v>60936.500783812509</v>
      </c>
      <c r="I15" s="96"/>
      <c r="J15" s="97">
        <f>SUM(J13:J14)</f>
        <v>277014.31646006252</v>
      </c>
    </row>
    <row r="16" spans="2:38" x14ac:dyDescent="0.3">
      <c r="B16" s="62"/>
      <c r="C16" s="65" t="s">
        <v>33</v>
      </c>
      <c r="D16" s="95" t="s">
        <v>31</v>
      </c>
      <c r="E16" s="98"/>
      <c r="F16" s="98"/>
      <c r="G16" s="98"/>
      <c r="H16" s="98"/>
      <c r="I16" s="96"/>
      <c r="J16" s="99" t="s">
        <v>31</v>
      </c>
    </row>
    <row r="17" spans="2:10" x14ac:dyDescent="0.3">
      <c r="B17" s="62"/>
      <c r="C17" s="63"/>
      <c r="D17" s="95"/>
      <c r="E17" s="95"/>
      <c r="F17" s="95"/>
      <c r="G17" s="95"/>
      <c r="H17" s="95"/>
      <c r="I17" s="96"/>
      <c r="J17" s="95">
        <f t="shared" ref="J17" si="5">SUM(D17:H17)</f>
        <v>0</v>
      </c>
    </row>
    <row r="18" spans="2:10" x14ac:dyDescent="0.3">
      <c r="B18" s="62"/>
      <c r="C18" s="64" t="s">
        <v>14</v>
      </c>
      <c r="D18" s="97"/>
      <c r="E18" s="97">
        <f>SUM(E17:E17)</f>
        <v>0</v>
      </c>
      <c r="F18" s="97">
        <f>SUM(F17:F17)</f>
        <v>0</v>
      </c>
      <c r="G18" s="97">
        <f>SUM(G17:G17)</f>
        <v>0</v>
      </c>
      <c r="H18" s="97">
        <f>SUM(H17:H17)</f>
        <v>0</v>
      </c>
      <c r="I18" s="96"/>
      <c r="J18" s="97">
        <f>SUM(J17:J17)</f>
        <v>0</v>
      </c>
    </row>
    <row r="19" spans="2:10" x14ac:dyDescent="0.3">
      <c r="B19" s="62"/>
      <c r="C19" s="65" t="s">
        <v>34</v>
      </c>
      <c r="D19" s="95"/>
      <c r="E19" s="95"/>
      <c r="F19" s="95"/>
      <c r="G19" s="95"/>
      <c r="H19" s="95"/>
      <c r="I19" s="96"/>
      <c r="J19" s="95" t="s">
        <v>20</v>
      </c>
    </row>
    <row r="20" spans="2:10" x14ac:dyDescent="0.3">
      <c r="B20" s="62"/>
      <c r="C20" s="63" t="s">
        <v>74</v>
      </c>
      <c r="D20" s="95"/>
      <c r="E20" s="95">
        <f>90*11550</f>
        <v>1039500</v>
      </c>
      <c r="F20" s="95">
        <f>60*11550</f>
        <v>693000</v>
      </c>
      <c r="G20" s="95">
        <f>40*11550</f>
        <v>462000</v>
      </c>
      <c r="H20" s="95"/>
      <c r="I20" s="96"/>
      <c r="J20" s="95">
        <f>SUM(D20:H20)</f>
        <v>2194500</v>
      </c>
    </row>
    <row r="21" spans="2:10" x14ac:dyDescent="0.3">
      <c r="B21" s="62"/>
      <c r="C21" s="64" t="s">
        <v>41</v>
      </c>
      <c r="D21" s="100"/>
      <c r="E21" s="100">
        <f>SUM(E20:E20)</f>
        <v>1039500</v>
      </c>
      <c r="F21" s="100">
        <f>SUM(F20:F20)</f>
        <v>693000</v>
      </c>
      <c r="G21" s="100">
        <f>SUM(G20:G20)</f>
        <v>462000</v>
      </c>
      <c r="H21" s="100">
        <f>SUM(H20:H20)</f>
        <v>0</v>
      </c>
      <c r="I21" s="96"/>
      <c r="J21" s="97">
        <f>SUM(J20:J20)</f>
        <v>2194500</v>
      </c>
    </row>
    <row r="22" spans="2:10" x14ac:dyDescent="0.3">
      <c r="B22" s="62"/>
      <c r="C22" s="67" t="s">
        <v>58</v>
      </c>
      <c r="D22" s="95" t="s">
        <v>31</v>
      </c>
      <c r="E22" s="98"/>
      <c r="F22" s="98"/>
      <c r="G22" s="98"/>
      <c r="H22" s="98"/>
      <c r="I22" s="96"/>
      <c r="J22" s="95"/>
    </row>
    <row r="23" spans="2:10" ht="28.8" x14ac:dyDescent="0.3">
      <c r="B23" s="62"/>
      <c r="C23" s="63" t="s">
        <v>60</v>
      </c>
      <c r="D23" s="95"/>
      <c r="E23" s="95">
        <f>450*30</f>
        <v>13500</v>
      </c>
      <c r="F23" s="95">
        <f t="shared" ref="F23:H23" si="6">450*30</f>
        <v>13500</v>
      </c>
      <c r="G23" s="95">
        <f t="shared" si="6"/>
        <v>13500</v>
      </c>
      <c r="H23" s="95">
        <f t="shared" si="6"/>
        <v>13500</v>
      </c>
      <c r="I23" s="96"/>
      <c r="J23" s="95">
        <f t="shared" ref="J23:J31" si="7">SUM(D23:H23)</f>
        <v>54000</v>
      </c>
    </row>
    <row r="24" spans="2:10" ht="28.8" x14ac:dyDescent="0.3">
      <c r="B24" s="62"/>
      <c r="C24" s="63" t="s">
        <v>59</v>
      </c>
      <c r="D24" s="95"/>
      <c r="E24" s="95">
        <f>350*30</f>
        <v>10500</v>
      </c>
      <c r="F24" s="95">
        <f t="shared" ref="F24:H24" si="8">350*30</f>
        <v>10500</v>
      </c>
      <c r="G24" s="95">
        <f t="shared" si="8"/>
        <v>10500</v>
      </c>
      <c r="H24" s="95">
        <f t="shared" si="8"/>
        <v>10500</v>
      </c>
      <c r="I24" s="96"/>
      <c r="J24" s="95">
        <f t="shared" si="7"/>
        <v>42000</v>
      </c>
    </row>
    <row r="25" spans="2:10" ht="28.8" x14ac:dyDescent="0.3">
      <c r="B25" s="62"/>
      <c r="C25" s="63" t="s">
        <v>61</v>
      </c>
      <c r="D25" s="95"/>
      <c r="E25" s="95">
        <f>1650*15</f>
        <v>24750</v>
      </c>
      <c r="F25" s="95">
        <f t="shared" ref="F25:H25" si="9">1650*15</f>
        <v>24750</v>
      </c>
      <c r="G25" s="95">
        <f t="shared" si="9"/>
        <v>24750</v>
      </c>
      <c r="H25" s="95">
        <f t="shared" si="9"/>
        <v>24750</v>
      </c>
      <c r="I25" s="96"/>
      <c r="J25" s="95">
        <f t="shared" si="7"/>
        <v>99000</v>
      </c>
    </row>
    <row r="26" spans="2:10" x14ac:dyDescent="0.3">
      <c r="B26" s="62"/>
      <c r="C26" s="64" t="s">
        <v>16</v>
      </c>
      <c r="D26" s="97"/>
      <c r="E26" s="97">
        <f>SUM(E23:E25)</f>
        <v>48750</v>
      </c>
      <c r="F26" s="97">
        <f>SUM(F23:F25)</f>
        <v>48750</v>
      </c>
      <c r="G26" s="97">
        <f>SUM(G23:G25)</f>
        <v>48750</v>
      </c>
      <c r="H26" s="97">
        <f>SUM(H23:H25)</f>
        <v>48750</v>
      </c>
      <c r="I26" s="96"/>
      <c r="J26" s="97">
        <f>SUM(J23:J25)</f>
        <v>195000</v>
      </c>
    </row>
    <row r="27" spans="2:10" x14ac:dyDescent="0.3">
      <c r="B27" s="62"/>
      <c r="C27" s="65" t="s">
        <v>37</v>
      </c>
      <c r="D27" s="95" t="s">
        <v>31</v>
      </c>
      <c r="E27" s="98"/>
      <c r="F27" s="98"/>
      <c r="G27" s="98"/>
      <c r="H27" s="98"/>
      <c r="I27" s="96"/>
      <c r="J27" s="95"/>
    </row>
    <row r="28" spans="2:10" x14ac:dyDescent="0.3">
      <c r="B28" s="62"/>
      <c r="C28" s="63" t="s">
        <v>44</v>
      </c>
      <c r="D28" s="95"/>
      <c r="E28" s="95">
        <f>90*465</f>
        <v>41850</v>
      </c>
      <c r="F28" s="95">
        <f>465*60</f>
        <v>27900</v>
      </c>
      <c r="G28" s="95">
        <f>465*40</f>
        <v>18600</v>
      </c>
      <c r="H28" s="95"/>
      <c r="I28" s="96"/>
      <c r="J28" s="95">
        <f>SUM(D28:H28)</f>
        <v>88350</v>
      </c>
    </row>
    <row r="29" spans="2:10" ht="28.8" x14ac:dyDescent="0.3">
      <c r="B29" s="62"/>
      <c r="C29" s="63" t="s">
        <v>43</v>
      </c>
      <c r="D29" s="95"/>
      <c r="E29" s="95"/>
      <c r="F29" s="95">
        <f>190*600</f>
        <v>114000</v>
      </c>
      <c r="G29" s="95">
        <f>190*600</f>
        <v>114000</v>
      </c>
      <c r="H29" s="95">
        <f>190*600</f>
        <v>114000</v>
      </c>
      <c r="I29" s="96"/>
      <c r="J29" s="95">
        <f>SUM(D29:H29)</f>
        <v>342000</v>
      </c>
    </row>
    <row r="30" spans="2:10" ht="28.8" x14ac:dyDescent="0.3">
      <c r="B30" s="62"/>
      <c r="C30" s="63" t="s">
        <v>76</v>
      </c>
      <c r="D30" s="95"/>
      <c r="E30" s="95">
        <f>120000*45</f>
        <v>5400000</v>
      </c>
      <c r="F30" s="95">
        <f>120000*30</f>
        <v>3600000</v>
      </c>
      <c r="G30" s="95">
        <f>120000*20</f>
        <v>2400000</v>
      </c>
      <c r="H30" s="95"/>
      <c r="I30" s="96"/>
      <c r="J30" s="95">
        <f t="shared" si="7"/>
        <v>11400000</v>
      </c>
    </row>
    <row r="31" spans="2:10" ht="28.8" x14ac:dyDescent="0.3">
      <c r="B31" s="62"/>
      <c r="C31" s="63" t="s">
        <v>66</v>
      </c>
      <c r="D31" s="95"/>
      <c r="E31" s="95">
        <f>5000*45</f>
        <v>225000</v>
      </c>
      <c r="F31" s="95">
        <f>30*5000</f>
        <v>150000</v>
      </c>
      <c r="G31" s="95">
        <f>20*5000</f>
        <v>100000</v>
      </c>
      <c r="H31" s="98"/>
      <c r="I31" s="96"/>
      <c r="J31" s="95">
        <f t="shared" si="7"/>
        <v>475000</v>
      </c>
    </row>
    <row r="32" spans="2:10" ht="28.8" x14ac:dyDescent="0.3">
      <c r="B32" s="62"/>
      <c r="C32" s="63" t="s">
        <v>77</v>
      </c>
      <c r="D32" s="95">
        <f>'Sub-Recipient Budget - SPC'!D18</f>
        <v>175000</v>
      </c>
      <c r="E32" s="95">
        <f>'Sub-Recipient Budget - SPC'!E18</f>
        <v>18000</v>
      </c>
      <c r="F32" s="95">
        <f>'Sub-Recipient Budget - SPC'!F18</f>
        <v>18000</v>
      </c>
      <c r="G32" s="95">
        <f>'Sub-Recipient Budget - SPC'!G18</f>
        <v>18000</v>
      </c>
      <c r="H32" s="95">
        <f>'Sub-Recipient Budget - SPC'!H18</f>
        <v>18000</v>
      </c>
      <c r="I32" s="96"/>
      <c r="J32" s="95">
        <f>SUM(D32:H32)</f>
        <v>247000</v>
      </c>
    </row>
    <row r="33" spans="2:10" x14ac:dyDescent="0.3">
      <c r="B33" s="62"/>
      <c r="C33" s="63" t="s">
        <v>78</v>
      </c>
      <c r="D33" s="95">
        <v>50000</v>
      </c>
      <c r="E33" s="95">
        <v>50000</v>
      </c>
      <c r="F33" s="95">
        <v>50000</v>
      </c>
      <c r="G33" s="95">
        <v>50000</v>
      </c>
      <c r="H33" s="95">
        <v>50000</v>
      </c>
      <c r="I33" s="96"/>
      <c r="J33" s="95">
        <f t="shared" ref="J33:J37" si="10">SUM(D33:H33)</f>
        <v>250000</v>
      </c>
    </row>
    <row r="34" spans="2:10" ht="28.8" x14ac:dyDescent="0.3">
      <c r="B34" s="62"/>
      <c r="C34" s="63" t="s">
        <v>79</v>
      </c>
      <c r="D34" s="95">
        <v>50000</v>
      </c>
      <c r="E34" s="95">
        <v>50000</v>
      </c>
      <c r="F34" s="95">
        <v>50000</v>
      </c>
      <c r="G34" s="95">
        <v>50000</v>
      </c>
      <c r="H34" s="95">
        <v>50000</v>
      </c>
      <c r="I34" s="96"/>
      <c r="J34" s="95">
        <f t="shared" si="10"/>
        <v>250000</v>
      </c>
    </row>
    <row r="35" spans="2:10" ht="28.8" x14ac:dyDescent="0.3">
      <c r="B35" s="62"/>
      <c r="C35" s="63" t="s">
        <v>80</v>
      </c>
      <c r="D35" s="95">
        <v>50000</v>
      </c>
      <c r="E35" s="95">
        <v>50000</v>
      </c>
      <c r="F35" s="95">
        <v>50000</v>
      </c>
      <c r="G35" s="95">
        <v>50000</v>
      </c>
      <c r="H35" s="95">
        <v>50000</v>
      </c>
      <c r="I35" s="96"/>
      <c r="J35" s="95">
        <f t="shared" si="10"/>
        <v>250000</v>
      </c>
    </row>
    <row r="36" spans="2:10" ht="15.75" customHeight="1" x14ac:dyDescent="0.3">
      <c r="B36" s="62"/>
      <c r="C36" s="63" t="s">
        <v>81</v>
      </c>
      <c r="D36" s="95">
        <v>50000</v>
      </c>
      <c r="E36" s="95">
        <v>50000</v>
      </c>
      <c r="F36" s="95">
        <v>50000</v>
      </c>
      <c r="G36" s="95">
        <v>50000</v>
      </c>
      <c r="H36" s="95">
        <v>50000</v>
      </c>
      <c r="I36" s="96"/>
      <c r="J36" s="95">
        <f t="shared" si="10"/>
        <v>250000</v>
      </c>
    </row>
    <row r="37" spans="2:10" x14ac:dyDescent="0.3">
      <c r="B37" s="62"/>
      <c r="C37" s="63" t="s">
        <v>82</v>
      </c>
      <c r="D37" s="95">
        <v>50000</v>
      </c>
      <c r="E37" s="95">
        <v>50000</v>
      </c>
      <c r="F37" s="95">
        <v>50000</v>
      </c>
      <c r="G37" s="95">
        <v>50000</v>
      </c>
      <c r="H37" s="95">
        <v>50000</v>
      </c>
      <c r="I37" s="96"/>
      <c r="J37" s="95">
        <f t="shared" si="10"/>
        <v>250000</v>
      </c>
    </row>
    <row r="38" spans="2:10" x14ac:dyDescent="0.3">
      <c r="B38" s="62"/>
      <c r="C38" s="64" t="s">
        <v>17</v>
      </c>
      <c r="D38" s="97">
        <f>SUM(D28:D37)</f>
        <v>425000</v>
      </c>
      <c r="E38" s="97">
        <f>SUM(E28:E37)</f>
        <v>5934850</v>
      </c>
      <c r="F38" s="97">
        <f>SUM(F28:F37)</f>
        <v>4159900</v>
      </c>
      <c r="G38" s="97">
        <f>SUM(G28:G37)</f>
        <v>2900600</v>
      </c>
      <c r="H38" s="97">
        <f>SUM(H28:H37)</f>
        <v>382000</v>
      </c>
      <c r="I38" s="96"/>
      <c r="J38" s="97">
        <f>SUM(J28:J37)</f>
        <v>13802350</v>
      </c>
    </row>
    <row r="39" spans="2:10" x14ac:dyDescent="0.3">
      <c r="B39" s="62"/>
      <c r="C39" s="65" t="s">
        <v>38</v>
      </c>
      <c r="D39" s="95" t="s">
        <v>31</v>
      </c>
      <c r="E39" s="98"/>
      <c r="F39" s="98"/>
      <c r="G39" s="98"/>
      <c r="H39" s="98"/>
      <c r="I39" s="96"/>
      <c r="J39" s="95"/>
    </row>
    <row r="40" spans="2:10" x14ac:dyDescent="0.3">
      <c r="B40" s="62"/>
      <c r="C40" s="63"/>
      <c r="D40" s="95"/>
      <c r="E40" s="95"/>
      <c r="F40" s="95"/>
      <c r="G40" s="95"/>
      <c r="H40" s="95"/>
      <c r="I40" s="96"/>
      <c r="J40" s="95"/>
    </row>
    <row r="41" spans="2:10" x14ac:dyDescent="0.3">
      <c r="B41" s="68"/>
      <c r="C41" s="64" t="s">
        <v>18</v>
      </c>
      <c r="D41" s="97"/>
      <c r="E41" s="97"/>
      <c r="F41" s="97"/>
      <c r="G41" s="97"/>
      <c r="H41" s="97"/>
      <c r="I41" s="96"/>
      <c r="J41" s="97"/>
    </row>
    <row r="42" spans="2:10" x14ac:dyDescent="0.3">
      <c r="B42" s="68"/>
      <c r="C42" s="64" t="s">
        <v>19</v>
      </c>
      <c r="D42" s="97">
        <f>SUM(D41,D38,D26,D21,D18,D15,D11)</f>
        <v>627049.61</v>
      </c>
      <c r="E42" s="97">
        <f>SUM(E41,E38,E26,E21,E18,E15,E11)</f>
        <v>7235252.0904999999</v>
      </c>
      <c r="F42" s="97">
        <f>SUM(F41,F38,F26,F21,F18,F15,F11)</f>
        <v>5124409.6950249998</v>
      </c>
      <c r="G42" s="97">
        <f>SUM(G41,G38,G26,G21,G18,G15,G11)</f>
        <v>3645247.6797762504</v>
      </c>
      <c r="H42" s="97">
        <f>SUM(H41,H38,H26,H21,H18,H15,H11)</f>
        <v>676342.56376506248</v>
      </c>
      <c r="I42" s="96"/>
      <c r="J42" s="97">
        <f>SUM(D42:H42)</f>
        <v>17308301.639066316</v>
      </c>
    </row>
    <row r="43" spans="2:10" x14ac:dyDescent="0.3">
      <c r="B43" s="69"/>
      <c r="D43" s="101"/>
      <c r="E43" s="101"/>
      <c r="F43" s="101"/>
      <c r="G43" s="101"/>
      <c r="H43" s="101"/>
      <c r="I43" s="101"/>
      <c r="J43" s="101" t="s">
        <v>20</v>
      </c>
    </row>
    <row r="44" spans="2:10" ht="28.8" x14ac:dyDescent="0.3">
      <c r="B44" s="58" t="s">
        <v>39</v>
      </c>
      <c r="C44" s="70" t="s">
        <v>39</v>
      </c>
      <c r="D44" s="102"/>
      <c r="E44" s="102"/>
      <c r="F44" s="102"/>
      <c r="G44" s="102"/>
      <c r="H44" s="102"/>
      <c r="I44" s="101"/>
      <c r="J44" s="102" t="s">
        <v>20</v>
      </c>
    </row>
    <row r="45" spans="2:10" ht="28.8" x14ac:dyDescent="0.3">
      <c r="B45" s="62"/>
      <c r="C45" s="63" t="s">
        <v>72</v>
      </c>
      <c r="D45" s="95">
        <f>0.1*(D42-(D32-25000)-(D33-25000)-(D34-25000)-(D35-25000)-(D36-25000)-(D37-25000))</f>
        <v>35204.961000000003</v>
      </c>
      <c r="E45" s="95">
        <f>0.1*(E42-E21-(E28-25000)-(E30-25000)-(E31-25000)-E32-E33-E34-E35-E36-E37)</f>
        <v>33590.209049999998</v>
      </c>
      <c r="F45" s="95">
        <f>0.1*(F42-F20-F28-(F29-25000)-F30-F31-F32-F33-F34-F35-F36-F37)</f>
        <v>29650.969502499982</v>
      </c>
      <c r="G45" s="95">
        <f>0.1*(G42-G21-G28-G29-G30-G31-G32-G33-G34-G35-G36-G37)</f>
        <v>28264.767977625041</v>
      </c>
      <c r="H45" s="95">
        <f>0.1*(H42-H29-H32-H33-H34-H35-H36-H37)</f>
        <v>29434.256376506251</v>
      </c>
      <c r="I45" s="96"/>
      <c r="J45" s="95">
        <f>SUM(D45:H45)</f>
        <v>156145.16390663129</v>
      </c>
    </row>
    <row r="46" spans="2:10" x14ac:dyDescent="0.3">
      <c r="B46" s="62"/>
      <c r="C46" s="63"/>
      <c r="D46" s="95"/>
      <c r="E46" s="98"/>
      <c r="F46" s="98"/>
      <c r="G46" s="98"/>
      <c r="H46" s="98"/>
      <c r="I46" s="96"/>
      <c r="J46" s="95">
        <f t="shared" ref="J46" si="11">SUM(D46:H46)</f>
        <v>0</v>
      </c>
    </row>
    <row r="47" spans="2:10" x14ac:dyDescent="0.3">
      <c r="B47" s="68"/>
      <c r="C47" s="64" t="s">
        <v>21</v>
      </c>
      <c r="D47" s="97">
        <f>SUM(D45:D46)</f>
        <v>35204.961000000003</v>
      </c>
      <c r="E47" s="97">
        <f t="shared" ref="E47:H47" si="12">SUM(E45:E46)</f>
        <v>33590.209049999998</v>
      </c>
      <c r="F47" s="97">
        <f t="shared" si="12"/>
        <v>29650.969502499982</v>
      </c>
      <c r="G47" s="97">
        <f t="shared" si="12"/>
        <v>28264.767977625041</v>
      </c>
      <c r="H47" s="97">
        <f t="shared" si="12"/>
        <v>29434.256376506251</v>
      </c>
      <c r="I47" s="96"/>
      <c r="J47" s="97">
        <f>SUM(J45:J46)</f>
        <v>156145.16390663129</v>
      </c>
    </row>
    <row r="48" spans="2:10" ht="15" thickBot="1" x14ac:dyDescent="0.35">
      <c r="B48" s="69"/>
      <c r="D48" s="101"/>
      <c r="E48" s="101"/>
      <c r="F48" s="101"/>
      <c r="G48" s="101"/>
      <c r="H48" s="101"/>
      <c r="I48" s="101"/>
      <c r="J48" s="101" t="s">
        <v>20</v>
      </c>
    </row>
    <row r="49" spans="2:10" s="72" customFormat="1" ht="29.4" thickBot="1" x14ac:dyDescent="0.35">
      <c r="B49" s="71" t="s">
        <v>22</v>
      </c>
      <c r="C49" s="71"/>
      <c r="D49" s="103">
        <f>SUM(D47,D42)</f>
        <v>662254.571</v>
      </c>
      <c r="E49" s="103">
        <f t="shared" ref="E49:J49" si="13">SUM(E47,E42)</f>
        <v>7268842.2995499996</v>
      </c>
      <c r="F49" s="103">
        <f t="shared" si="13"/>
        <v>5154060.6645275</v>
      </c>
      <c r="G49" s="103">
        <f t="shared" si="13"/>
        <v>3673512.4477538755</v>
      </c>
      <c r="H49" s="103">
        <f t="shared" si="13"/>
        <v>705776.82014156878</v>
      </c>
      <c r="I49" s="96"/>
      <c r="J49" s="103">
        <f t="shared" si="13"/>
        <v>17464446.802972946</v>
      </c>
    </row>
    <row r="50" spans="2:10" x14ac:dyDescent="0.3">
      <c r="B50" s="69"/>
    </row>
    <row r="51" spans="2:10" x14ac:dyDescent="0.3">
      <c r="B51" s="69"/>
    </row>
    <row r="52" spans="2:10" x14ac:dyDescent="0.3">
      <c r="B52" s="69"/>
    </row>
    <row r="53" spans="2:10" x14ac:dyDescent="0.3">
      <c r="B53" s="69"/>
    </row>
    <row r="54" spans="2:10" x14ac:dyDescent="0.3">
      <c r="B54" s="69"/>
    </row>
    <row r="55" spans="2:10" x14ac:dyDescent="0.3">
      <c r="B55" s="69"/>
    </row>
    <row r="56" spans="2:10" x14ac:dyDescent="0.3">
      <c r="B56" s="69"/>
    </row>
    <row r="57" spans="2:10" x14ac:dyDescent="0.3">
      <c r="B57" s="69"/>
    </row>
    <row r="58" spans="2:10" x14ac:dyDescent="0.3">
      <c r="B58" s="69"/>
    </row>
    <row r="59" spans="2:10" x14ac:dyDescent="0.3">
      <c r="B59" s="69"/>
    </row>
    <row r="60" spans="2:10" x14ac:dyDescent="0.3">
      <c r="B60" s="69"/>
    </row>
    <row r="61" spans="2:10" x14ac:dyDescent="0.3">
      <c r="B61" s="69"/>
    </row>
    <row r="62" spans="2:10" x14ac:dyDescent="0.3">
      <c r="B62" s="69"/>
    </row>
    <row r="63" spans="2:10" x14ac:dyDescent="0.3">
      <c r="B63" s="69"/>
    </row>
    <row r="64" spans="2:10" x14ac:dyDescent="0.3">
      <c r="B64" s="69"/>
    </row>
  </sheetData>
  <pageMargins left="0.7" right="0.7" top="0.75" bottom="0.75" header="0.3" footer="0.3"/>
  <pageSetup scale="55" fitToHeight="0" orientation="landscape" r:id="rId1"/>
  <ignoredErrors>
    <ignoredError sqref="J17 J23 J30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51"/>
  <sheetViews>
    <sheetView topLeftCell="C29" workbookViewId="0">
      <selection activeCell="G57" sqref="G57"/>
    </sheetView>
  </sheetViews>
  <sheetFormatPr defaultColWidth="9.109375" defaultRowHeight="14.4" x14ac:dyDescent="0.3"/>
  <cols>
    <col min="1" max="1" width="3.109375" style="43" customWidth="1"/>
    <col min="2" max="2" width="9.6640625" style="43" customWidth="1"/>
    <col min="3" max="3" width="49.109375" style="43" customWidth="1"/>
    <col min="4" max="4" width="12.88671875" style="69" customWidth="1"/>
    <col min="5" max="5" width="14.33203125" style="73" bestFit="1" customWidth="1"/>
    <col min="6" max="7" width="12.6640625" style="43" bestFit="1" customWidth="1"/>
    <col min="8" max="8" width="12.6640625" style="73" bestFit="1" customWidth="1"/>
    <col min="9" max="9" width="0.88671875" style="43" customWidth="1"/>
    <col min="10" max="10" width="14.44140625" style="43" customWidth="1"/>
    <col min="11" max="11" width="10.109375" style="43" customWidth="1"/>
    <col min="12" max="16384" width="9.109375" style="43"/>
  </cols>
  <sheetData>
    <row r="2" spans="2:39" ht="23.4" x14ac:dyDescent="0.45">
      <c r="B2" s="42" t="s">
        <v>29</v>
      </c>
    </row>
    <row r="3" spans="2:39" x14ac:dyDescent="0.3">
      <c r="B3" s="47" t="s">
        <v>40</v>
      </c>
    </row>
    <row r="4" spans="2:39" x14ac:dyDescent="0.3">
      <c r="B4" s="47"/>
    </row>
    <row r="5" spans="2:39" ht="18" x14ac:dyDescent="0.35">
      <c r="B5" s="48" t="s">
        <v>2</v>
      </c>
      <c r="C5" s="49"/>
      <c r="D5" s="49"/>
      <c r="E5" s="49"/>
      <c r="F5" s="49"/>
      <c r="G5" s="49"/>
      <c r="H5" s="49"/>
      <c r="I5" s="49"/>
      <c r="J5" s="74"/>
    </row>
    <row r="6" spans="2:39" ht="28.8" x14ac:dyDescent="0.3">
      <c r="B6" s="52" t="s">
        <v>3</v>
      </c>
      <c r="C6" s="52" t="s">
        <v>4</v>
      </c>
      <c r="D6" s="52" t="s">
        <v>5</v>
      </c>
      <c r="E6" s="75" t="s">
        <v>6</v>
      </c>
      <c r="F6" s="75" t="s">
        <v>7</v>
      </c>
      <c r="G6" s="75" t="s">
        <v>8</v>
      </c>
      <c r="H6" s="76" t="s">
        <v>9</v>
      </c>
      <c r="I6" s="77"/>
      <c r="J6" s="78" t="s">
        <v>10</v>
      </c>
    </row>
    <row r="7" spans="2:39" s="47" customFormat="1" hidden="1" x14ac:dyDescent="0.3">
      <c r="C7" s="59" t="s">
        <v>30</v>
      </c>
      <c r="D7" s="66" t="s">
        <v>31</v>
      </c>
      <c r="E7" s="66" t="s">
        <v>31</v>
      </c>
      <c r="F7" s="66" t="s">
        <v>31</v>
      </c>
      <c r="G7" s="66"/>
      <c r="H7" s="66" t="s">
        <v>31</v>
      </c>
      <c r="I7" s="43"/>
      <c r="J7" s="80" t="s">
        <v>31</v>
      </c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</row>
    <row r="8" spans="2:39" hidden="1" x14ac:dyDescent="0.3">
      <c r="B8" s="62"/>
      <c r="C8" s="63"/>
      <c r="D8" s="81"/>
      <c r="E8" s="81"/>
      <c r="F8" s="81"/>
      <c r="G8" s="81"/>
      <c r="H8" s="81"/>
      <c r="J8" s="81"/>
    </row>
    <row r="9" spans="2:39" hidden="1" x14ac:dyDescent="0.3">
      <c r="B9" s="62"/>
      <c r="C9" s="64" t="s">
        <v>12</v>
      </c>
      <c r="D9" s="83"/>
      <c r="E9" s="83"/>
      <c r="F9" s="83"/>
      <c r="G9" s="83"/>
      <c r="H9" s="83"/>
      <c r="I9" s="43">
        <f t="shared" ref="I9" si="0">SUM(I8:I8)</f>
        <v>0</v>
      </c>
      <c r="J9" s="83"/>
    </row>
    <row r="10" spans="2:39" hidden="1" x14ac:dyDescent="0.3">
      <c r="B10" s="62"/>
      <c r="C10" s="65" t="s">
        <v>32</v>
      </c>
      <c r="D10" s="84" t="s">
        <v>31</v>
      </c>
      <c r="E10" s="66"/>
      <c r="F10" s="66"/>
      <c r="G10" s="66"/>
      <c r="H10" s="66"/>
      <c r="J10" s="80" t="s">
        <v>31</v>
      </c>
    </row>
    <row r="11" spans="2:39" hidden="1" x14ac:dyDescent="0.3">
      <c r="B11" s="62"/>
      <c r="C11" s="66"/>
      <c r="D11" s="81"/>
      <c r="E11" s="85"/>
      <c r="F11" s="85"/>
      <c r="G11" s="85"/>
      <c r="H11" s="85"/>
      <c r="J11" s="81"/>
    </row>
    <row r="12" spans="2:39" hidden="1" x14ac:dyDescent="0.3">
      <c r="B12" s="62"/>
      <c r="C12" s="64" t="s">
        <v>13</v>
      </c>
      <c r="D12" s="83"/>
      <c r="E12" s="83"/>
      <c r="F12" s="83"/>
      <c r="G12" s="83"/>
      <c r="H12" s="83"/>
      <c r="I12" s="43">
        <f t="shared" ref="I12" si="1">SUM(I11:I11)</f>
        <v>0</v>
      </c>
      <c r="J12" s="83"/>
    </row>
    <row r="13" spans="2:39" hidden="1" x14ac:dyDescent="0.3">
      <c r="B13" s="62"/>
      <c r="C13" s="65" t="s">
        <v>33</v>
      </c>
      <c r="D13" s="84" t="s">
        <v>31</v>
      </c>
      <c r="E13" s="66"/>
      <c r="F13" s="66"/>
      <c r="G13" s="66"/>
      <c r="H13" s="66"/>
      <c r="J13" s="80" t="s">
        <v>31</v>
      </c>
    </row>
    <row r="14" spans="2:39" hidden="1" x14ac:dyDescent="0.3">
      <c r="B14" s="62"/>
      <c r="C14" s="63"/>
      <c r="D14" s="81"/>
      <c r="E14" s="81"/>
      <c r="F14" s="81"/>
      <c r="G14" s="81"/>
      <c r="H14" s="81"/>
      <c r="I14" s="82">
        <v>1638</v>
      </c>
      <c r="J14" s="81"/>
    </row>
    <row r="15" spans="2:39" hidden="1" x14ac:dyDescent="0.3">
      <c r="B15" s="62"/>
      <c r="C15" s="64" t="s">
        <v>14</v>
      </c>
      <c r="D15" s="83"/>
      <c r="E15" s="83"/>
      <c r="F15" s="83"/>
      <c r="G15" s="83"/>
      <c r="H15" s="83"/>
      <c r="J15" s="83"/>
    </row>
    <row r="16" spans="2:39" x14ac:dyDescent="0.3">
      <c r="B16" s="79" t="s">
        <v>11</v>
      </c>
      <c r="C16" s="65" t="s">
        <v>34</v>
      </c>
      <c r="D16" s="84"/>
      <c r="E16" s="66"/>
      <c r="F16" s="66"/>
      <c r="G16" s="66"/>
      <c r="H16" s="66"/>
      <c r="J16" s="81" t="s">
        <v>20</v>
      </c>
    </row>
    <row r="17" spans="2:10" x14ac:dyDescent="0.3">
      <c r="B17" s="62" t="s">
        <v>35</v>
      </c>
      <c r="C17" s="63" t="s">
        <v>97</v>
      </c>
      <c r="D17" s="81">
        <f>200*40000</f>
        <v>8000000</v>
      </c>
      <c r="E17" s="81">
        <f>150*40000</f>
        <v>6000000</v>
      </c>
      <c r="F17" s="81">
        <f>60*40000</f>
        <v>2400000</v>
      </c>
      <c r="G17" s="81">
        <f>40*40000</f>
        <v>1600000</v>
      </c>
      <c r="H17" s="80"/>
      <c r="J17" s="81">
        <f>SUM(D17:G17)</f>
        <v>18000000</v>
      </c>
    </row>
    <row r="18" spans="2:10" x14ac:dyDescent="0.3">
      <c r="B18" s="62"/>
      <c r="C18" s="64" t="s">
        <v>15</v>
      </c>
      <c r="D18" s="86">
        <f>SUM(D17)</f>
        <v>8000000</v>
      </c>
      <c r="E18" s="86">
        <f t="shared" ref="E18:G18" si="2">SUM(E17)</f>
        <v>6000000</v>
      </c>
      <c r="F18" s="86">
        <f t="shared" si="2"/>
        <v>2400000</v>
      </c>
      <c r="G18" s="86">
        <f t="shared" si="2"/>
        <v>1600000</v>
      </c>
      <c r="H18" s="86"/>
      <c r="J18" s="83">
        <f>SUM(J17:J17)</f>
        <v>18000000</v>
      </c>
    </row>
    <row r="19" spans="2:10" x14ac:dyDescent="0.3">
      <c r="B19" s="62"/>
      <c r="C19" s="65" t="s">
        <v>36</v>
      </c>
      <c r="D19" s="84" t="s">
        <v>31</v>
      </c>
      <c r="E19" s="66"/>
      <c r="F19" s="66"/>
      <c r="G19" s="66"/>
      <c r="H19" s="66"/>
      <c r="J19" s="81"/>
    </row>
    <row r="20" spans="2:10" x14ac:dyDescent="0.3">
      <c r="B20" s="62"/>
      <c r="C20" s="63"/>
      <c r="D20" s="81"/>
      <c r="E20" s="85"/>
      <c r="F20" s="85"/>
      <c r="G20" s="85"/>
      <c r="H20" s="85"/>
      <c r="J20" s="81"/>
    </row>
    <row r="21" spans="2:10" x14ac:dyDescent="0.3">
      <c r="B21" s="62"/>
      <c r="C21" s="64" t="s">
        <v>16</v>
      </c>
      <c r="D21" s="83"/>
      <c r="E21" s="83"/>
      <c r="F21" s="83"/>
      <c r="G21" s="83"/>
      <c r="H21" s="83"/>
      <c r="J21" s="83"/>
    </row>
    <row r="22" spans="2:10" x14ac:dyDescent="0.3">
      <c r="B22" s="62"/>
      <c r="C22" s="65" t="s">
        <v>37</v>
      </c>
      <c r="D22" s="84" t="s">
        <v>31</v>
      </c>
      <c r="E22" s="66"/>
      <c r="F22" s="66"/>
      <c r="G22" s="66"/>
      <c r="H22" s="66"/>
      <c r="J22" s="81"/>
    </row>
    <row r="23" spans="2:10" x14ac:dyDescent="0.3">
      <c r="B23" s="62"/>
      <c r="C23" s="63" t="s">
        <v>65</v>
      </c>
      <c r="D23" s="81">
        <v>45000</v>
      </c>
      <c r="E23" s="81"/>
      <c r="F23" s="81"/>
      <c r="G23" s="81"/>
      <c r="H23" s="81"/>
      <c r="J23" s="81">
        <f>SUM(D23:H23)</f>
        <v>45000</v>
      </c>
    </row>
    <row r="24" spans="2:10" x14ac:dyDescent="0.3">
      <c r="B24" s="62"/>
      <c r="C24" s="63" t="s">
        <v>75</v>
      </c>
      <c r="D24" s="81">
        <f>'Sub-Recipient Budget - HOURCAR'!D53</f>
        <v>2348203.5320000001</v>
      </c>
      <c r="E24" s="81">
        <f>'Sub-Recipient Budget - HOURCAR'!E53</f>
        <v>2463846.2086</v>
      </c>
      <c r="F24" s="81">
        <f>'Sub-Recipient Budget - HOURCAR'!F53</f>
        <v>2598661.0190300001</v>
      </c>
      <c r="G24" s="81">
        <f>'Sub-Recipient Budget - HOURCAR'!G53</f>
        <v>2565094.0699815005</v>
      </c>
      <c r="H24" s="81">
        <f>'Sub-Recipient Budget - HOURCAR'!H53</f>
        <v>2182748.7734805751</v>
      </c>
      <c r="J24" s="81">
        <f>SUM(D24:H24)</f>
        <v>12158553.603092076</v>
      </c>
    </row>
    <row r="25" spans="2:10" x14ac:dyDescent="0.3">
      <c r="B25" s="62"/>
      <c r="C25" s="64" t="s">
        <v>17</v>
      </c>
      <c r="D25" s="83">
        <f>SUM(D23:D24)</f>
        <v>2393203.5320000001</v>
      </c>
      <c r="E25" s="83">
        <f t="shared" ref="E25:H25" si="3">SUM(E23:E24)</f>
        <v>2463846.2086</v>
      </c>
      <c r="F25" s="83">
        <f t="shared" si="3"/>
        <v>2598661.0190300001</v>
      </c>
      <c r="G25" s="83">
        <f t="shared" si="3"/>
        <v>2565094.0699815005</v>
      </c>
      <c r="H25" s="83">
        <f t="shared" si="3"/>
        <v>2182748.7734805751</v>
      </c>
      <c r="J25" s="83">
        <f>SUM(J23:J24)</f>
        <v>12203553.603092076</v>
      </c>
    </row>
    <row r="26" spans="2:10" x14ac:dyDescent="0.3">
      <c r="B26" s="62"/>
      <c r="C26" s="65" t="s">
        <v>38</v>
      </c>
      <c r="D26" s="84" t="s">
        <v>31</v>
      </c>
      <c r="E26" s="66"/>
      <c r="F26" s="66"/>
      <c r="G26" s="66"/>
      <c r="H26" s="66"/>
      <c r="J26" s="81"/>
    </row>
    <row r="27" spans="2:10" x14ac:dyDescent="0.3">
      <c r="B27" s="62"/>
      <c r="C27" s="63" t="s">
        <v>70</v>
      </c>
      <c r="D27" s="81">
        <v>10000</v>
      </c>
      <c r="E27" s="85"/>
      <c r="F27" s="85"/>
      <c r="G27" s="85"/>
      <c r="H27" s="85"/>
      <c r="J27" s="81">
        <f t="shared" ref="J27:J29" si="4">SUM(D27:H27)</f>
        <v>10000</v>
      </c>
    </row>
    <row r="28" spans="2:10" x14ac:dyDescent="0.3">
      <c r="B28" s="68"/>
      <c r="C28" s="64" t="s">
        <v>18</v>
      </c>
      <c r="D28" s="83">
        <f>SUM(D27:D27)</f>
        <v>10000</v>
      </c>
      <c r="E28" s="83"/>
      <c r="F28" s="83"/>
      <c r="G28" s="83"/>
      <c r="H28" s="83"/>
      <c r="I28" s="81"/>
      <c r="J28" s="83">
        <f>SUM(J27:J27)</f>
        <v>10000</v>
      </c>
    </row>
    <row r="29" spans="2:10" x14ac:dyDescent="0.3">
      <c r="B29" s="68"/>
      <c r="C29" s="64" t="s">
        <v>19</v>
      </c>
      <c r="D29" s="83">
        <f>SUM(D28,D25,D21,D18,D15,D12,D9)</f>
        <v>10403203.532</v>
      </c>
      <c r="E29" s="83">
        <f>SUM(E28,E25,E21,E18,E15,E12,E9)</f>
        <v>8463846.2085999995</v>
      </c>
      <c r="F29" s="83">
        <f>SUM(F28,F25,F21,F18,F15,F12,F9)</f>
        <v>4998661.0190300001</v>
      </c>
      <c r="G29" s="83">
        <f>SUM(G28,G25,G21,G18,G15,G12,G9)</f>
        <v>4165094.0699815005</v>
      </c>
      <c r="H29" s="83">
        <f>SUM(H28,H25,H21,H18,H15,H12,H9)</f>
        <v>2182748.7734805751</v>
      </c>
      <c r="J29" s="83">
        <f t="shared" si="4"/>
        <v>30213553.603092074</v>
      </c>
    </row>
    <row r="30" spans="2:10" x14ac:dyDescent="0.3">
      <c r="B30" s="69"/>
      <c r="D30" s="43"/>
      <c r="E30" s="43"/>
      <c r="H30" s="43"/>
      <c r="J30" s="43" t="s">
        <v>20</v>
      </c>
    </row>
    <row r="31" spans="2:10" x14ac:dyDescent="0.3">
      <c r="B31" s="79" t="s">
        <v>39</v>
      </c>
      <c r="C31" s="70" t="s">
        <v>39</v>
      </c>
      <c r="D31" s="80"/>
      <c r="E31" s="80"/>
      <c r="F31" s="80"/>
      <c r="G31" s="80"/>
      <c r="H31" s="80"/>
      <c r="J31" s="80" t="s">
        <v>20</v>
      </c>
    </row>
    <row r="32" spans="2:10" ht="28.8" x14ac:dyDescent="0.3">
      <c r="B32" s="62"/>
      <c r="C32" s="63" t="s">
        <v>72</v>
      </c>
      <c r="D32" s="87">
        <f>0.1*(D29-D18-(D23-25000)-(D24-25000))</f>
        <v>5999.9999999999536</v>
      </c>
      <c r="E32" s="89">
        <f>0.1*(E29-E18-E24)</f>
        <v>-4.6566128730773928E-11</v>
      </c>
      <c r="F32" s="87">
        <f>0.1*(F29-F18-F24)</f>
        <v>0</v>
      </c>
      <c r="G32" s="87">
        <f>0.1*(G29-G18-G24)</f>
        <v>0</v>
      </c>
      <c r="H32" s="87">
        <f>0.1*(H29-H18-H24)</f>
        <v>0</v>
      </c>
      <c r="J32" s="81">
        <f>SUM(D32:H32)</f>
        <v>5999.9999999999072</v>
      </c>
    </row>
    <row r="33" spans="2:10" x14ac:dyDescent="0.3">
      <c r="B33" s="62"/>
      <c r="C33" s="63"/>
      <c r="D33" s="84"/>
      <c r="E33" s="66"/>
      <c r="F33" s="66"/>
      <c r="G33" s="66"/>
      <c r="H33" s="66"/>
      <c r="J33" s="81"/>
    </row>
    <row r="34" spans="2:10" x14ac:dyDescent="0.3">
      <c r="B34" s="68"/>
      <c r="C34" s="64" t="s">
        <v>21</v>
      </c>
      <c r="D34" s="83">
        <f>SUM(D32:D33)</f>
        <v>5999.9999999999536</v>
      </c>
      <c r="E34" s="90">
        <f t="shared" ref="E34:H34" si="5">SUM(E32:E33)</f>
        <v>-4.6566128730773928E-11</v>
      </c>
      <c r="F34" s="83">
        <f t="shared" si="5"/>
        <v>0</v>
      </c>
      <c r="G34" s="83">
        <f t="shared" si="5"/>
        <v>0</v>
      </c>
      <c r="H34" s="83">
        <f t="shared" si="5"/>
        <v>0</v>
      </c>
      <c r="J34" s="83">
        <f t="shared" ref="J34" si="6">SUM(D34:H34)</f>
        <v>5999.9999999999072</v>
      </c>
    </row>
    <row r="35" spans="2:10" ht="15" thickBot="1" x14ac:dyDescent="0.35">
      <c r="B35" s="69"/>
      <c r="D35" s="43"/>
      <c r="E35" s="43"/>
      <c r="H35" s="43"/>
      <c r="J35" s="43" t="s">
        <v>20</v>
      </c>
    </row>
    <row r="36" spans="2:10" s="72" customFormat="1" ht="29.4" thickBot="1" x14ac:dyDescent="0.35">
      <c r="B36" s="71" t="s">
        <v>22</v>
      </c>
      <c r="C36" s="71"/>
      <c r="D36" s="88">
        <f>SUM(D34,D29)</f>
        <v>10409203.532</v>
      </c>
      <c r="E36" s="88">
        <f t="shared" ref="E36:J36" si="7">SUM(E34,E29)</f>
        <v>8463846.2085999995</v>
      </c>
      <c r="F36" s="88">
        <f t="shared" si="7"/>
        <v>4998661.0190300001</v>
      </c>
      <c r="G36" s="88">
        <f t="shared" si="7"/>
        <v>4165094.0699815005</v>
      </c>
      <c r="H36" s="88">
        <f t="shared" si="7"/>
        <v>2182748.7734805751</v>
      </c>
      <c r="I36" s="43">
        <f>SUM(I34,I29)</f>
        <v>0</v>
      </c>
      <c r="J36" s="88">
        <f t="shared" si="7"/>
        <v>30219553.603092074</v>
      </c>
    </row>
    <row r="37" spans="2:10" x14ac:dyDescent="0.3">
      <c r="B37" s="69"/>
    </row>
    <row r="38" spans="2:10" x14ac:dyDescent="0.3">
      <c r="B38" s="69"/>
    </row>
    <row r="39" spans="2:10" x14ac:dyDescent="0.3">
      <c r="B39" s="69"/>
    </row>
    <row r="40" spans="2:10" x14ac:dyDescent="0.3">
      <c r="B40" s="69"/>
    </row>
    <row r="41" spans="2:10" x14ac:dyDescent="0.3">
      <c r="B41" s="69"/>
    </row>
    <row r="42" spans="2:10" x14ac:dyDescent="0.3">
      <c r="B42" s="69"/>
    </row>
    <row r="43" spans="2:10" x14ac:dyDescent="0.3">
      <c r="B43" s="69"/>
    </row>
    <row r="44" spans="2:10" x14ac:dyDescent="0.3">
      <c r="B44" s="69"/>
    </row>
    <row r="45" spans="2:10" x14ac:dyDescent="0.3">
      <c r="B45" s="69"/>
    </row>
    <row r="46" spans="2:10" x14ac:dyDescent="0.3">
      <c r="B46" s="69"/>
    </row>
    <row r="47" spans="2:10" x14ac:dyDescent="0.3">
      <c r="B47" s="69"/>
    </row>
    <row r="48" spans="2:10" x14ac:dyDescent="0.3">
      <c r="B48" s="69"/>
    </row>
    <row r="49" spans="2:2" x14ac:dyDescent="0.3">
      <c r="B49" s="69"/>
    </row>
    <row r="50" spans="2:2" x14ac:dyDescent="0.3">
      <c r="B50" s="69"/>
    </row>
    <row r="51" spans="2:2" x14ac:dyDescent="0.3">
      <c r="B51" s="69"/>
    </row>
  </sheetData>
  <pageMargins left="0.7" right="0.7" top="0.75" bottom="0.75" header="0.3" footer="0.3"/>
  <pageSetup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2BA2-3CD6-4046-BD42-01CC57E1344A}">
  <sheetPr>
    <tabColor theme="9" tint="0.39997558519241921"/>
    <pageSetUpPr fitToPage="1"/>
  </sheetPr>
  <dimension ref="B2:AM68"/>
  <sheetViews>
    <sheetView topLeftCell="C4" zoomScale="107" zoomScaleNormal="130" workbookViewId="0">
      <selection activeCell="C9" sqref="C9"/>
    </sheetView>
  </sheetViews>
  <sheetFormatPr defaultColWidth="9.109375" defaultRowHeight="14.4" x14ac:dyDescent="0.3"/>
  <cols>
    <col min="1" max="1" width="3.109375" style="43" customWidth="1"/>
    <col min="2" max="2" width="9.6640625" style="43" customWidth="1"/>
    <col min="3" max="3" width="49.109375" style="43" customWidth="1"/>
    <col min="4" max="4" width="12.88671875" style="69" customWidth="1"/>
    <col min="5" max="5" width="14.33203125" style="73" bestFit="1" customWidth="1"/>
    <col min="6" max="7" width="12.6640625" style="43" bestFit="1" customWidth="1"/>
    <col min="8" max="8" width="12.6640625" style="73" bestFit="1" customWidth="1"/>
    <col min="9" max="9" width="0.88671875" style="43" customWidth="1"/>
    <col min="10" max="10" width="14.44140625" style="43" customWidth="1"/>
    <col min="11" max="11" width="10.109375" style="43" customWidth="1"/>
    <col min="12" max="12" width="15.33203125" style="43" customWidth="1"/>
    <col min="13" max="16384" width="9.109375" style="43"/>
  </cols>
  <sheetData>
    <row r="2" spans="2:39" ht="23.4" x14ac:dyDescent="0.45">
      <c r="B2" s="42" t="s">
        <v>29</v>
      </c>
    </row>
    <row r="3" spans="2:39" x14ac:dyDescent="0.3">
      <c r="B3" s="47" t="s">
        <v>40</v>
      </c>
    </row>
    <row r="4" spans="2:39" x14ac:dyDescent="0.3">
      <c r="B4" s="47"/>
    </row>
    <row r="5" spans="2:39" ht="18" x14ac:dyDescent="0.35">
      <c r="B5" s="48" t="s">
        <v>2</v>
      </c>
      <c r="C5" s="49"/>
      <c r="D5" s="49"/>
      <c r="E5" s="49"/>
      <c r="F5" s="49"/>
      <c r="G5" s="49"/>
      <c r="H5" s="49"/>
      <c r="I5" s="49"/>
      <c r="J5" s="74"/>
    </row>
    <row r="6" spans="2:39" ht="28.8" x14ac:dyDescent="0.3">
      <c r="B6" s="52" t="s">
        <v>3</v>
      </c>
      <c r="C6" s="52" t="s">
        <v>4</v>
      </c>
      <c r="D6" s="52" t="s">
        <v>5</v>
      </c>
      <c r="E6" s="75" t="s">
        <v>6</v>
      </c>
      <c r="F6" s="75" t="s">
        <v>7</v>
      </c>
      <c r="G6" s="75" t="s">
        <v>8</v>
      </c>
      <c r="H6" s="76" t="s">
        <v>9</v>
      </c>
      <c r="I6" s="77"/>
      <c r="J6" s="78" t="s">
        <v>10</v>
      </c>
    </row>
    <row r="7" spans="2:39" s="47" customFormat="1" x14ac:dyDescent="0.3">
      <c r="B7" s="79" t="s">
        <v>11</v>
      </c>
      <c r="C7" s="59" t="s">
        <v>30</v>
      </c>
      <c r="D7" s="66" t="s">
        <v>31</v>
      </c>
      <c r="E7" s="66" t="s">
        <v>31</v>
      </c>
      <c r="F7" s="66" t="s">
        <v>31</v>
      </c>
      <c r="G7" s="66"/>
      <c r="H7" s="66" t="s">
        <v>31</v>
      </c>
      <c r="I7" s="43"/>
      <c r="J7" s="80" t="s">
        <v>31</v>
      </c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</row>
    <row r="8" spans="2:39" ht="30" customHeight="1" x14ac:dyDescent="0.3">
      <c r="B8" s="62"/>
      <c r="C8" s="63" t="s">
        <v>45</v>
      </c>
      <c r="D8" s="81">
        <f>54.52*2080*0.5</f>
        <v>56700.800000000003</v>
      </c>
      <c r="E8" s="81">
        <f>D8*1.05</f>
        <v>59535.840000000004</v>
      </c>
      <c r="F8" s="81">
        <f>E8*1.05</f>
        <v>62512.632000000005</v>
      </c>
      <c r="G8" s="81">
        <f>F8*1.05</f>
        <v>65638.263600000006</v>
      </c>
      <c r="H8" s="81">
        <f>G8*1.05</f>
        <v>68920.176780000009</v>
      </c>
      <c r="I8" s="82">
        <v>450000</v>
      </c>
      <c r="J8" s="81">
        <f t="shared" ref="J8:J15" si="0">SUM(D8:H8)</f>
        <v>313307.71238000004</v>
      </c>
    </row>
    <row r="9" spans="2:39" ht="28.8" x14ac:dyDescent="0.3">
      <c r="B9" s="62"/>
      <c r="C9" s="63" t="s">
        <v>46</v>
      </c>
      <c r="D9" s="81">
        <f>74006*0.5</f>
        <v>37003</v>
      </c>
      <c r="E9" s="81">
        <f t="shared" ref="E9:H19" si="1">D9*1.05</f>
        <v>38853.15</v>
      </c>
      <c r="F9" s="81">
        <f t="shared" si="1"/>
        <v>40795.807500000003</v>
      </c>
      <c r="G9" s="81">
        <f t="shared" si="1"/>
        <v>42835.597875000007</v>
      </c>
      <c r="H9" s="81">
        <f t="shared" si="1"/>
        <v>44977.377768750011</v>
      </c>
      <c r="J9" s="81">
        <f t="shared" si="0"/>
        <v>204464.93314375001</v>
      </c>
    </row>
    <row r="10" spans="2:39" ht="28.8" x14ac:dyDescent="0.3">
      <c r="B10" s="62"/>
      <c r="C10" s="63" t="s">
        <v>49</v>
      </c>
      <c r="D10" s="81">
        <f>55640*0.1</f>
        <v>5564</v>
      </c>
      <c r="E10" s="81">
        <f t="shared" si="1"/>
        <v>5842.2</v>
      </c>
      <c r="F10" s="81">
        <f t="shared" si="1"/>
        <v>6134.31</v>
      </c>
      <c r="G10" s="81">
        <f t="shared" si="1"/>
        <v>6441.0255000000006</v>
      </c>
      <c r="H10" s="81">
        <f t="shared" si="1"/>
        <v>6763.0767750000014</v>
      </c>
      <c r="J10" s="81">
        <f t="shared" si="0"/>
        <v>30744.612275000003</v>
      </c>
    </row>
    <row r="11" spans="2:39" ht="28.8" x14ac:dyDescent="0.3">
      <c r="B11" s="62"/>
      <c r="C11" s="63" t="s">
        <v>47</v>
      </c>
      <c r="D11" s="81">
        <v>41600</v>
      </c>
      <c r="E11" s="81">
        <f t="shared" si="1"/>
        <v>43680</v>
      </c>
      <c r="F11" s="81">
        <f t="shared" si="1"/>
        <v>45864</v>
      </c>
      <c r="G11" s="81">
        <f t="shared" si="1"/>
        <v>48157.200000000004</v>
      </c>
      <c r="H11" s="81">
        <f t="shared" si="1"/>
        <v>50565.060000000005</v>
      </c>
      <c r="J11" s="81">
        <f t="shared" si="0"/>
        <v>229866.26</v>
      </c>
    </row>
    <row r="12" spans="2:39" ht="28.8" x14ac:dyDescent="0.3">
      <c r="B12" s="62"/>
      <c r="C12" s="63" t="s">
        <v>48</v>
      </c>
      <c r="D12" s="81">
        <f>57491*0.5</f>
        <v>28745.5</v>
      </c>
      <c r="E12" s="81">
        <f t="shared" si="1"/>
        <v>30182.775000000001</v>
      </c>
      <c r="F12" s="81">
        <f t="shared" si="1"/>
        <v>31691.913750000003</v>
      </c>
      <c r="G12" s="81">
        <f t="shared" si="1"/>
        <v>33276.509437500004</v>
      </c>
      <c r="H12" s="81">
        <f t="shared" si="1"/>
        <v>34940.334909375008</v>
      </c>
      <c r="J12" s="81">
        <f t="shared" si="0"/>
        <v>158837.03309687501</v>
      </c>
    </row>
    <row r="13" spans="2:39" ht="28.8" x14ac:dyDescent="0.3">
      <c r="B13" s="62"/>
      <c r="C13" s="63" t="s">
        <v>50</v>
      </c>
      <c r="D13" s="81">
        <f>41600*6</f>
        <v>249600</v>
      </c>
      <c r="E13" s="81">
        <f t="shared" si="1"/>
        <v>262080</v>
      </c>
      <c r="F13" s="81">
        <f t="shared" si="1"/>
        <v>275184</v>
      </c>
      <c r="G13" s="81">
        <f t="shared" si="1"/>
        <v>288943.2</v>
      </c>
      <c r="H13" s="81">
        <f t="shared" si="1"/>
        <v>303390.36000000004</v>
      </c>
      <c r="J13" s="81">
        <f t="shared" si="0"/>
        <v>1379197.56</v>
      </c>
    </row>
    <row r="14" spans="2:39" ht="28.8" x14ac:dyDescent="0.3">
      <c r="B14" s="62"/>
      <c r="C14" s="63" t="s">
        <v>51</v>
      </c>
      <c r="D14" s="81">
        <f>63003*0.6</f>
        <v>37801.799999999996</v>
      </c>
      <c r="E14" s="81">
        <f t="shared" si="1"/>
        <v>39691.89</v>
      </c>
      <c r="F14" s="81">
        <f t="shared" si="1"/>
        <v>41676.484499999999</v>
      </c>
      <c r="G14" s="81">
        <f t="shared" si="1"/>
        <v>43760.308725000003</v>
      </c>
      <c r="H14" s="81">
        <f t="shared" si="1"/>
        <v>45948.324161250006</v>
      </c>
      <c r="J14" s="81">
        <f t="shared" si="0"/>
        <v>208878.80738625</v>
      </c>
    </row>
    <row r="15" spans="2:39" ht="28.8" x14ac:dyDescent="0.3">
      <c r="B15" s="62"/>
      <c r="C15" s="63" t="s">
        <v>52</v>
      </c>
      <c r="D15" s="81">
        <f>52000*5</f>
        <v>260000</v>
      </c>
      <c r="E15" s="81">
        <f t="shared" si="1"/>
        <v>273000</v>
      </c>
      <c r="F15" s="81">
        <f t="shared" si="1"/>
        <v>286650</v>
      </c>
      <c r="G15" s="81">
        <f t="shared" si="1"/>
        <v>300982.5</v>
      </c>
      <c r="H15" s="81">
        <f t="shared" si="1"/>
        <v>316031.625</v>
      </c>
      <c r="J15" s="81">
        <f t="shared" si="0"/>
        <v>1436664.125</v>
      </c>
    </row>
    <row r="16" spans="2:39" ht="43.2" x14ac:dyDescent="0.3">
      <c r="B16" s="62"/>
      <c r="C16" s="63" t="s">
        <v>53</v>
      </c>
      <c r="D16" s="81">
        <f>72010*0.5</f>
        <v>36005</v>
      </c>
      <c r="E16" s="81">
        <f t="shared" si="1"/>
        <v>37805.25</v>
      </c>
      <c r="F16" s="81">
        <f t="shared" si="1"/>
        <v>39695.512500000004</v>
      </c>
      <c r="G16" s="81">
        <f t="shared" si="1"/>
        <v>41680.288125000006</v>
      </c>
      <c r="H16" s="81">
        <f t="shared" si="1"/>
        <v>43764.30253125001</v>
      </c>
      <c r="J16" s="81">
        <f t="shared" ref="J16:J18" si="2">SUM(D16:H16)</f>
        <v>198950.35315625003</v>
      </c>
    </row>
    <row r="17" spans="2:10" ht="43.2" x14ac:dyDescent="0.3">
      <c r="B17" s="62"/>
      <c r="C17" s="63" t="s">
        <v>54</v>
      </c>
      <c r="D17" s="81">
        <v>49920</v>
      </c>
      <c r="E17" s="81">
        <f t="shared" si="1"/>
        <v>52416</v>
      </c>
      <c r="F17" s="81">
        <f t="shared" si="1"/>
        <v>55036.800000000003</v>
      </c>
      <c r="G17" s="81">
        <f t="shared" si="1"/>
        <v>57788.640000000007</v>
      </c>
      <c r="H17" s="81">
        <f t="shared" si="1"/>
        <v>60678.072000000007</v>
      </c>
      <c r="J17" s="81">
        <f t="shared" si="2"/>
        <v>275839.51199999999</v>
      </c>
    </row>
    <row r="18" spans="2:10" ht="43.2" x14ac:dyDescent="0.3">
      <c r="B18" s="62"/>
      <c r="C18" s="63" t="s">
        <v>55</v>
      </c>
      <c r="D18" s="81">
        <f>65270*0.5</f>
        <v>32635</v>
      </c>
      <c r="E18" s="81">
        <f t="shared" si="1"/>
        <v>34266.75</v>
      </c>
      <c r="F18" s="81">
        <f t="shared" si="1"/>
        <v>35980.087500000001</v>
      </c>
      <c r="G18" s="81">
        <f t="shared" si="1"/>
        <v>37779.091875000006</v>
      </c>
      <c r="H18" s="81">
        <f t="shared" si="1"/>
        <v>39668.046468750006</v>
      </c>
      <c r="J18" s="81">
        <f t="shared" si="2"/>
        <v>180328.97584375</v>
      </c>
    </row>
    <row r="19" spans="2:10" ht="42" customHeight="1" x14ac:dyDescent="0.3">
      <c r="B19" s="62"/>
      <c r="C19" s="63" t="s">
        <v>56</v>
      </c>
      <c r="D19" s="81">
        <v>49920</v>
      </c>
      <c r="E19" s="81">
        <f t="shared" si="1"/>
        <v>52416</v>
      </c>
      <c r="F19" s="81">
        <f t="shared" si="1"/>
        <v>55036.800000000003</v>
      </c>
      <c r="G19" s="81">
        <f t="shared" si="1"/>
        <v>57788.640000000007</v>
      </c>
      <c r="H19" s="81">
        <f t="shared" si="1"/>
        <v>60678.072000000007</v>
      </c>
      <c r="J19" s="81">
        <f>SUM(D19:H19)</f>
        <v>275839.51199999999</v>
      </c>
    </row>
    <row r="20" spans="2:10" x14ac:dyDescent="0.3">
      <c r="B20" s="62"/>
      <c r="C20" s="64" t="s">
        <v>12</v>
      </c>
      <c r="D20" s="83">
        <f t="shared" ref="D20:J20" si="3">SUM(D8:D19)</f>
        <v>885495.1</v>
      </c>
      <c r="E20" s="83">
        <f t="shared" si="3"/>
        <v>929769.85499999998</v>
      </c>
      <c r="F20" s="83">
        <f t="shared" si="3"/>
        <v>976258.34775000007</v>
      </c>
      <c r="G20" s="83">
        <f t="shared" si="3"/>
        <v>1025071.2651375</v>
      </c>
      <c r="H20" s="83">
        <f t="shared" si="3"/>
        <v>1076324.828394375</v>
      </c>
      <c r="I20" s="43">
        <f t="shared" si="3"/>
        <v>450000</v>
      </c>
      <c r="J20" s="83">
        <f t="shared" si="3"/>
        <v>4892919.3962818757</v>
      </c>
    </row>
    <row r="21" spans="2:10" x14ac:dyDescent="0.3">
      <c r="B21" s="62"/>
      <c r="C21" s="65" t="s">
        <v>32</v>
      </c>
      <c r="D21" s="84" t="s">
        <v>31</v>
      </c>
      <c r="E21" s="66"/>
      <c r="F21" s="66"/>
      <c r="G21" s="66"/>
      <c r="H21" s="66"/>
      <c r="J21" s="80" t="s">
        <v>31</v>
      </c>
    </row>
    <row r="22" spans="2:10" x14ac:dyDescent="0.3">
      <c r="B22" s="62"/>
      <c r="C22" s="63" t="s">
        <v>57</v>
      </c>
      <c r="D22" s="81">
        <f>D20*0.2</f>
        <v>177099.02000000002</v>
      </c>
      <c r="E22" s="81">
        <f t="shared" ref="E22:G22" si="4">E20*0.2</f>
        <v>185953.97100000002</v>
      </c>
      <c r="F22" s="81">
        <f t="shared" si="4"/>
        <v>195251.66955000002</v>
      </c>
      <c r="G22" s="81">
        <f t="shared" si="4"/>
        <v>205014.2530275</v>
      </c>
      <c r="H22" s="81">
        <f>H20*0.2</f>
        <v>215264.96567887501</v>
      </c>
      <c r="J22" s="81">
        <f>SUM(D22:H22)</f>
        <v>978583.87925637502</v>
      </c>
    </row>
    <row r="23" spans="2:10" x14ac:dyDescent="0.3">
      <c r="B23" s="62"/>
      <c r="C23" s="66"/>
      <c r="D23" s="81"/>
      <c r="E23" s="85"/>
      <c r="F23" s="85"/>
      <c r="G23" s="85"/>
      <c r="H23" s="85"/>
      <c r="J23" s="81"/>
    </row>
    <row r="24" spans="2:10" x14ac:dyDescent="0.3">
      <c r="B24" s="62"/>
      <c r="C24" s="64" t="s">
        <v>13</v>
      </c>
      <c r="D24" s="83">
        <f t="shared" ref="D24:I24" si="5">SUM(D22:D23)</f>
        <v>177099.02000000002</v>
      </c>
      <c r="E24" s="83">
        <f t="shared" si="5"/>
        <v>185953.97100000002</v>
      </c>
      <c r="F24" s="83">
        <f t="shared" si="5"/>
        <v>195251.66955000002</v>
      </c>
      <c r="G24" s="83">
        <f t="shared" si="5"/>
        <v>205014.2530275</v>
      </c>
      <c r="H24" s="83">
        <f t="shared" si="5"/>
        <v>215264.96567887501</v>
      </c>
      <c r="I24" s="43">
        <f t="shared" si="5"/>
        <v>0</v>
      </c>
      <c r="J24" s="83">
        <f>SUM(J22:J23)</f>
        <v>978583.87925637502</v>
      </c>
    </row>
    <row r="25" spans="2:10" hidden="1" x14ac:dyDescent="0.3">
      <c r="B25" s="62"/>
      <c r="C25" s="65" t="s">
        <v>33</v>
      </c>
      <c r="D25" s="84" t="s">
        <v>31</v>
      </c>
      <c r="E25" s="66"/>
      <c r="F25" s="66"/>
      <c r="G25" s="66"/>
      <c r="H25" s="66"/>
      <c r="J25" s="80" t="s">
        <v>31</v>
      </c>
    </row>
    <row r="26" spans="2:10" hidden="1" x14ac:dyDescent="0.3">
      <c r="B26" s="62"/>
      <c r="C26" s="63"/>
      <c r="D26" s="81"/>
      <c r="E26" s="81"/>
      <c r="F26" s="81"/>
      <c r="G26" s="81"/>
      <c r="H26" s="81"/>
      <c r="I26" s="82">
        <v>1638</v>
      </c>
      <c r="J26" s="81"/>
    </row>
    <row r="27" spans="2:10" hidden="1" x14ac:dyDescent="0.3">
      <c r="B27" s="62"/>
      <c r="C27" s="64" t="s">
        <v>14</v>
      </c>
      <c r="D27" s="83">
        <f>SUM(D26:D26)</f>
        <v>0</v>
      </c>
      <c r="E27" s="83">
        <f>SUM(E26:E26)</f>
        <v>0</v>
      </c>
      <c r="F27" s="83">
        <f>SUM(F26:F26)</f>
        <v>0</v>
      </c>
      <c r="G27" s="83">
        <f>SUM(G26:G26)</f>
        <v>0</v>
      </c>
      <c r="H27" s="83">
        <f>SUM(H26:H26)</f>
        <v>0</v>
      </c>
      <c r="J27" s="83">
        <f>SUM(J26:J26)</f>
        <v>0</v>
      </c>
    </row>
    <row r="28" spans="2:10" hidden="1" x14ac:dyDescent="0.3">
      <c r="B28" s="62"/>
      <c r="C28" s="65" t="s">
        <v>34</v>
      </c>
      <c r="D28" s="84"/>
      <c r="E28" s="66"/>
      <c r="F28" s="66"/>
      <c r="G28" s="66"/>
      <c r="H28" s="66"/>
      <c r="J28" s="81" t="s">
        <v>20</v>
      </c>
    </row>
    <row r="29" spans="2:10" hidden="1" x14ac:dyDescent="0.3">
      <c r="B29" s="62" t="s">
        <v>35</v>
      </c>
      <c r="C29" s="63"/>
      <c r="D29" s="84" t="s">
        <v>31</v>
      </c>
      <c r="E29" s="81"/>
      <c r="F29" s="81"/>
      <c r="G29" s="81"/>
      <c r="H29" s="81"/>
      <c r="J29" s="81"/>
    </row>
    <row r="30" spans="2:10" hidden="1" x14ac:dyDescent="0.3">
      <c r="B30" s="62"/>
      <c r="C30" s="64" t="s">
        <v>15</v>
      </c>
      <c r="D30" s="86">
        <f>SUM(D29:D29)</f>
        <v>0</v>
      </c>
      <c r="E30" s="86">
        <f>SUM(E29:E29)</f>
        <v>0</v>
      </c>
      <c r="F30" s="86">
        <f>SUM(F29:F29)</f>
        <v>0</v>
      </c>
      <c r="G30" s="86">
        <f>SUM(G29:G29)</f>
        <v>0</v>
      </c>
      <c r="H30" s="86">
        <f>SUM(H29:H29)</f>
        <v>0</v>
      </c>
      <c r="J30" s="83">
        <f>SUM(J29:J29)</f>
        <v>0</v>
      </c>
    </row>
    <row r="31" spans="2:10" hidden="1" x14ac:dyDescent="0.3">
      <c r="B31" s="62"/>
      <c r="C31" s="65" t="s">
        <v>36</v>
      </c>
      <c r="D31" s="84" t="s">
        <v>31</v>
      </c>
      <c r="E31" s="66"/>
      <c r="F31" s="66"/>
      <c r="G31" s="66"/>
      <c r="H31" s="66"/>
      <c r="J31" s="81"/>
    </row>
    <row r="32" spans="2:10" hidden="1" x14ac:dyDescent="0.3">
      <c r="B32" s="62"/>
      <c r="C32" s="63"/>
      <c r="D32" s="81"/>
      <c r="E32" s="85"/>
      <c r="F32" s="85"/>
      <c r="G32" s="85"/>
      <c r="H32" s="85"/>
      <c r="J32" s="81"/>
    </row>
    <row r="33" spans="2:12" hidden="1" x14ac:dyDescent="0.3">
      <c r="B33" s="62"/>
      <c r="C33" s="64" t="s">
        <v>16</v>
      </c>
      <c r="D33" s="83">
        <f>SUM(D32:D32)</f>
        <v>0</v>
      </c>
      <c r="E33" s="83">
        <f>SUM(E32:E32)</f>
        <v>0</v>
      </c>
      <c r="F33" s="83">
        <f>SUM(F32:F32)</f>
        <v>0</v>
      </c>
      <c r="G33" s="83">
        <f>SUM(G32:G32)</f>
        <v>0</v>
      </c>
      <c r="H33" s="83">
        <f>SUM(H32:H32)</f>
        <v>0</v>
      </c>
      <c r="J33" s="83">
        <f>SUM(J32:J32)</f>
        <v>0</v>
      </c>
    </row>
    <row r="34" spans="2:12" x14ac:dyDescent="0.3">
      <c r="B34" s="62"/>
      <c r="C34" s="65" t="s">
        <v>37</v>
      </c>
      <c r="D34" s="84" t="s">
        <v>31</v>
      </c>
      <c r="E34" s="66"/>
      <c r="F34" s="66"/>
      <c r="G34" s="66"/>
      <c r="H34" s="66"/>
      <c r="J34" s="81"/>
    </row>
    <row r="35" spans="2:12" x14ac:dyDescent="0.3">
      <c r="B35" s="62"/>
      <c r="C35" s="63" t="s">
        <v>42</v>
      </c>
      <c r="D35" s="81">
        <f>2000*100</f>
        <v>200000</v>
      </c>
      <c r="E35" s="81">
        <f>275*2000</f>
        <v>550000</v>
      </c>
      <c r="F35" s="81">
        <f>380*2000</f>
        <v>760000</v>
      </c>
      <c r="G35" s="81">
        <f>430*2000</f>
        <v>860000</v>
      </c>
      <c r="H35" s="81">
        <f>215*2000</f>
        <v>430000</v>
      </c>
      <c r="I35" s="82"/>
      <c r="J35" s="81">
        <f>SUM(D35:H35)</f>
        <v>2800000</v>
      </c>
    </row>
    <row r="36" spans="2:12" x14ac:dyDescent="0.3">
      <c r="B36" s="62"/>
      <c r="C36" s="63" t="s">
        <v>71</v>
      </c>
      <c r="D36" s="81">
        <f>200*500</f>
        <v>100000</v>
      </c>
      <c r="E36" s="81">
        <f>150*500</f>
        <v>75000</v>
      </c>
      <c r="F36" s="81">
        <f>60*500</f>
        <v>30000</v>
      </c>
      <c r="G36" s="81">
        <f>500*40</f>
        <v>20000</v>
      </c>
      <c r="H36" s="80"/>
      <c r="I36" s="82"/>
      <c r="J36" s="81">
        <f>SUM(D36:H36)</f>
        <v>225000</v>
      </c>
    </row>
    <row r="37" spans="2:12" x14ac:dyDescent="0.3">
      <c r="B37" s="62"/>
      <c r="C37" s="63" t="s">
        <v>95</v>
      </c>
      <c r="D37" s="81">
        <f>200*200</f>
        <v>40000</v>
      </c>
      <c r="E37" s="81">
        <f>350*200</f>
        <v>70000</v>
      </c>
      <c r="F37" s="81">
        <f>400*200</f>
        <v>80000</v>
      </c>
      <c r="G37" s="81">
        <f>450*200</f>
        <v>90000</v>
      </c>
      <c r="H37" s="81">
        <v>90000</v>
      </c>
      <c r="J37" s="81">
        <f>SUM(D37:H37)</f>
        <v>370000</v>
      </c>
    </row>
    <row r="38" spans="2:12" ht="43.2" x14ac:dyDescent="0.3">
      <c r="B38" s="62"/>
      <c r="C38" s="63" t="s">
        <v>96</v>
      </c>
      <c r="D38" s="81">
        <v>273300</v>
      </c>
      <c r="E38" s="85"/>
      <c r="F38" s="85"/>
      <c r="G38" s="85"/>
      <c r="H38" s="85"/>
      <c r="J38" s="81">
        <f>SUM(D38:H38)</f>
        <v>273300</v>
      </c>
    </row>
    <row r="39" spans="2:12" x14ac:dyDescent="0.3">
      <c r="B39" s="62"/>
      <c r="C39" s="64" t="s">
        <v>17</v>
      </c>
      <c r="D39" s="83">
        <f>SUM(D35:D38)</f>
        <v>613300</v>
      </c>
      <c r="E39" s="83">
        <f t="shared" ref="E39:H39" si="6">SUM(E35:E38)</f>
        <v>695000</v>
      </c>
      <c r="F39" s="83">
        <f t="shared" si="6"/>
        <v>870000</v>
      </c>
      <c r="G39" s="83">
        <f t="shared" si="6"/>
        <v>970000</v>
      </c>
      <c r="H39" s="83">
        <f t="shared" si="6"/>
        <v>520000</v>
      </c>
      <c r="J39" s="83">
        <f>SUM(J35:J38)</f>
        <v>3668300</v>
      </c>
    </row>
    <row r="40" spans="2:12" x14ac:dyDescent="0.3">
      <c r="B40" s="62"/>
      <c r="C40" s="65" t="s">
        <v>38</v>
      </c>
      <c r="D40" s="84" t="s">
        <v>31</v>
      </c>
      <c r="E40" s="66"/>
      <c r="F40" s="66"/>
      <c r="G40" s="66"/>
      <c r="H40" s="66"/>
      <c r="J40" s="81"/>
    </row>
    <row r="41" spans="2:12" ht="28.8" x14ac:dyDescent="0.3">
      <c r="B41" s="62"/>
      <c r="C41" s="63" t="s">
        <v>62</v>
      </c>
      <c r="D41" s="81">
        <v>300000</v>
      </c>
      <c r="E41" s="81">
        <v>300000</v>
      </c>
      <c r="F41" s="81">
        <v>240000</v>
      </c>
      <c r="G41" s="81">
        <v>180000</v>
      </c>
      <c r="H41" s="81">
        <v>180000</v>
      </c>
      <c r="I41" s="82">
        <v>375000</v>
      </c>
      <c r="J41" s="81">
        <f>SUM(D41:H41)</f>
        <v>1200000</v>
      </c>
    </row>
    <row r="42" spans="2:12" ht="28.8" x14ac:dyDescent="0.3">
      <c r="B42" s="62"/>
      <c r="C42" s="63" t="s">
        <v>63</v>
      </c>
      <c r="D42" s="81">
        <f>15000*6</f>
        <v>90000</v>
      </c>
      <c r="E42" s="81">
        <f>15000*6</f>
        <v>90000</v>
      </c>
      <c r="F42" s="81">
        <f>15000*6</f>
        <v>90000</v>
      </c>
      <c r="G42" s="81"/>
      <c r="H42" s="81"/>
      <c r="I42" s="82">
        <v>781250</v>
      </c>
      <c r="J42" s="81">
        <f>SUM(D42:H42)</f>
        <v>270000</v>
      </c>
    </row>
    <row r="43" spans="2:12" ht="28.8" x14ac:dyDescent="0.3">
      <c r="B43" s="62"/>
      <c r="C43" s="63" t="s">
        <v>86</v>
      </c>
      <c r="D43" s="81">
        <f>5000*6</f>
        <v>30000</v>
      </c>
      <c r="E43" s="81">
        <f>5000*6</f>
        <v>30000</v>
      </c>
      <c r="F43" s="81">
        <f>5000*6</f>
        <v>30000</v>
      </c>
      <c r="G43" s="81"/>
      <c r="H43" s="81"/>
      <c r="I43" s="82">
        <v>2083335</v>
      </c>
      <c r="J43" s="81">
        <f t="shared" ref="J43:J48" si="7">SUM(D43:H43)</f>
        <v>90000</v>
      </c>
    </row>
    <row r="44" spans="2:12" ht="28.8" x14ac:dyDescent="0.3">
      <c r="B44" s="62"/>
      <c r="C44" s="63" t="s">
        <v>64</v>
      </c>
      <c r="D44" s="81">
        <v>60000</v>
      </c>
      <c r="E44" s="81">
        <v>40000</v>
      </c>
      <c r="F44" s="81">
        <v>40000</v>
      </c>
      <c r="G44" s="81">
        <v>40000</v>
      </c>
      <c r="H44" s="81">
        <v>40000</v>
      </c>
      <c r="J44" s="81">
        <f t="shared" si="7"/>
        <v>220000</v>
      </c>
    </row>
    <row r="45" spans="2:12" ht="28.8" x14ac:dyDescent="0.3">
      <c r="B45" s="62"/>
      <c r="C45" s="63" t="s">
        <v>68</v>
      </c>
      <c r="D45" s="81">
        <f>2500*9</f>
        <v>22500</v>
      </c>
      <c r="E45" s="81">
        <f>2500*9</f>
        <v>22500</v>
      </c>
      <c r="F45" s="81"/>
      <c r="G45" s="81"/>
      <c r="H45" s="81"/>
      <c r="J45" s="81">
        <f t="shared" si="7"/>
        <v>45000</v>
      </c>
      <c r="L45" s="104"/>
    </row>
    <row r="46" spans="2:12" ht="28.8" x14ac:dyDescent="0.3">
      <c r="B46" s="62"/>
      <c r="C46" s="63" t="s">
        <v>69</v>
      </c>
      <c r="D46" s="81">
        <f>500*6</f>
        <v>3000</v>
      </c>
      <c r="E46" s="81">
        <f>500*6</f>
        <v>3000</v>
      </c>
      <c r="F46" s="81"/>
      <c r="G46" s="81"/>
      <c r="H46" s="81"/>
      <c r="J46" s="81">
        <f t="shared" si="7"/>
        <v>6000</v>
      </c>
    </row>
    <row r="47" spans="2:12" x14ac:dyDescent="0.3">
      <c r="B47" s="68"/>
      <c r="C47" s="64" t="s">
        <v>18</v>
      </c>
      <c r="D47" s="83">
        <f>SUM(D41:D46)</f>
        <v>505500</v>
      </c>
      <c r="E47" s="83">
        <f>SUM(E41:E46)</f>
        <v>485500</v>
      </c>
      <c r="F47" s="83">
        <f>SUM(F41:F46)</f>
        <v>400000</v>
      </c>
      <c r="G47" s="83">
        <f>SUM(G41:G46)</f>
        <v>220000</v>
      </c>
      <c r="H47" s="83">
        <f>SUM(H41:H46)</f>
        <v>220000</v>
      </c>
      <c r="I47" s="81"/>
      <c r="J47" s="83">
        <f>SUM(J41:J46)</f>
        <v>1831000</v>
      </c>
    </row>
    <row r="48" spans="2:12" x14ac:dyDescent="0.3">
      <c r="B48" s="68"/>
      <c r="C48" s="64" t="s">
        <v>19</v>
      </c>
      <c r="D48" s="83">
        <f>SUM(D47,D39,D33,D30,D27,D24,D20)</f>
        <v>2181394.12</v>
      </c>
      <c r="E48" s="83">
        <f>SUM(E47,E39,E33,E30,E27,E24,E20)</f>
        <v>2296223.8259999999</v>
      </c>
      <c r="F48" s="83">
        <f>SUM(F47,F39,F33,F30,F27,F24,F20)</f>
        <v>2441510.0172999999</v>
      </c>
      <c r="G48" s="83">
        <f>SUM(G47,G39,G33,G30,G27,G24,G20)</f>
        <v>2420085.5181650002</v>
      </c>
      <c r="H48" s="83">
        <f>SUM(H47,H39,H33,H30,H27,H24,H20)</f>
        <v>2031589.7940732501</v>
      </c>
      <c r="J48" s="83">
        <f t="shared" si="7"/>
        <v>11370803.275538251</v>
      </c>
    </row>
    <row r="49" spans="2:10" x14ac:dyDescent="0.3">
      <c r="B49" s="79" t="s">
        <v>39</v>
      </c>
      <c r="C49" s="70" t="s">
        <v>39</v>
      </c>
      <c r="D49" s="80"/>
      <c r="E49" s="80"/>
      <c r="F49" s="80"/>
      <c r="G49" s="80"/>
      <c r="H49" s="80"/>
      <c r="J49" s="80" t="s">
        <v>20</v>
      </c>
    </row>
    <row r="50" spans="2:10" ht="28.8" x14ac:dyDescent="0.3">
      <c r="B50" s="62"/>
      <c r="C50" s="63" t="s">
        <v>72</v>
      </c>
      <c r="D50" s="87">
        <f>0.1*(D48-(D35-25000)-(D36-25000)-(D37-25000)-(D38-25000))</f>
        <v>166809.41200000001</v>
      </c>
      <c r="E50" s="87">
        <f>0.1*(E48-(E35-25000)-(E36-25000)-(E37-25000))</f>
        <v>167622.38260000001</v>
      </c>
      <c r="F50" s="87">
        <f>0.1*(F48-F35-F36-F37)</f>
        <v>157151.00172999999</v>
      </c>
      <c r="G50" s="87">
        <f>0.1*(G48-G35-G36-G37)</f>
        <v>145008.55181650002</v>
      </c>
      <c r="H50" s="87">
        <f>0.1*(H48-H35-H36-H37)</f>
        <v>151158.97940732501</v>
      </c>
      <c r="J50" s="81">
        <f>SUM(D50:H50)</f>
        <v>787750.3275538251</v>
      </c>
    </row>
    <row r="51" spans="2:10" x14ac:dyDescent="0.3">
      <c r="B51" s="62"/>
      <c r="C51" s="63"/>
      <c r="D51" s="84"/>
      <c r="E51" s="66"/>
      <c r="F51" s="66"/>
      <c r="G51" s="66"/>
      <c r="H51" s="66"/>
      <c r="J51" s="81"/>
    </row>
    <row r="52" spans="2:10" ht="15" thickBot="1" x14ac:dyDescent="0.35">
      <c r="B52" s="68"/>
      <c r="C52" s="64" t="s">
        <v>21</v>
      </c>
      <c r="D52" s="83">
        <f>SUM(D50:D51)</f>
        <v>166809.41200000001</v>
      </c>
      <c r="E52" s="83">
        <f>SUM(E50:E51)</f>
        <v>167622.38260000001</v>
      </c>
      <c r="F52" s="83">
        <f t="shared" ref="F52:H52" si="8">SUM(F50:F51)</f>
        <v>157151.00172999999</v>
      </c>
      <c r="G52" s="83">
        <f t="shared" si="8"/>
        <v>145008.55181650002</v>
      </c>
      <c r="H52" s="83">
        <f t="shared" si="8"/>
        <v>151158.97940732501</v>
      </c>
      <c r="J52" s="83">
        <f t="shared" ref="J52" si="9">SUM(D52:H52)</f>
        <v>787750.3275538251</v>
      </c>
    </row>
    <row r="53" spans="2:10" s="72" customFormat="1" ht="15" thickBot="1" x14ac:dyDescent="0.35">
      <c r="B53" s="71"/>
      <c r="C53" s="71" t="s">
        <v>94</v>
      </c>
      <c r="D53" s="88">
        <f t="shared" ref="D53:J53" si="10">SUM(D52,D48)</f>
        <v>2348203.5320000001</v>
      </c>
      <c r="E53" s="88">
        <f t="shared" si="10"/>
        <v>2463846.2086</v>
      </c>
      <c r="F53" s="88">
        <f t="shared" si="10"/>
        <v>2598661.0190300001</v>
      </c>
      <c r="G53" s="88">
        <f t="shared" si="10"/>
        <v>2565094.0699815005</v>
      </c>
      <c r="H53" s="88">
        <f t="shared" si="10"/>
        <v>2182748.7734805751</v>
      </c>
      <c r="I53" s="43">
        <f t="shared" si="10"/>
        <v>0</v>
      </c>
      <c r="J53" s="88">
        <f t="shared" si="10"/>
        <v>12158553.603092076</v>
      </c>
    </row>
    <row r="54" spans="2:10" x14ac:dyDescent="0.3">
      <c r="B54" s="69"/>
    </row>
    <row r="55" spans="2:10" x14ac:dyDescent="0.3">
      <c r="B55" s="69"/>
    </row>
    <row r="56" spans="2:10" x14ac:dyDescent="0.3">
      <c r="B56" s="69"/>
    </row>
    <row r="57" spans="2:10" x14ac:dyDescent="0.3">
      <c r="B57" s="69"/>
    </row>
    <row r="58" spans="2:10" x14ac:dyDescent="0.3">
      <c r="B58" s="69"/>
    </row>
    <row r="59" spans="2:10" x14ac:dyDescent="0.3">
      <c r="B59" s="69"/>
    </row>
    <row r="60" spans="2:10" x14ac:dyDescent="0.3">
      <c r="B60" s="69"/>
    </row>
    <row r="61" spans="2:10" x14ac:dyDescent="0.3">
      <c r="B61" s="69"/>
    </row>
    <row r="62" spans="2:10" x14ac:dyDescent="0.3">
      <c r="B62" s="69"/>
    </row>
    <row r="63" spans="2:10" x14ac:dyDescent="0.3">
      <c r="B63" s="69"/>
    </row>
    <row r="64" spans="2:10" x14ac:dyDescent="0.3">
      <c r="B64" s="69"/>
    </row>
    <row r="65" spans="2:2" x14ac:dyDescent="0.3">
      <c r="B65" s="69"/>
    </row>
    <row r="66" spans="2:2" x14ac:dyDescent="0.3">
      <c r="B66" s="69"/>
    </row>
    <row r="67" spans="2:2" x14ac:dyDescent="0.3">
      <c r="B67" s="69"/>
    </row>
    <row r="68" spans="2:2" x14ac:dyDescent="0.3">
      <c r="B68" s="69"/>
    </row>
  </sheetData>
  <pageMargins left="0.7" right="0.7" top="0.75" bottom="0.75" header="0.3" footer="0.3"/>
  <pageSetup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E522A-782B-4F29-8DDF-8FD58973D56D}">
  <sheetPr>
    <tabColor theme="9" tint="0.39997558519241921"/>
    <pageSetUpPr fitToPage="1"/>
  </sheetPr>
  <dimension ref="B2:AM33"/>
  <sheetViews>
    <sheetView zoomScale="80" zoomScaleNormal="80" workbookViewId="0">
      <selection activeCell="D24" sqref="D24"/>
    </sheetView>
  </sheetViews>
  <sheetFormatPr defaultColWidth="9.109375" defaultRowHeight="14.4" x14ac:dyDescent="0.3"/>
  <cols>
    <col min="1" max="1" width="3.109375" style="43" customWidth="1"/>
    <col min="2" max="2" width="9.6640625" style="43" customWidth="1"/>
    <col min="3" max="3" width="49.109375" style="43" customWidth="1"/>
    <col min="4" max="4" width="12.88671875" style="69" customWidth="1"/>
    <col min="5" max="5" width="14.33203125" style="73" bestFit="1" customWidth="1"/>
    <col min="6" max="7" width="12.6640625" style="43" bestFit="1" customWidth="1"/>
    <col min="8" max="8" width="12.6640625" style="73" bestFit="1" customWidth="1"/>
    <col min="9" max="9" width="0.88671875" style="43" customWidth="1"/>
    <col min="10" max="10" width="14.44140625" style="43" customWidth="1"/>
    <col min="11" max="11" width="10.109375" style="43" customWidth="1"/>
    <col min="12" max="16384" width="9.109375" style="43"/>
  </cols>
  <sheetData>
    <row r="2" spans="2:39" ht="23.4" x14ac:dyDescent="0.45">
      <c r="B2" s="42" t="s">
        <v>29</v>
      </c>
    </row>
    <row r="3" spans="2:39" x14ac:dyDescent="0.3">
      <c r="B3" s="47" t="s">
        <v>40</v>
      </c>
    </row>
    <row r="4" spans="2:39" x14ac:dyDescent="0.3">
      <c r="B4" s="47"/>
    </row>
    <row r="5" spans="2:39" ht="18" x14ac:dyDescent="0.35">
      <c r="B5" s="48" t="s">
        <v>2</v>
      </c>
      <c r="C5" s="49"/>
      <c r="D5" s="49"/>
      <c r="E5" s="49"/>
      <c r="F5" s="49"/>
      <c r="G5" s="49"/>
      <c r="H5" s="49"/>
      <c r="I5" s="49"/>
      <c r="J5" s="74"/>
    </row>
    <row r="6" spans="2:39" ht="28.8" x14ac:dyDescent="0.3">
      <c r="B6" s="52" t="s">
        <v>3</v>
      </c>
      <c r="C6" s="52" t="s">
        <v>4</v>
      </c>
      <c r="D6" s="52" t="s">
        <v>5</v>
      </c>
      <c r="E6" s="75" t="s">
        <v>6</v>
      </c>
      <c r="F6" s="75" t="s">
        <v>7</v>
      </c>
      <c r="G6" s="75" t="s">
        <v>8</v>
      </c>
      <c r="H6" s="76" t="s">
        <v>9</v>
      </c>
      <c r="I6" s="77"/>
      <c r="J6" s="78" t="s">
        <v>10</v>
      </c>
    </row>
    <row r="7" spans="2:39" s="47" customFormat="1" x14ac:dyDescent="0.3">
      <c r="B7" s="79" t="s">
        <v>11</v>
      </c>
      <c r="C7" s="59" t="s">
        <v>30</v>
      </c>
      <c r="D7" s="66" t="s">
        <v>31</v>
      </c>
      <c r="E7" s="66" t="s">
        <v>31</v>
      </c>
      <c r="F7" s="66" t="s">
        <v>31</v>
      </c>
      <c r="G7" s="66"/>
      <c r="H7" s="66" t="s">
        <v>31</v>
      </c>
      <c r="I7" s="43"/>
      <c r="J7" s="80" t="s">
        <v>31</v>
      </c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</row>
    <row r="8" spans="2:39" x14ac:dyDescent="0.3">
      <c r="B8" s="62"/>
      <c r="C8" s="63" t="s">
        <v>91</v>
      </c>
      <c r="D8" s="81"/>
      <c r="E8" s="81">
        <v>18000</v>
      </c>
      <c r="F8" s="81">
        <v>18000</v>
      </c>
      <c r="G8" s="81">
        <v>18000</v>
      </c>
      <c r="H8" s="81">
        <v>18000</v>
      </c>
      <c r="J8" s="81">
        <f>SUM(D8:H8)</f>
        <v>72000</v>
      </c>
    </row>
    <row r="9" spans="2:39" x14ac:dyDescent="0.3">
      <c r="B9" s="62"/>
      <c r="C9" s="64" t="s">
        <v>12</v>
      </c>
      <c r="D9" s="83"/>
      <c r="E9" s="83">
        <f t="shared" ref="E9:H9" si="0">E8</f>
        <v>18000</v>
      </c>
      <c r="F9" s="83">
        <f t="shared" si="0"/>
        <v>18000</v>
      </c>
      <c r="G9" s="83">
        <f t="shared" si="0"/>
        <v>18000</v>
      </c>
      <c r="H9" s="83">
        <f t="shared" si="0"/>
        <v>18000</v>
      </c>
      <c r="I9" s="43">
        <f>SUM(I8:I8)</f>
        <v>0</v>
      </c>
      <c r="J9" s="83">
        <f>SUM(D9:H9)</f>
        <v>72000</v>
      </c>
    </row>
    <row r="10" spans="2:39" x14ac:dyDescent="0.3">
      <c r="B10" s="62"/>
      <c r="C10" s="65" t="s">
        <v>34</v>
      </c>
      <c r="D10" s="84"/>
      <c r="E10" s="66"/>
      <c r="F10" s="66"/>
      <c r="G10" s="66"/>
      <c r="H10" s="66"/>
      <c r="J10" s="81" t="s">
        <v>20</v>
      </c>
    </row>
    <row r="11" spans="2:39" ht="43.2" x14ac:dyDescent="0.3">
      <c r="B11" s="62" t="s">
        <v>35</v>
      </c>
      <c r="C11" s="63" t="s">
        <v>90</v>
      </c>
      <c r="D11" s="81">
        <v>100000</v>
      </c>
      <c r="E11" s="81"/>
      <c r="F11" s="81"/>
      <c r="G11" s="81"/>
      <c r="H11" s="81"/>
      <c r="J11" s="81">
        <f>SUM(D11:H11)</f>
        <v>100000</v>
      </c>
    </row>
    <row r="12" spans="2:39" x14ac:dyDescent="0.3">
      <c r="B12" s="62"/>
      <c r="C12" s="64" t="s">
        <v>15</v>
      </c>
      <c r="D12" s="86">
        <f>D11</f>
        <v>100000</v>
      </c>
      <c r="E12" s="86"/>
      <c r="F12" s="86"/>
      <c r="G12" s="86"/>
      <c r="H12" s="86"/>
      <c r="I12" s="43">
        <f t="shared" ref="I12" si="1">I11</f>
        <v>0</v>
      </c>
      <c r="J12" s="83">
        <f>J11</f>
        <v>100000</v>
      </c>
    </row>
    <row r="13" spans="2:39" x14ac:dyDescent="0.3">
      <c r="B13" s="62"/>
      <c r="C13" s="65" t="s">
        <v>38</v>
      </c>
      <c r="D13" s="84" t="s">
        <v>31</v>
      </c>
      <c r="E13" s="66"/>
      <c r="F13" s="66"/>
      <c r="G13" s="66"/>
      <c r="H13" s="66"/>
      <c r="J13" s="81"/>
    </row>
    <row r="14" spans="2:39" x14ac:dyDescent="0.3">
      <c r="B14" s="62"/>
      <c r="C14" s="63" t="s">
        <v>89</v>
      </c>
      <c r="D14" s="81">
        <v>75000</v>
      </c>
      <c r="E14" s="81"/>
      <c r="F14" s="81"/>
      <c r="G14" s="81"/>
      <c r="H14" s="81"/>
      <c r="I14" s="82">
        <v>375000</v>
      </c>
      <c r="J14" s="81">
        <f>SUM(D14:H14)</f>
        <v>75000</v>
      </c>
    </row>
    <row r="15" spans="2:39" x14ac:dyDescent="0.3">
      <c r="B15" s="68"/>
      <c r="C15" s="64" t="s">
        <v>18</v>
      </c>
      <c r="D15" s="83">
        <f>SUM(D14:D14)</f>
        <v>75000</v>
      </c>
      <c r="E15" s="83"/>
      <c r="F15" s="83"/>
      <c r="G15" s="83"/>
      <c r="H15" s="83"/>
      <c r="I15" s="81"/>
      <c r="J15" s="83">
        <f>SUM(J14:J14)</f>
        <v>75000</v>
      </c>
    </row>
    <row r="16" spans="2:39" x14ac:dyDescent="0.3">
      <c r="B16" s="68"/>
      <c r="C16" s="64" t="s">
        <v>19</v>
      </c>
      <c r="D16" s="83">
        <f>SUM(D15,D12,D9)</f>
        <v>175000</v>
      </c>
      <c r="E16" s="83">
        <f t="shared" ref="E16:H16" si="2">SUM(E15,E12,E9)</f>
        <v>18000</v>
      </c>
      <c r="F16" s="83">
        <f t="shared" si="2"/>
        <v>18000</v>
      </c>
      <c r="G16" s="83">
        <f t="shared" si="2"/>
        <v>18000</v>
      </c>
      <c r="H16" s="83">
        <f t="shared" si="2"/>
        <v>18000</v>
      </c>
      <c r="J16" s="83">
        <f>SUM(D16:H16)</f>
        <v>247000</v>
      </c>
    </row>
    <row r="17" spans="2:10" ht="15" thickBot="1" x14ac:dyDescent="0.35">
      <c r="B17" s="69"/>
      <c r="D17" s="43"/>
      <c r="E17" s="43"/>
      <c r="H17" s="43"/>
      <c r="J17" s="43" t="s">
        <v>20</v>
      </c>
    </row>
    <row r="18" spans="2:10" s="72" customFormat="1" ht="29.4" thickBot="1" x14ac:dyDescent="0.35">
      <c r="B18" s="71" t="s">
        <v>22</v>
      </c>
      <c r="C18" s="71"/>
      <c r="D18" s="88">
        <f>D16</f>
        <v>175000</v>
      </c>
      <c r="E18" s="88">
        <f t="shared" ref="E18:H18" si="3">E16</f>
        <v>18000</v>
      </c>
      <c r="F18" s="88">
        <f t="shared" si="3"/>
        <v>18000</v>
      </c>
      <c r="G18" s="88">
        <f t="shared" si="3"/>
        <v>18000</v>
      </c>
      <c r="H18" s="88">
        <f t="shared" si="3"/>
        <v>18000</v>
      </c>
      <c r="I18" s="43" t="e">
        <f>SUM(#REF!,I16)</f>
        <v>#REF!</v>
      </c>
      <c r="J18" s="88">
        <f>J16</f>
        <v>247000</v>
      </c>
    </row>
    <row r="19" spans="2:10" x14ac:dyDescent="0.3">
      <c r="B19" s="69"/>
    </row>
    <row r="20" spans="2:10" x14ac:dyDescent="0.3">
      <c r="B20" s="69"/>
    </row>
    <row r="21" spans="2:10" x14ac:dyDescent="0.3">
      <c r="B21" s="69"/>
    </row>
    <row r="22" spans="2:10" x14ac:dyDescent="0.3">
      <c r="B22" s="69"/>
    </row>
    <row r="23" spans="2:10" x14ac:dyDescent="0.3">
      <c r="B23" s="69"/>
    </row>
    <row r="24" spans="2:10" x14ac:dyDescent="0.3">
      <c r="B24" s="69"/>
    </row>
    <row r="25" spans="2:10" x14ac:dyDescent="0.3">
      <c r="B25" s="69"/>
    </row>
    <row r="26" spans="2:10" x14ac:dyDescent="0.3">
      <c r="B26" s="69"/>
    </row>
    <row r="27" spans="2:10" x14ac:dyDescent="0.3">
      <c r="B27" s="69"/>
      <c r="F27" s="91"/>
    </row>
    <row r="28" spans="2:10" x14ac:dyDescent="0.3">
      <c r="B28" s="69"/>
    </row>
    <row r="29" spans="2:10" x14ac:dyDescent="0.3">
      <c r="B29" s="69"/>
    </row>
    <row r="30" spans="2:10" x14ac:dyDescent="0.3">
      <c r="B30" s="69"/>
    </row>
    <row r="31" spans="2:10" x14ac:dyDescent="0.3">
      <c r="B31" s="69"/>
    </row>
    <row r="32" spans="2:10" x14ac:dyDescent="0.3">
      <c r="B32" s="69"/>
    </row>
    <row r="33" spans="2:2" x14ac:dyDescent="0.3">
      <c r="B33" s="69"/>
    </row>
  </sheetData>
  <pageMargins left="0.7" right="0.7" top="0.75" bottom="0.75" header="0.3" footer="0.3"/>
  <pageSetup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34C51A046FF548B8F37AB3816F7A7F" ma:contentTypeVersion="16" ma:contentTypeDescription="Create a new document." ma:contentTypeScope="" ma:versionID="36a1725469aec19c63e984cac18be0c6">
  <xsd:schema xmlns:xsd="http://www.w3.org/2001/XMLSchema" xmlns:xs="http://www.w3.org/2001/XMLSchema" xmlns:p="http://schemas.microsoft.com/office/2006/metadata/properties" xmlns:ns2="b58c24b0-871f-4695-981c-18577f2d9e32" xmlns:ns3="479aa468-c48d-41cd-b953-20b46e836ed7" targetNamespace="http://schemas.microsoft.com/office/2006/metadata/properties" ma:root="true" ma:fieldsID="0d2f5dbf8fd2627d41cf104a6c74c4ea" ns2:_="" ns3:_="">
    <xsd:import namespace="b58c24b0-871f-4695-981c-18577f2d9e32"/>
    <xsd:import namespace="479aa468-c48d-41cd-b953-20b46e836e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c24b0-871f-4695-981c-18577f2d9e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e6fa08e-94ad-4838-b240-0b9edb7c1f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9aa468-c48d-41cd-b953-20b46e836ed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5c427581-40a7-4682-b651-e3a459e8d73b}" ma:internalName="TaxCatchAll" ma:showField="CatchAllData" ma:web="479aa468-c48d-41cd-b953-20b46e836e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79aa468-c48d-41cd-b953-20b46e836ed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b58c24b0-871f-4695-981c-18577f2d9e32">
      <Terms xmlns="http://schemas.microsoft.com/office/infopath/2007/PartnerControls"/>
    </lcf76f155ced4ddcb4097134ff3c332f>
    <TaxCatchAll xmlns="479aa468-c48d-41cd-b953-20b46e836ed7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426EF409-7925-4FD7-BCD6-D3EA3A4938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8c24b0-871f-4695-981c-18577f2d9e32"/>
    <ds:schemaRef ds:uri="479aa468-c48d-41cd-b953-20b46e836e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  <ds:schemaRef ds:uri="479aa468-c48d-41cd-b953-20b46e836ed7"/>
    <ds:schemaRef ds:uri="b58c24b0-871f-4695-981c-18577f2d9e32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Consolidated Budget</vt:lpstr>
      <vt:lpstr>Measure 1.1.2 Budget</vt:lpstr>
      <vt:lpstr>Measure 1.2.3 Budget</vt:lpstr>
      <vt:lpstr>Sub-Recipient Budget - HOURCAR</vt:lpstr>
      <vt:lpstr>Sub-Recipient Budget - SPC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2024-04-01T20:18:33Z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0x0101004134C51A046FF548B8F37AB3816F7A7F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