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KSchreiner\Desktop\CPRG Submission 040124\"/>
    </mc:Choice>
  </mc:AlternateContent>
  <xr:revisionPtr revIDLastSave="0" documentId="13_ncr:1_{EB87191E-D76D-4837-9F0D-798E719183B8}" xr6:coauthVersionLast="47" xr6:coauthVersionMax="47" xr10:uidLastSave="{00000000-0000-0000-0000-000000000000}"/>
  <bookViews>
    <workbookView xWindow="-108" yWindow="-108" windowWidth="23256" windowHeight="14016" xr2:uid="{CDC8F8C8-BDB3-4221-8615-6742A3624FA2}"/>
  </bookViews>
  <sheets>
    <sheet name="Emissions calc's" sheetId="2" r:id="rId1"/>
    <sheet name="Tables" sheetId="4" r:id="rId2"/>
    <sheet name="EF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4" l="1"/>
  <c r="D3" i="4"/>
  <c r="D7" i="4"/>
  <c r="D4" i="4"/>
  <c r="D9" i="4"/>
  <c r="D8" i="4"/>
  <c r="C7" i="4"/>
  <c r="B7" i="4"/>
  <c r="C6" i="4"/>
  <c r="B6" i="4"/>
  <c r="D6" i="4" s="1"/>
  <c r="C5" i="4"/>
  <c r="B5" i="4"/>
  <c r="C4" i="4"/>
  <c r="B4" i="4"/>
  <c r="C3" i="4"/>
  <c r="B3" i="4"/>
  <c r="C2" i="4"/>
  <c r="B2" i="4"/>
  <c r="B47" i="2"/>
  <c r="I17" i="2" s="1"/>
  <c r="B44" i="2"/>
  <c r="B43" i="2"/>
  <c r="I4" i="2"/>
  <c r="J4" i="2" s="1"/>
  <c r="I5" i="2"/>
  <c r="J5" i="2" s="1"/>
  <c r="I6" i="2"/>
  <c r="J6" i="2" s="1"/>
  <c r="I3" i="2"/>
  <c r="J3" i="2" s="1"/>
  <c r="D19" i="3"/>
  <c r="C9" i="3"/>
  <c r="B8" i="3"/>
  <c r="B6" i="3"/>
  <c r="B4" i="3"/>
  <c r="G8" i="2"/>
  <c r="F9" i="2"/>
  <c r="B9" i="2"/>
  <c r="C8" i="2"/>
  <c r="G7" i="2"/>
  <c r="C4" i="2"/>
  <c r="C5" i="2"/>
  <c r="C6" i="2"/>
  <c r="C7" i="2"/>
  <c r="C3" i="2"/>
  <c r="H9" i="2"/>
  <c r="J20" i="2" l="1"/>
  <c r="I18" i="2"/>
  <c r="D8" i="2"/>
  <c r="E4" i="2"/>
  <c r="E8" i="2"/>
  <c r="E3" i="2"/>
  <c r="E6" i="2"/>
  <c r="E7" i="2"/>
  <c r="J8" i="2"/>
  <c r="G9" i="2"/>
  <c r="E5" i="2"/>
  <c r="J7" i="2"/>
  <c r="D4" i="2"/>
  <c r="D7" i="2"/>
  <c r="D5" i="2"/>
  <c r="D3" i="2"/>
  <c r="I7" i="2"/>
  <c r="D6" i="2"/>
  <c r="I8" i="2"/>
  <c r="C9" i="2"/>
  <c r="I19" i="2" l="1"/>
  <c r="C13" i="4" s="1"/>
  <c r="C12" i="4"/>
  <c r="J21" i="2"/>
  <c r="C15" i="4" s="1"/>
  <c r="C14" i="4"/>
  <c r="E9" i="2"/>
  <c r="E12" i="2" s="1"/>
  <c r="E13" i="2" s="1"/>
  <c r="J9" i="2"/>
  <c r="J12" i="2" s="1"/>
  <c r="I9" i="2"/>
  <c r="I10" i="2" s="1"/>
  <c r="D9" i="2"/>
  <c r="D10" i="2" s="1"/>
  <c r="D11" i="2" s="1"/>
  <c r="I11" i="2" l="1"/>
  <c r="D14" i="2"/>
  <c r="J13" i="2"/>
  <c r="E15" i="2"/>
</calcChain>
</file>

<file path=xl/sharedStrings.xml><?xml version="1.0" encoding="utf-8"?>
<sst xmlns="http://schemas.openxmlformats.org/spreadsheetml/2006/main" count="78" uniqueCount="69">
  <si>
    <t>All-electric MF units (Salt Lake City)</t>
  </si>
  <si>
    <t>Mixed fuel MF units (Salt Lake City)</t>
  </si>
  <si>
    <t>Energy end-use</t>
  </si>
  <si>
    <t>Electricity consumption (MMBtu/yr)</t>
  </si>
  <si>
    <t>Electricity consumption (kWh/yr)</t>
  </si>
  <si>
    <t>GHG emissions (kg CO2/yr) - average for 2025-2030</t>
  </si>
  <si>
    <t>GHG emissions (kg CO2/yr) - average for 2025-2050</t>
  </si>
  <si>
    <t>Fuel (gas) consumption (MMBtu/yr)</t>
  </si>
  <si>
    <t>Space heating</t>
  </si>
  <si>
    <t>Water heating</t>
  </si>
  <si>
    <t>Cooking</t>
  </si>
  <si>
    <t>Clothes dryer</t>
  </si>
  <si>
    <t>Space cooling</t>
  </si>
  <si>
    <t>Fans (air handling unit or mini-splits)</t>
  </si>
  <si>
    <t>Total annual energy consumption</t>
  </si>
  <si>
    <t>Total GHG emissions per unit for 2025-2030 (kg CO2)</t>
  </si>
  <si>
    <t>Total for 500 units (kg CO2)</t>
  </si>
  <si>
    <t>Total GHG emissions per unit for 2025-2050 (kg CO2)</t>
  </si>
  <si>
    <t>Percentage GHG emission reductions for all-electric vs. mixed fuel - 2025-2030</t>
  </si>
  <si>
    <t>Percentage GHG emission reductions for all-electric vs. mixed fuel - 2025-2050</t>
  </si>
  <si>
    <t>Nox emissions - annual (kg Nox/yr) - per unit</t>
  </si>
  <si>
    <t>Nox emissions - total for 2025-2030 (kg Nox) - per unit</t>
  </si>
  <si>
    <t>Total for 500 units (kg Nox)</t>
  </si>
  <si>
    <t>Nox emissions - total for 2025-2050 (kg Nox) - per unit</t>
  </si>
  <si>
    <t>Assumptions</t>
  </si>
  <si>
    <t>equipment for all-electric units:</t>
  </si>
  <si>
    <t>mini-split HPs, cold-climate: (12.5 HSPF, 25 SEER)</t>
  </si>
  <si>
    <t>HPWHs (3.0 UEF)</t>
  </si>
  <si>
    <t xml:space="preserve"> ER cooking (0.74 EF)</t>
  </si>
  <si>
    <t>ER clothes dryer (3.1 EF)</t>
  </si>
  <si>
    <t>equipment for mixed fuel units:</t>
  </si>
  <si>
    <t>gas furnace (80 AFUE)</t>
  </si>
  <si>
    <t>AC units (14 SEER)</t>
  </si>
  <si>
    <t>gas tank WH (0.63 UEF)</t>
  </si>
  <si>
    <t>gas stove (0.4 EF)</t>
  </si>
  <si>
    <t>gas clothes dryer (2.75 EF)</t>
  </si>
  <si>
    <t>number of units</t>
  </si>
  <si>
    <t>average square footage per unit</t>
  </si>
  <si>
    <t>Natural gas CO2 emission factor (kg CO2/MMBtu)</t>
  </si>
  <si>
    <t>Electricity CO2 emission factors (kg CO2e/MWh)</t>
  </si>
  <si>
    <t>average for 2025-2030</t>
  </si>
  <si>
    <t>average for 2025-2050</t>
  </si>
  <si>
    <t xml:space="preserve">Nox emission factor (lb Nox/million ft3)* </t>
  </si>
  <si>
    <t>lb Nox/MMBtu</t>
  </si>
  <si>
    <t>*for  residential gas furnace</t>
  </si>
  <si>
    <t>https://gaftp.epa.gov/ap42/ch01/s04/final/c01s04_oct1996.pdf</t>
  </si>
  <si>
    <t>gas heating value (MMBtu/mcf)</t>
  </si>
  <si>
    <t>assumed by EPA in its emission factor (see reference above)</t>
  </si>
  <si>
    <t>Emissions for All-electric vs. mixed fuel MF units</t>
  </si>
  <si>
    <t xml:space="preserve">All-Electric </t>
  </si>
  <si>
    <t>Mixed Fuel</t>
  </si>
  <si>
    <t>GHG emission reductions for all-electric (kg CO2e)</t>
  </si>
  <si>
    <t>Annual GHG emissions per unit 2025-2030 (kg CO2e/yr)</t>
  </si>
  <si>
    <t>Total GHG emissions per unit for 2025-2030 (kg CO2e)</t>
  </si>
  <si>
    <t>Total for 500 units (kg CO2e)</t>
  </si>
  <si>
    <t>Annual GHG emissions per unit 2025-2050 (kg CO2e/yr)</t>
  </si>
  <si>
    <t>Total GHG emissions per unit for 2025-2050 (kg CO2e)</t>
  </si>
  <si>
    <t>Percentage GHG emission reductions for all-electric - 2025-2030</t>
  </si>
  <si>
    <t>Percentage GHG emission reductions for all-electric - 2025-2050</t>
  </si>
  <si>
    <t xml:space="preserve">Local Air Pollutant (Nox) Emissions </t>
  </si>
  <si>
    <t xml:space="preserve">Annual Nox emissions (kg Nox/yr) </t>
  </si>
  <si>
    <t>Total Nox emissions for 2025-2030 (kg Nox)</t>
  </si>
  <si>
    <t>Total Nox emissions for 2025-2050 (kg Nox)</t>
  </si>
  <si>
    <t>Electricity Emission factors</t>
  </si>
  <si>
    <t>Annual emission rate - load (kg CO2e/MWh)</t>
  </si>
  <si>
    <t>Average emission rate for 2025-2030 (kg CO2e/MWh)</t>
  </si>
  <si>
    <t>Average emission rate for 2025-2050 (kg CO2e/MWh)</t>
  </si>
  <si>
    <t>Note: we calculated the values shown above for the odd years, to use for the short-term (2025-2030) average only. NREL only provides the values shown for the even years.</t>
  </si>
  <si>
    <t>Note: there is also an annual emission rate for the "average generation" in Utah, as opposed to for the "average load." We chose the rate for the average load because it is slightly higher, so more conservative.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</si>
</sst>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
    <numFmt numFmtId="167" formatCode="0.000"/>
  </numFmts>
  <fonts count="5" x14ac:knownFonts="1">
    <font>
      <sz val="11"/>
      <color theme="1"/>
      <name val="Aptos Narrow"/>
      <family val="2"/>
      <scheme val="minor"/>
    </font>
    <font>
      <b/>
      <sz val="11"/>
      <color theme="1"/>
      <name val="Aptos Narrow"/>
      <family val="2"/>
      <scheme val="minor"/>
    </font>
    <font>
      <sz val="8"/>
      <name val="Aptos Narrow"/>
      <family val="2"/>
      <scheme val="minor"/>
    </font>
    <font>
      <b/>
      <sz val="12"/>
      <color theme="1"/>
      <name val="Aptos Narrow"/>
      <family val="2"/>
      <scheme val="minor"/>
    </font>
    <font>
      <u/>
      <sz val="11"/>
      <color theme="10"/>
      <name val="Aptos Narrow"/>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20">
    <xf numFmtId="0" fontId="0" fillId="0" borderId="0" xfId="0"/>
    <xf numFmtId="0" fontId="1" fillId="0" borderId="0" xfId="0" applyFont="1"/>
    <xf numFmtId="0" fontId="0" fillId="0" borderId="0" xfId="0" applyAlignment="1">
      <alignment horizontal="center"/>
    </xf>
    <xf numFmtId="0" fontId="0" fillId="0" borderId="0" xfId="0" applyAlignment="1">
      <alignment wrapText="1"/>
    </xf>
    <xf numFmtId="3" fontId="0" fillId="0" borderId="0" xfId="0" applyNumberFormat="1" applyAlignment="1">
      <alignment horizontal="center"/>
    </xf>
    <xf numFmtId="3" fontId="1" fillId="0" borderId="0" xfId="0" applyNumberFormat="1" applyFont="1" applyAlignment="1">
      <alignment horizontal="center"/>
    </xf>
    <xf numFmtId="1" fontId="1" fillId="0" borderId="0" xfId="0" applyNumberFormat="1" applyFont="1" applyAlignment="1">
      <alignment horizontal="center"/>
    </xf>
    <xf numFmtId="2" fontId="0" fillId="0" borderId="0" xfId="0" applyNumberFormat="1"/>
    <xf numFmtId="164" fontId="1" fillId="0" borderId="0" xfId="0" applyNumberFormat="1" applyFont="1" applyAlignment="1">
      <alignment horizontal="center"/>
    </xf>
    <xf numFmtId="165" fontId="1" fillId="0" borderId="0" xfId="0" applyNumberFormat="1" applyFont="1" applyAlignment="1">
      <alignment horizontal="center"/>
    </xf>
    <xf numFmtId="165" fontId="0" fillId="0" borderId="0" xfId="0" applyNumberFormat="1" applyAlignment="1">
      <alignment horizontal="center"/>
    </xf>
    <xf numFmtId="1" fontId="0" fillId="0" borderId="0" xfId="0" applyNumberFormat="1"/>
    <xf numFmtId="1" fontId="0" fillId="0" borderId="0" xfId="0" applyNumberFormat="1" applyAlignment="1">
      <alignment horizontal="center"/>
    </xf>
    <xf numFmtId="0" fontId="1" fillId="0" borderId="0" xfId="0" applyFont="1" applyAlignment="1">
      <alignment wrapText="1"/>
    </xf>
    <xf numFmtId="166" fontId="1" fillId="0" borderId="0" xfId="0" applyNumberFormat="1" applyFont="1" applyAlignment="1">
      <alignment horizontal="center"/>
    </xf>
    <xf numFmtId="0" fontId="3" fillId="0" borderId="0" xfId="0" applyFont="1" applyAlignment="1">
      <alignment wrapText="1"/>
    </xf>
    <xf numFmtId="167" fontId="0" fillId="0" borderId="0" xfId="0" applyNumberFormat="1"/>
    <xf numFmtId="0" fontId="4" fillId="0" borderId="0" xfId="1"/>
    <xf numFmtId="0" fontId="1" fillId="0" borderId="0" xfId="0" applyFont="1" applyAlignment="1">
      <alignment horizontal="center"/>
    </xf>
    <xf numFmtId="0" fontId="1"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gaftp.epa.gov/ap42/ch01/s04/final/c01s04_oct1996.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4E651-709B-4D0D-92BA-4CFBEC595C90}">
  <dimension ref="A1:K52"/>
  <sheetViews>
    <sheetView tabSelected="1" workbookViewId="0"/>
  </sheetViews>
  <sheetFormatPr defaultColWidth="8.88671875" defaultRowHeight="14.4" x14ac:dyDescent="0.3"/>
  <cols>
    <col min="1" max="1" width="39.33203125" customWidth="1"/>
    <col min="2" max="2" width="20" customWidth="1"/>
    <col min="3" max="7" width="16" customWidth="1"/>
    <col min="8" max="8" width="17.6640625" customWidth="1"/>
    <col min="9" max="9" width="16.88671875" customWidth="1"/>
    <col min="10" max="10" width="14.44140625" customWidth="1"/>
  </cols>
  <sheetData>
    <row r="1" spans="1:11" x14ac:dyDescent="0.3">
      <c r="B1" s="19" t="s">
        <v>0</v>
      </c>
      <c r="C1" s="19"/>
      <c r="D1" s="18"/>
      <c r="E1" s="18"/>
      <c r="F1" s="19" t="s">
        <v>1</v>
      </c>
      <c r="G1" s="19"/>
      <c r="H1" s="19"/>
    </row>
    <row r="2" spans="1:11" ht="57.6" x14ac:dyDescent="0.3">
      <c r="A2" s="1" t="s">
        <v>2</v>
      </c>
      <c r="B2" s="3" t="s">
        <v>3</v>
      </c>
      <c r="C2" s="3" t="s">
        <v>4</v>
      </c>
      <c r="D2" s="3" t="s">
        <v>5</v>
      </c>
      <c r="E2" s="3" t="s">
        <v>6</v>
      </c>
      <c r="F2" s="3" t="s">
        <v>3</v>
      </c>
      <c r="G2" s="3" t="s">
        <v>4</v>
      </c>
      <c r="H2" s="3" t="s">
        <v>7</v>
      </c>
      <c r="I2" s="3" t="s">
        <v>5</v>
      </c>
      <c r="J2" s="3" t="s">
        <v>6</v>
      </c>
    </row>
    <row r="3" spans="1:11" x14ac:dyDescent="0.3">
      <c r="A3" t="s">
        <v>8</v>
      </c>
      <c r="B3" s="2">
        <v>5.3</v>
      </c>
      <c r="C3" s="4">
        <f>B3/3.412*1000</f>
        <v>1553.3411488862837</v>
      </c>
      <c r="D3" s="4">
        <f>C3*$B$43/1000</f>
        <v>836.008206330598</v>
      </c>
      <c r="E3" s="4">
        <f>C3*$B$44/1000</f>
        <v>491.88339796194435</v>
      </c>
      <c r="F3" s="2"/>
      <c r="G3" s="2"/>
      <c r="H3" s="2">
        <v>26.4</v>
      </c>
      <c r="I3" s="12">
        <f>H3*$B$41</f>
        <v>1400.7839999999999</v>
      </c>
      <c r="J3" s="12">
        <f>I3</f>
        <v>1400.7839999999999</v>
      </c>
      <c r="K3" s="7"/>
    </row>
    <row r="4" spans="1:11" x14ac:dyDescent="0.3">
      <c r="A4" t="s">
        <v>9</v>
      </c>
      <c r="B4" s="2">
        <v>3.1</v>
      </c>
      <c r="C4" s="4">
        <f t="shared" ref="C4:G8" si="0">B4/3.412*1000</f>
        <v>908.5580304806565</v>
      </c>
      <c r="D4" s="4">
        <f t="shared" ref="D4:D8" si="1">C4*$B$43/1000</f>
        <v>488.98593200468935</v>
      </c>
      <c r="E4" s="4">
        <f t="shared" ref="E4:E8" si="2">C4*$B$44/1000</f>
        <v>287.70538371359009</v>
      </c>
      <c r="F4" s="2"/>
      <c r="G4" s="2"/>
      <c r="H4" s="2">
        <v>14.9</v>
      </c>
      <c r="I4" s="12">
        <f t="shared" ref="I4:I6" si="3">H4*$B$41</f>
        <v>790.59400000000005</v>
      </c>
      <c r="J4" s="12">
        <f t="shared" ref="J4:J6" si="4">I4</f>
        <v>790.59400000000005</v>
      </c>
    </row>
    <row r="5" spans="1:11" x14ac:dyDescent="0.3">
      <c r="A5" t="s">
        <v>10</v>
      </c>
      <c r="B5" s="2">
        <v>2.2999999999999998</v>
      </c>
      <c r="C5" s="4">
        <f t="shared" si="0"/>
        <v>674.09144196951934</v>
      </c>
      <c r="D5" s="4">
        <f t="shared" si="1"/>
        <v>362.79601406799537</v>
      </c>
      <c r="E5" s="4">
        <f t="shared" si="2"/>
        <v>213.45883307782492</v>
      </c>
      <c r="F5" s="2"/>
      <c r="G5" s="2"/>
      <c r="H5" s="2">
        <v>4.3</v>
      </c>
      <c r="I5" s="12">
        <f t="shared" si="3"/>
        <v>228.15799999999999</v>
      </c>
      <c r="J5" s="12">
        <f t="shared" si="4"/>
        <v>228.15799999999999</v>
      </c>
    </row>
    <row r="6" spans="1:11" x14ac:dyDescent="0.3">
      <c r="A6" t="s">
        <v>11</v>
      </c>
      <c r="B6" s="2">
        <v>2.4</v>
      </c>
      <c r="C6" s="4">
        <f t="shared" si="0"/>
        <v>703.39976553341148</v>
      </c>
      <c r="D6" s="4">
        <f t="shared" si="1"/>
        <v>378.56975381008209</v>
      </c>
      <c r="E6" s="4">
        <f t="shared" si="2"/>
        <v>222.73965190729555</v>
      </c>
      <c r="F6" s="2"/>
      <c r="G6" s="2"/>
      <c r="H6" s="2">
        <v>3.8</v>
      </c>
      <c r="I6" s="12">
        <f t="shared" si="3"/>
        <v>201.62799999999999</v>
      </c>
      <c r="J6" s="12">
        <f t="shared" si="4"/>
        <v>201.62799999999999</v>
      </c>
    </row>
    <row r="7" spans="1:11" x14ac:dyDescent="0.3">
      <c r="A7" t="s">
        <v>12</v>
      </c>
      <c r="B7" s="2">
        <v>1.6</v>
      </c>
      <c r="C7" s="4">
        <f t="shared" si="0"/>
        <v>468.93317702227438</v>
      </c>
      <c r="D7" s="4">
        <f t="shared" si="1"/>
        <v>252.37983587338812</v>
      </c>
      <c r="E7" s="4">
        <f t="shared" si="2"/>
        <v>148.49310127153038</v>
      </c>
      <c r="F7" s="2">
        <v>2.7</v>
      </c>
      <c r="G7" s="4">
        <f t="shared" si="0"/>
        <v>791.32473622508803</v>
      </c>
      <c r="H7" s="2"/>
      <c r="I7" s="12">
        <f>G7*$B$43/1000</f>
        <v>425.89097303634242</v>
      </c>
      <c r="J7" s="12">
        <f>G7*$B$44/1000</f>
        <v>250.58210839570754</v>
      </c>
    </row>
    <row r="8" spans="1:11" x14ac:dyDescent="0.3">
      <c r="A8" t="s">
        <v>13</v>
      </c>
      <c r="B8" s="2">
        <v>0.3</v>
      </c>
      <c r="C8" s="4">
        <f t="shared" si="0"/>
        <v>87.924970691676435</v>
      </c>
      <c r="D8" s="4">
        <f t="shared" si="1"/>
        <v>47.321219226260261</v>
      </c>
      <c r="E8" s="4">
        <f t="shared" si="2"/>
        <v>27.842456488411944</v>
      </c>
      <c r="F8" s="2">
        <v>1.3</v>
      </c>
      <c r="G8" s="4">
        <f t="shared" si="0"/>
        <v>381.00820633059789</v>
      </c>
      <c r="H8" s="2"/>
      <c r="I8" s="12">
        <f>G8*$B$43/1000</f>
        <v>205.05861664712782</v>
      </c>
      <c r="J8" s="12">
        <f>G8*$B$44/1000</f>
        <v>120.65064478311842</v>
      </c>
    </row>
    <row r="9" spans="1:11" x14ac:dyDescent="0.3">
      <c r="A9" s="1" t="s">
        <v>14</v>
      </c>
      <c r="B9" s="8">
        <f>SUM(B3:B8)</f>
        <v>15</v>
      </c>
      <c r="C9" s="5">
        <f>SUM(C3:C8)</f>
        <v>4396.2485345838213</v>
      </c>
      <c r="D9" s="5">
        <f>SUM(D3:D8)</f>
        <v>2366.0609613130132</v>
      </c>
      <c r="E9" s="5">
        <f>SUM(E3:E8)</f>
        <v>1392.1228244205972</v>
      </c>
      <c r="F9" s="9">
        <f>SUM(F7:F8)</f>
        <v>4</v>
      </c>
      <c r="G9" s="6">
        <f>SUM(G7:G8)</f>
        <v>1172.3329425556858</v>
      </c>
      <c r="H9" s="18">
        <f>SUM(H3:H7)</f>
        <v>49.399999999999991</v>
      </c>
      <c r="I9" s="5">
        <f>SUM(I3:I8)</f>
        <v>3252.1135896834703</v>
      </c>
      <c r="J9" s="5">
        <f>SUM(J3:J8)</f>
        <v>2992.3967531788257</v>
      </c>
    </row>
    <row r="10" spans="1:11" ht="28.8" x14ac:dyDescent="0.3">
      <c r="A10" s="13" t="s">
        <v>15</v>
      </c>
      <c r="D10" s="5">
        <f>D9*6</f>
        <v>14196.36576787808</v>
      </c>
      <c r="I10" s="5">
        <f>I9*6</f>
        <v>19512.68153810082</v>
      </c>
      <c r="J10" s="5"/>
    </row>
    <row r="11" spans="1:11" x14ac:dyDescent="0.3">
      <c r="A11" s="13" t="s">
        <v>16</v>
      </c>
      <c r="D11" s="5">
        <f>D10*500</f>
        <v>7098182.8839390399</v>
      </c>
      <c r="I11" s="5">
        <f>I10*500</f>
        <v>9756340.76905041</v>
      </c>
      <c r="J11" s="5"/>
    </row>
    <row r="12" spans="1:11" ht="28.8" x14ac:dyDescent="0.3">
      <c r="A12" s="13" t="s">
        <v>17</v>
      </c>
      <c r="E12" s="5">
        <f>E9*26</f>
        <v>36195.193434935529</v>
      </c>
      <c r="J12" s="5">
        <f>J9*26</f>
        <v>77802.315582649462</v>
      </c>
    </row>
    <row r="13" spans="1:11" x14ac:dyDescent="0.3">
      <c r="A13" s="13" t="s">
        <v>16</v>
      </c>
      <c r="E13" s="5">
        <f>E12*500</f>
        <v>18097596.717467763</v>
      </c>
      <c r="J13" s="5">
        <f>J12*500</f>
        <v>38901157.791324735</v>
      </c>
    </row>
    <row r="14" spans="1:11" ht="28.8" x14ac:dyDescent="0.3">
      <c r="A14" s="13" t="s">
        <v>18</v>
      </c>
      <c r="D14" s="14">
        <f>(I10-D10)/I10</f>
        <v>0.2724543912553487</v>
      </c>
      <c r="E14" s="5"/>
      <c r="J14" s="5"/>
    </row>
    <row r="15" spans="1:11" ht="28.8" x14ac:dyDescent="0.3">
      <c r="A15" s="13" t="s">
        <v>19</v>
      </c>
      <c r="E15" s="14">
        <f>(J12-E12)/J12</f>
        <v>0.53477999769190232</v>
      </c>
      <c r="J15" s="5"/>
    </row>
    <row r="16" spans="1:11" x14ac:dyDescent="0.3">
      <c r="A16" s="13"/>
      <c r="E16" s="14"/>
      <c r="J16" s="5"/>
    </row>
    <row r="17" spans="1:10" x14ac:dyDescent="0.3">
      <c r="A17" s="13" t="s">
        <v>20</v>
      </c>
      <c r="E17" s="14"/>
      <c r="I17" s="10">
        <f>H3*B47/2.205</f>
        <v>112.54421768707482</v>
      </c>
      <c r="J17" s="5"/>
    </row>
    <row r="18" spans="1:10" ht="28.8" x14ac:dyDescent="0.3">
      <c r="A18" s="13" t="s">
        <v>21</v>
      </c>
      <c r="E18" s="14"/>
      <c r="I18" s="6">
        <f>I17*6</f>
        <v>675.26530612244892</v>
      </c>
      <c r="J18" s="5"/>
    </row>
    <row r="19" spans="1:10" x14ac:dyDescent="0.3">
      <c r="A19" s="13" t="s">
        <v>22</v>
      </c>
      <c r="E19" s="14"/>
      <c r="I19" s="5">
        <f>I18*500</f>
        <v>337632.65306122444</v>
      </c>
      <c r="J19" s="5"/>
    </row>
    <row r="20" spans="1:10" ht="28.8" x14ac:dyDescent="0.3">
      <c r="A20" s="13" t="s">
        <v>23</v>
      </c>
      <c r="E20" s="14"/>
      <c r="J20" s="5">
        <f>I17*26</f>
        <v>2926.1496598639451</v>
      </c>
    </row>
    <row r="21" spans="1:10" x14ac:dyDescent="0.3">
      <c r="A21" s="13" t="s">
        <v>22</v>
      </c>
      <c r="E21" s="14"/>
      <c r="J21" s="5">
        <f>J20*500</f>
        <v>1463074.8299319725</v>
      </c>
    </row>
    <row r="22" spans="1:10" x14ac:dyDescent="0.3">
      <c r="A22" s="13"/>
      <c r="E22" s="14"/>
      <c r="J22" s="5"/>
    </row>
    <row r="23" spans="1:10" x14ac:dyDescent="0.3">
      <c r="A23" s="1" t="s">
        <v>24</v>
      </c>
    </row>
    <row r="24" spans="1:10" x14ac:dyDescent="0.3">
      <c r="A24" t="s">
        <v>25</v>
      </c>
    </row>
    <row r="25" spans="1:10" x14ac:dyDescent="0.3">
      <c r="A25" t="s">
        <v>26</v>
      </c>
    </row>
    <row r="26" spans="1:10" x14ac:dyDescent="0.3">
      <c r="A26" t="s">
        <v>27</v>
      </c>
    </row>
    <row r="27" spans="1:10" x14ac:dyDescent="0.3">
      <c r="A27" t="s">
        <v>28</v>
      </c>
    </row>
    <row r="28" spans="1:10" x14ac:dyDescent="0.3">
      <c r="A28" t="s">
        <v>29</v>
      </c>
    </row>
    <row r="29" spans="1:10" x14ac:dyDescent="0.3">
      <c r="A29" t="s">
        <v>30</v>
      </c>
    </row>
    <row r="30" spans="1:10" x14ac:dyDescent="0.3">
      <c r="A30" t="s">
        <v>31</v>
      </c>
    </row>
    <row r="31" spans="1:10" x14ac:dyDescent="0.3">
      <c r="A31" t="s">
        <v>32</v>
      </c>
    </row>
    <row r="32" spans="1:10" x14ac:dyDescent="0.3">
      <c r="A32" t="s">
        <v>33</v>
      </c>
    </row>
    <row r="33" spans="1:2" x14ac:dyDescent="0.3">
      <c r="A33" t="s">
        <v>34</v>
      </c>
    </row>
    <row r="34" spans="1:2" x14ac:dyDescent="0.3">
      <c r="A34" t="s">
        <v>35</v>
      </c>
    </row>
    <row r="38" spans="1:2" x14ac:dyDescent="0.3">
      <c r="A38" t="s">
        <v>36</v>
      </c>
      <c r="B38">
        <v>500</v>
      </c>
    </row>
    <row r="39" spans="1:2" x14ac:dyDescent="0.3">
      <c r="A39" t="s">
        <v>37</v>
      </c>
      <c r="B39">
        <v>1200</v>
      </c>
    </row>
    <row r="41" spans="1:2" ht="28.8" x14ac:dyDescent="0.3">
      <c r="A41" s="3" t="s">
        <v>38</v>
      </c>
      <c r="B41">
        <v>53.06</v>
      </c>
    </row>
    <row r="42" spans="1:2" ht="28.8" x14ac:dyDescent="0.3">
      <c r="A42" s="3" t="s">
        <v>39</v>
      </c>
    </row>
    <row r="43" spans="1:2" x14ac:dyDescent="0.3">
      <c r="A43" t="s">
        <v>40</v>
      </c>
      <c r="B43" s="11">
        <f>EFs!C9</f>
        <v>538.20000000000005</v>
      </c>
    </row>
    <row r="44" spans="1:2" x14ac:dyDescent="0.3">
      <c r="A44" t="s">
        <v>41</v>
      </c>
      <c r="B44" s="11">
        <f>EFs!D19</f>
        <v>316.6615384615385</v>
      </c>
    </row>
    <row r="46" spans="1:2" x14ac:dyDescent="0.3">
      <c r="A46" t="s">
        <v>42</v>
      </c>
      <c r="B46">
        <v>94</v>
      </c>
    </row>
    <row r="47" spans="1:2" x14ac:dyDescent="0.3">
      <c r="A47" t="s">
        <v>43</v>
      </c>
      <c r="B47" s="7">
        <f>B46/B51/10</f>
        <v>9.4</v>
      </c>
    </row>
    <row r="48" spans="1:2" x14ac:dyDescent="0.3">
      <c r="A48" t="s">
        <v>44</v>
      </c>
    </row>
    <row r="49" spans="1:2" x14ac:dyDescent="0.3">
      <c r="A49" s="17" t="s">
        <v>45</v>
      </c>
    </row>
    <row r="51" spans="1:2" x14ac:dyDescent="0.3">
      <c r="A51" t="s">
        <v>46</v>
      </c>
      <c r="B51" s="16">
        <v>1</v>
      </c>
    </row>
    <row r="52" spans="1:2" x14ac:dyDescent="0.3">
      <c r="A52" t="s">
        <v>47</v>
      </c>
    </row>
  </sheetData>
  <mergeCells count="2">
    <mergeCell ref="B1:C1"/>
    <mergeCell ref="F1:H1"/>
  </mergeCells>
  <phoneticPr fontId="2" type="noConversion"/>
  <hyperlinks>
    <hyperlink ref="A49" r:id="rId1" xr:uid="{CE133AD7-0D4F-4C14-A764-21F252DC135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C8AD0-E03D-4FA1-B7DF-EE5479F60952}">
  <dimension ref="A1:D15"/>
  <sheetViews>
    <sheetView workbookViewId="0"/>
  </sheetViews>
  <sheetFormatPr defaultColWidth="8.88671875" defaultRowHeight="14.4" x14ac:dyDescent="0.3"/>
  <cols>
    <col min="1" max="1" width="32" customWidth="1"/>
    <col min="2" max="2" width="18.44140625" customWidth="1"/>
    <col min="3" max="3" width="18.6640625" customWidth="1"/>
    <col min="4" max="4" width="16.88671875" customWidth="1"/>
  </cols>
  <sheetData>
    <row r="1" spans="1:4" ht="43.2" x14ac:dyDescent="0.3">
      <c r="A1" s="15" t="s">
        <v>48</v>
      </c>
      <c r="B1" s="1" t="s">
        <v>49</v>
      </c>
      <c r="C1" s="1" t="s">
        <v>50</v>
      </c>
      <c r="D1" s="13" t="s">
        <v>51</v>
      </c>
    </row>
    <row r="2" spans="1:4" ht="28.8" x14ac:dyDescent="0.3">
      <c r="A2" s="3" t="s">
        <v>52</v>
      </c>
      <c r="B2" s="4">
        <f>'Emissions calc''s'!D9</f>
        <v>2366.0609613130132</v>
      </c>
      <c r="C2" s="4">
        <f>'Emissions calc''s'!I9</f>
        <v>3252.1135896834703</v>
      </c>
      <c r="D2" s="4"/>
    </row>
    <row r="3" spans="1:4" ht="28.8" x14ac:dyDescent="0.3">
      <c r="A3" s="3" t="s">
        <v>53</v>
      </c>
      <c r="B3" s="4">
        <f>'Emissions calc''s'!D10</f>
        <v>14196.36576787808</v>
      </c>
      <c r="C3" s="4">
        <f>'Emissions calc''s'!I10</f>
        <v>19512.68153810082</v>
      </c>
      <c r="D3" s="4">
        <f t="shared" ref="D3" si="0">C3-B3</f>
        <v>5316.31577022274</v>
      </c>
    </row>
    <row r="4" spans="1:4" x14ac:dyDescent="0.3">
      <c r="A4" t="s">
        <v>54</v>
      </c>
      <c r="B4" s="4">
        <f>'Emissions calc''s'!D11</f>
        <v>7098182.8839390399</v>
      </c>
      <c r="C4" s="4">
        <f>'Emissions calc''s'!I11</f>
        <v>9756340.76905041</v>
      </c>
      <c r="D4" s="4">
        <f>C4-B4</f>
        <v>2658157.8851113701</v>
      </c>
    </row>
    <row r="5" spans="1:4" ht="28.8" x14ac:dyDescent="0.3">
      <c r="A5" s="3" t="s">
        <v>55</v>
      </c>
      <c r="B5" s="4">
        <f>'Emissions calc''s'!E9</f>
        <v>1392.1228244205972</v>
      </c>
      <c r="C5" s="4">
        <f>'Emissions calc''s'!J9</f>
        <v>2992.3967531788257</v>
      </c>
      <c r="D5" s="4"/>
    </row>
    <row r="6" spans="1:4" ht="28.8" x14ac:dyDescent="0.3">
      <c r="A6" s="3" t="s">
        <v>56</v>
      </c>
      <c r="B6" s="4">
        <f>'Emissions calc''s'!E12</f>
        <v>36195.193434935529</v>
      </c>
      <c r="C6" s="4">
        <f>'Emissions calc''s'!J12</f>
        <v>77802.315582649462</v>
      </c>
      <c r="D6" s="4">
        <f t="shared" ref="D6:D7" si="1">C6-B6</f>
        <v>41607.122147713933</v>
      </c>
    </row>
    <row r="7" spans="1:4" ht="18.75" customHeight="1" x14ac:dyDescent="0.3">
      <c r="A7" s="3" t="s">
        <v>54</v>
      </c>
      <c r="B7" s="4">
        <f>'Emissions calc''s'!E13</f>
        <v>18097596.717467763</v>
      </c>
      <c r="C7" s="4">
        <f>'Emissions calc''s'!J13</f>
        <v>38901157.791324735</v>
      </c>
      <c r="D7" s="4">
        <f t="shared" si="1"/>
        <v>20803561.073856972</v>
      </c>
    </row>
    <row r="8" spans="1:4" ht="28.8" x14ac:dyDescent="0.3">
      <c r="A8" s="3" t="s">
        <v>57</v>
      </c>
      <c r="C8" s="4"/>
      <c r="D8" s="14">
        <f>'Emissions calc''s'!D14</f>
        <v>0.2724543912553487</v>
      </c>
    </row>
    <row r="9" spans="1:4" ht="28.8" x14ac:dyDescent="0.3">
      <c r="A9" s="3" t="s">
        <v>58</v>
      </c>
      <c r="C9" s="4"/>
      <c r="D9" s="14">
        <f>'Emissions calc''s'!E15</f>
        <v>0.53477999769190232</v>
      </c>
    </row>
    <row r="10" spans="1:4" ht="31.2" x14ac:dyDescent="0.3">
      <c r="A10" s="15" t="s">
        <v>59</v>
      </c>
      <c r="C10" s="4"/>
      <c r="D10" s="14"/>
    </row>
    <row r="11" spans="1:4" x14ac:dyDescent="0.3">
      <c r="A11" s="3" t="s">
        <v>60</v>
      </c>
      <c r="B11" s="2">
        <v>0</v>
      </c>
      <c r="C11" s="12">
        <f>'Emissions calc''s'!I17</f>
        <v>112.54421768707482</v>
      </c>
      <c r="D11" s="4"/>
    </row>
    <row r="12" spans="1:4" ht="28.8" x14ac:dyDescent="0.3">
      <c r="A12" s="3" t="s">
        <v>61</v>
      </c>
      <c r="B12" s="2">
        <v>0</v>
      </c>
      <c r="C12" s="12">
        <f>'Emissions calc''s'!I18</f>
        <v>675.26530612244892</v>
      </c>
      <c r="D12" s="4"/>
    </row>
    <row r="13" spans="1:4" x14ac:dyDescent="0.3">
      <c r="A13" s="3" t="s">
        <v>22</v>
      </c>
      <c r="B13" s="2">
        <v>0</v>
      </c>
      <c r="C13" s="4">
        <f>'Emissions calc''s'!I19</f>
        <v>337632.65306122444</v>
      </c>
      <c r="D13" s="4"/>
    </row>
    <row r="14" spans="1:4" ht="28.8" x14ac:dyDescent="0.3">
      <c r="A14" s="3" t="s">
        <v>62</v>
      </c>
      <c r="B14" s="2">
        <v>0</v>
      </c>
      <c r="C14" s="4">
        <f>'Emissions calc''s'!J20</f>
        <v>2926.1496598639451</v>
      </c>
      <c r="D14" s="4"/>
    </row>
    <row r="15" spans="1:4" x14ac:dyDescent="0.3">
      <c r="A15" s="3" t="s">
        <v>22</v>
      </c>
      <c r="B15" s="2">
        <v>0</v>
      </c>
      <c r="C15" s="4">
        <f>'Emissions calc''s'!J21</f>
        <v>1463074.8299319725</v>
      </c>
      <c r="D15"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05CB4-C03B-4ECA-A242-29E7C6A2FA9E}">
  <dimension ref="A1:D23"/>
  <sheetViews>
    <sheetView workbookViewId="0"/>
  </sheetViews>
  <sheetFormatPr defaultColWidth="8.88671875" defaultRowHeight="14.4" x14ac:dyDescent="0.3"/>
  <cols>
    <col min="2" max="2" width="17.6640625" customWidth="1"/>
    <col min="3" max="3" width="17.44140625" customWidth="1"/>
    <col min="4" max="4" width="18.44140625" customWidth="1"/>
    <col min="8" max="8" width="17.88671875" customWidth="1"/>
  </cols>
  <sheetData>
    <row r="1" spans="1:4" x14ac:dyDescent="0.3">
      <c r="A1" t="s">
        <v>63</v>
      </c>
    </row>
    <row r="2" spans="1:4" ht="43.2" x14ac:dyDescent="0.3">
      <c r="B2" s="3" t="s">
        <v>64</v>
      </c>
      <c r="C2" s="3" t="s">
        <v>65</v>
      </c>
      <c r="D2" s="3" t="s">
        <v>66</v>
      </c>
    </row>
    <row r="3" spans="1:4" x14ac:dyDescent="0.3">
      <c r="A3">
        <v>2024</v>
      </c>
      <c r="B3" s="2">
        <v>516.5</v>
      </c>
    </row>
    <row r="4" spans="1:4" x14ac:dyDescent="0.3">
      <c r="A4">
        <v>2025</v>
      </c>
      <c r="B4" s="10">
        <f>(B3+B5)/2</f>
        <v>550.35</v>
      </c>
    </row>
    <row r="5" spans="1:4" x14ac:dyDescent="0.3">
      <c r="A5">
        <v>2026</v>
      </c>
      <c r="B5" s="10">
        <v>584.20000000000005</v>
      </c>
    </row>
    <row r="6" spans="1:4" x14ac:dyDescent="0.3">
      <c r="A6">
        <v>2027</v>
      </c>
      <c r="B6" s="10">
        <f>(B5+B7)/2</f>
        <v>559.40000000000009</v>
      </c>
    </row>
    <row r="7" spans="1:4" x14ac:dyDescent="0.3">
      <c r="A7">
        <v>2028</v>
      </c>
      <c r="B7" s="10">
        <v>534.6</v>
      </c>
    </row>
    <row r="8" spans="1:4" x14ac:dyDescent="0.3">
      <c r="A8">
        <v>2029</v>
      </c>
      <c r="B8" s="10">
        <f>(B7+B9)/2</f>
        <v>511.75</v>
      </c>
    </row>
    <row r="9" spans="1:4" x14ac:dyDescent="0.3">
      <c r="A9">
        <v>2030</v>
      </c>
      <c r="B9" s="2">
        <v>488.9</v>
      </c>
      <c r="C9" s="9">
        <f>SUM(B4:B9)/6</f>
        <v>538.20000000000005</v>
      </c>
    </row>
    <row r="10" spans="1:4" x14ac:dyDescent="0.3">
      <c r="A10">
        <v>2032</v>
      </c>
      <c r="B10" s="2">
        <v>476.2</v>
      </c>
    </row>
    <row r="11" spans="1:4" x14ac:dyDescent="0.3">
      <c r="A11">
        <v>2034</v>
      </c>
      <c r="B11" s="2">
        <v>461.2</v>
      </c>
    </row>
    <row r="12" spans="1:4" x14ac:dyDescent="0.3">
      <c r="A12">
        <v>2036</v>
      </c>
      <c r="B12" s="2">
        <v>444.3</v>
      </c>
    </row>
    <row r="13" spans="1:4" x14ac:dyDescent="0.3">
      <c r="A13">
        <v>2038</v>
      </c>
      <c r="B13" s="2">
        <v>389.3</v>
      </c>
    </row>
    <row r="14" spans="1:4" x14ac:dyDescent="0.3">
      <c r="A14">
        <v>2040</v>
      </c>
      <c r="B14" s="2">
        <v>327</v>
      </c>
    </row>
    <row r="15" spans="1:4" x14ac:dyDescent="0.3">
      <c r="A15">
        <v>2042</v>
      </c>
      <c r="B15" s="2">
        <v>200.3</v>
      </c>
    </row>
    <row r="16" spans="1:4" x14ac:dyDescent="0.3">
      <c r="A16">
        <v>2044</v>
      </c>
      <c r="B16" s="2">
        <v>78.099999999999994</v>
      </c>
    </row>
    <row r="17" spans="1:4" x14ac:dyDescent="0.3">
      <c r="A17">
        <v>2046</v>
      </c>
      <c r="B17" s="2">
        <v>67</v>
      </c>
    </row>
    <row r="18" spans="1:4" x14ac:dyDescent="0.3">
      <c r="A18">
        <v>2048</v>
      </c>
      <c r="B18" s="2">
        <v>46.6</v>
      </c>
    </row>
    <row r="19" spans="1:4" x14ac:dyDescent="0.3">
      <c r="A19">
        <v>2050</v>
      </c>
      <c r="B19" s="2">
        <v>18.899999999999999</v>
      </c>
      <c r="D19" s="9">
        <f>(B5+B7+B9+SUM(B10:B19))/13</f>
        <v>316.6615384615385</v>
      </c>
    </row>
    <row r="22" spans="1:4" x14ac:dyDescent="0.3">
      <c r="A22" t="s">
        <v>67</v>
      </c>
    </row>
    <row r="23" spans="1:4" x14ac:dyDescent="0.3">
      <c r="A23" t="s">
        <v>68</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D206292BCE71A44AEDC60B256DFFEA3" ma:contentTypeVersion="4" ma:contentTypeDescription="Create a new document." ma:contentTypeScope="" ma:versionID="0a78bb5ee8e99c90b2b8fd06858ac036">
  <xsd:schema xmlns:xsd="http://www.w3.org/2001/XMLSchema" xmlns:xs="http://www.w3.org/2001/XMLSchema" xmlns:p="http://schemas.microsoft.com/office/2006/metadata/properties" xmlns:ns2="5901e8a1-2673-4c7a-b6d2-02f7266f9d66" targetNamespace="http://schemas.microsoft.com/office/2006/metadata/properties" ma:root="true" ma:fieldsID="6f5ddd7e3a73e95ff8b3dd9981c41b5a" ns2:_="">
    <xsd:import namespace="5901e8a1-2673-4c7a-b6d2-02f7266f9d6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01e8a1-2673-4c7a-b6d2-02f7266f9d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9A14B6F-9EAC-4EE4-9F0D-38CDE44806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901e8a1-2673-4c7a-b6d2-02f7266f9d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2DADCB0-C4FC-49FB-881A-C3C44861939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8E165D7-DD4D-47A4-AB59-07B0AC366C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Emissions calc's</vt:lpstr>
      <vt:lpstr>Tables</vt:lpstr>
      <vt:lpstr>EFs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Neil Kolwey</dc:creator>
  <cp:keywords/>
  <dc:description/>
  <cp:lastModifiedBy>Kristin Schreiner</cp:lastModifiedBy>
  <cp:revision/>
  <dcterms:created xsi:type="dcterms:W3CDTF">2024-03-12T16:15:11Z</dcterms:created>
  <dcterms:modified xsi:type="dcterms:W3CDTF">2024-03-29T17:27:35Z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0x0101008D206292BCE71A44AEDC60B256DFFEA3</vt:lpwstr>
  </property>
</Properties>
</file>