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14"/>
  <workbookPr filterPrivacy="1" codeName="ThisWorkbook" defaultThemeVersion="166925"/>
  <xr:revisionPtr revIDLastSave="179" documentId="8_{F1B45136-B8BA-4AF0-8969-A04E4AAE9821}" xr6:coauthVersionLast="47" xr6:coauthVersionMax="47" xr10:uidLastSave="{622C2A7F-4085-4C73-9AD3-DC762680D20C}"/>
  <bookViews>
    <workbookView xWindow="14235" yWindow="-16320" windowWidth="29040" windowHeight="15720" tabRatio="979" firstSheet="1" activeTab="1" xr2:uid="{AAC398A2-E95D-4231-A920-55B8B1C73F3F}"/>
  </bookViews>
  <sheets>
    <sheet name="Overview" sheetId="26" r:id="rId1"/>
    <sheet name="Consolidated Budget" sheetId="30" r:id="rId2"/>
    <sheet name="Measure 1 Budget-NOT USED" sheetId="16" r:id="rId3"/>
    <sheet name="Measure 2 Budget" sheetId="27" r:id="rId4"/>
    <sheet name="Measure 3 Budget-NOT USED" sheetId="28" r:id="rId5"/>
    <sheet name="Measure 4 Budget" sheetId="29" r:id="rId6"/>
    <sheet name="Measure 5 Budget-NOT USED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Budget-NOT USED'!#REF!</definedName>
    <definedName name="_xlnm._FilterDatabase" localSheetId="3" hidden="1">'Measure 2 Budget'!#REF!</definedName>
    <definedName name="_xlnm._FilterDatabase" localSheetId="4" hidden="1">'Measure 3 Budget-NOT USED'!#REF!</definedName>
    <definedName name="_xlnm._FilterDatabase" localSheetId="5" hidden="1">'Measure 4 Budget'!#REF!</definedName>
    <definedName name="_xlnm._FilterDatabase" localSheetId="6" hidden="1">'Measure 5 Budget-NOT USED'!#REF!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7" i="29" l="1"/>
  <c r="D64" i="29"/>
  <c r="H10" i="30"/>
  <c r="G10" i="30"/>
  <c r="F10" i="30"/>
  <c r="D10" i="30"/>
  <c r="J9" i="30"/>
  <c r="J52" i="27"/>
  <c r="J64" i="27" l="1"/>
  <c r="J65" i="27"/>
  <c r="D150" i="27" l="1"/>
  <c r="E37" i="27" l="1"/>
  <c r="D37" i="27"/>
  <c r="D153" i="27" l="1"/>
  <c r="J144" i="27"/>
  <c r="J89" i="27" l="1"/>
  <c r="J9" i="27"/>
  <c r="J10" i="27"/>
  <c r="D86" i="27" l="1"/>
  <c r="H71" i="27"/>
  <c r="G71" i="27"/>
  <c r="F71" i="27"/>
  <c r="E71" i="27"/>
  <c r="E10" i="30" s="1"/>
  <c r="J10" i="30" s="1"/>
  <c r="J38" i="27"/>
  <c r="J36" i="27"/>
  <c r="E120" i="27"/>
  <c r="F120" i="27" s="1"/>
  <c r="G120" i="27" s="1"/>
  <c r="H120" i="27" s="1"/>
  <c r="E119" i="27"/>
  <c r="F119" i="27" s="1"/>
  <c r="G119" i="27" s="1"/>
  <c r="H119" i="27" s="1"/>
  <c r="F118" i="27"/>
  <c r="D118" i="27"/>
  <c r="J118" i="27" s="1"/>
  <c r="J121" i="27"/>
  <c r="J117" i="27"/>
  <c r="E93" i="27"/>
  <c r="F93" i="27" s="1"/>
  <c r="D92" i="27"/>
  <c r="E91" i="27"/>
  <c r="E74" i="27"/>
  <c r="F74" i="27" s="1"/>
  <c r="J75" i="27"/>
  <c r="J73" i="27"/>
  <c r="D56" i="27"/>
  <c r="J56" i="27" s="1"/>
  <c r="D55" i="27"/>
  <c r="J55" i="27" s="1"/>
  <c r="J54" i="27"/>
  <c r="D46" i="27"/>
  <c r="E46" i="27" s="1"/>
  <c r="F46" i="27" s="1"/>
  <c r="G46" i="27" s="1"/>
  <c r="H46" i="27" s="1"/>
  <c r="E13" i="27"/>
  <c r="F13" i="27" s="1"/>
  <c r="G13" i="27" s="1"/>
  <c r="H13" i="27" s="1"/>
  <c r="D12" i="27"/>
  <c r="F37" i="27" l="1"/>
  <c r="G37" i="27" s="1"/>
  <c r="H37" i="27" s="1"/>
  <c r="E92" i="27"/>
  <c r="F92" i="27" s="1"/>
  <c r="F91" i="27"/>
  <c r="E12" i="27"/>
  <c r="E150" i="27"/>
  <c r="J119" i="27"/>
  <c r="J120" i="27"/>
  <c r="G93" i="27"/>
  <c r="H93" i="27" s="1"/>
  <c r="G92" i="27"/>
  <c r="H92" i="27" s="1"/>
  <c r="J92" i="27"/>
  <c r="G74" i="27"/>
  <c r="E32" i="27"/>
  <c r="J46" i="27"/>
  <c r="D32" i="27"/>
  <c r="J13" i="27"/>
  <c r="F150" i="27" l="1"/>
  <c r="E153" i="27"/>
  <c r="J37" i="27"/>
  <c r="G91" i="27"/>
  <c r="F12" i="27"/>
  <c r="H74" i="27"/>
  <c r="D146" i="27"/>
  <c r="E146" i="27" s="1"/>
  <c r="J93" i="27"/>
  <c r="G150" i="27" l="1"/>
  <c r="F153" i="27"/>
  <c r="H91" i="27"/>
  <c r="J91" i="27"/>
  <c r="G12" i="27"/>
  <c r="F32" i="27"/>
  <c r="J74" i="27"/>
  <c r="F146" i="27"/>
  <c r="D27" i="30"/>
  <c r="D25" i="30"/>
  <c r="D23" i="30"/>
  <c r="H113" i="27"/>
  <c r="G113" i="27"/>
  <c r="F113" i="27"/>
  <c r="E113" i="27"/>
  <c r="D113" i="27"/>
  <c r="J112" i="27"/>
  <c r="J27" i="27"/>
  <c r="J136" i="27"/>
  <c r="J134" i="27"/>
  <c r="J135" i="27"/>
  <c r="J137" i="27"/>
  <c r="J138" i="27"/>
  <c r="J105" i="27"/>
  <c r="J106" i="27"/>
  <c r="J107" i="27"/>
  <c r="J108" i="27"/>
  <c r="J69" i="27"/>
  <c r="J68" i="27"/>
  <c r="J67" i="27"/>
  <c r="J71" i="27" s="1"/>
  <c r="J66" i="27"/>
  <c r="J20" i="27"/>
  <c r="J21" i="27"/>
  <c r="J22" i="27"/>
  <c r="J23" i="27"/>
  <c r="J24" i="27"/>
  <c r="J25" i="27"/>
  <c r="J28" i="27"/>
  <c r="J29" i="27" l="1"/>
  <c r="H150" i="27"/>
  <c r="H153" i="27" s="1"/>
  <c r="G153" i="27"/>
  <c r="H12" i="27"/>
  <c r="G32" i="27"/>
  <c r="G146" i="27"/>
  <c r="J113" i="27"/>
  <c r="J80" i="27"/>
  <c r="J81" i="27"/>
  <c r="J82" i="27"/>
  <c r="J83" i="27"/>
  <c r="J84" i="27"/>
  <c r="J63" i="27"/>
  <c r="J70" i="27"/>
  <c r="J78" i="27"/>
  <c r="E79" i="27"/>
  <c r="E130" i="27"/>
  <c r="F130" i="27" s="1"/>
  <c r="G130" i="27" s="1"/>
  <c r="H130" i="27" s="1"/>
  <c r="E129" i="27"/>
  <c r="F128" i="27"/>
  <c r="D128" i="27"/>
  <c r="D139" i="27" s="1"/>
  <c r="E102" i="27"/>
  <c r="F102" i="27" s="1"/>
  <c r="G102" i="27" s="1"/>
  <c r="H102" i="27" s="1"/>
  <c r="D101" i="27"/>
  <c r="E101" i="27" s="1"/>
  <c r="F101" i="27" s="1"/>
  <c r="G101" i="27" s="1"/>
  <c r="H101" i="27" s="1"/>
  <c r="E100" i="27"/>
  <c r="F100" i="27" s="1"/>
  <c r="G100" i="27" s="1"/>
  <c r="H100" i="27" s="1"/>
  <c r="D62" i="27"/>
  <c r="J62" i="27" s="1"/>
  <c r="D61" i="27"/>
  <c r="D50" i="27"/>
  <c r="E19" i="27"/>
  <c r="F19" i="27" s="1"/>
  <c r="G19" i="27" s="1"/>
  <c r="H19" i="27" s="1"/>
  <c r="D18" i="27"/>
  <c r="J150" i="27" l="1"/>
  <c r="E18" i="27"/>
  <c r="F18" i="27" s="1"/>
  <c r="G18" i="27" s="1"/>
  <c r="H18" i="27" s="1"/>
  <c r="D29" i="27"/>
  <c r="H32" i="27"/>
  <c r="J32" i="27" s="1"/>
  <c r="J12" i="27"/>
  <c r="F129" i="27"/>
  <c r="G129" i="27" s="1"/>
  <c r="E139" i="27"/>
  <c r="E50" i="27"/>
  <c r="F50" i="27" s="1"/>
  <c r="G50" i="27" s="1"/>
  <c r="H50" i="27" s="1"/>
  <c r="D52" i="27"/>
  <c r="J61" i="27"/>
  <c r="D71" i="27"/>
  <c r="F79" i="27"/>
  <c r="E86" i="27"/>
  <c r="H146" i="27"/>
  <c r="H129" i="27" l="1"/>
  <c r="H139" i="27" s="1"/>
  <c r="G139" i="27"/>
  <c r="F139" i="27"/>
  <c r="G79" i="27"/>
  <c r="F86" i="27"/>
  <c r="J146" i="27"/>
  <c r="H79" i="27" l="1"/>
  <c r="H86" i="27" s="1"/>
  <c r="G86" i="27"/>
  <c r="J79" i="27"/>
  <c r="H13" i="30"/>
  <c r="G13" i="30"/>
  <c r="F13" i="30"/>
  <c r="E13" i="30"/>
  <c r="D9" i="30"/>
  <c r="D35" i="27"/>
  <c r="D34" i="27"/>
  <c r="J126" i="27"/>
  <c r="J125" i="27"/>
  <c r="J124" i="27"/>
  <c r="J139" i="27" s="1"/>
  <c r="J123" i="27"/>
  <c r="J96" i="27"/>
  <c r="J97" i="27"/>
  <c r="J98" i="27"/>
  <c r="J99" i="27"/>
  <c r="J100" i="27"/>
  <c r="J101" i="27"/>
  <c r="J102" i="27"/>
  <c r="J103" i="27"/>
  <c r="J104" i="27"/>
  <c r="J109" i="27"/>
  <c r="J110" i="27"/>
  <c r="D115" i="27"/>
  <c r="J77" i="27"/>
  <c r="J86" i="27" s="1"/>
  <c r="E48" i="27"/>
  <c r="J19" i="27"/>
  <c r="J18" i="27"/>
  <c r="J17" i="27"/>
  <c r="E16" i="27"/>
  <c r="F16" i="27" s="1"/>
  <c r="G16" i="27" s="1"/>
  <c r="H16" i="27" s="1"/>
  <c r="H35" i="27" s="1"/>
  <c r="E15" i="27"/>
  <c r="I71" i="29"/>
  <c r="H69" i="29"/>
  <c r="G69" i="29"/>
  <c r="F69" i="29"/>
  <c r="J68" i="29"/>
  <c r="H63" i="29"/>
  <c r="H64" i="29" s="1"/>
  <c r="G63" i="29"/>
  <c r="G64" i="29" s="1"/>
  <c r="F63" i="29"/>
  <c r="F64" i="29" s="1"/>
  <c r="E63" i="29"/>
  <c r="D63" i="29"/>
  <c r="J62" i="29"/>
  <c r="J61" i="29"/>
  <c r="J60" i="29"/>
  <c r="J63" i="29" s="1"/>
  <c r="J59" i="29"/>
  <c r="J58" i="29"/>
  <c r="J57" i="29"/>
  <c r="H55" i="29"/>
  <c r="G55" i="29"/>
  <c r="F55" i="29"/>
  <c r="E55" i="29"/>
  <c r="J54" i="29"/>
  <c r="J53" i="29"/>
  <c r="J52" i="29"/>
  <c r="J51" i="29"/>
  <c r="D55" i="29"/>
  <c r="J49" i="29"/>
  <c r="J48" i="29"/>
  <c r="J47" i="29"/>
  <c r="J46" i="29"/>
  <c r="J44" i="29"/>
  <c r="J43" i="29"/>
  <c r="J42" i="29"/>
  <c r="J41" i="29"/>
  <c r="H38" i="29"/>
  <c r="G38" i="29"/>
  <c r="F38" i="29"/>
  <c r="E38" i="29"/>
  <c r="D38" i="29"/>
  <c r="J37" i="29"/>
  <c r="J38" i="29" s="1"/>
  <c r="J36" i="29"/>
  <c r="H34" i="29"/>
  <c r="G34" i="29"/>
  <c r="F34" i="29"/>
  <c r="J33" i="29"/>
  <c r="D32" i="29"/>
  <c r="J32" i="29" s="1"/>
  <c r="D31" i="29"/>
  <c r="J31" i="29" s="1"/>
  <c r="E30" i="29"/>
  <c r="E34" i="29" s="1"/>
  <c r="D30" i="29"/>
  <c r="J30" i="29" s="1"/>
  <c r="J29" i="29"/>
  <c r="H27" i="29"/>
  <c r="G27" i="29"/>
  <c r="F27" i="29"/>
  <c r="E27" i="29"/>
  <c r="D27" i="29"/>
  <c r="J26" i="29"/>
  <c r="J27" i="29" s="1"/>
  <c r="I24" i="29"/>
  <c r="H24" i="29"/>
  <c r="G24" i="29"/>
  <c r="F24" i="29"/>
  <c r="E24" i="29"/>
  <c r="D24" i="29"/>
  <c r="J23" i="29"/>
  <c r="J22" i="29"/>
  <c r="J21" i="29"/>
  <c r="J20" i="29"/>
  <c r="J19" i="29"/>
  <c r="J18" i="29"/>
  <c r="I15" i="29"/>
  <c r="H15" i="29"/>
  <c r="G15" i="29"/>
  <c r="F15" i="29"/>
  <c r="J14" i="29"/>
  <c r="J13" i="29"/>
  <c r="J12" i="29"/>
  <c r="E15" i="29"/>
  <c r="J11" i="29"/>
  <c r="J10" i="29"/>
  <c r="D15" i="29"/>
  <c r="D7" i="30" s="1"/>
  <c r="J9" i="29"/>
  <c r="J55" i="29" l="1"/>
  <c r="J24" i="29"/>
  <c r="J13" i="30"/>
  <c r="F15" i="27"/>
  <c r="F34" i="27" s="1"/>
  <c r="E29" i="27"/>
  <c r="E7" i="30" s="1"/>
  <c r="F48" i="27"/>
  <c r="E52" i="27"/>
  <c r="E95" i="27"/>
  <c r="E115" i="27" s="1"/>
  <c r="D43" i="27"/>
  <c r="D148" i="27"/>
  <c r="G35" i="27"/>
  <c r="E34" i="27"/>
  <c r="E35" i="27"/>
  <c r="F35" i="27"/>
  <c r="F71" i="29"/>
  <c r="G71" i="29"/>
  <c r="J34" i="29"/>
  <c r="E64" i="29"/>
  <c r="E67" i="29" s="1"/>
  <c r="E69" i="29" s="1"/>
  <c r="E71" i="29" s="1"/>
  <c r="J15" i="29"/>
  <c r="H71" i="29"/>
  <c r="D34" i="29"/>
  <c r="G15" i="27" l="1"/>
  <c r="F29" i="27"/>
  <c r="F7" i="30" s="1"/>
  <c r="F95" i="27"/>
  <c r="F115" i="27" s="1"/>
  <c r="E12" i="30"/>
  <c r="G48" i="27"/>
  <c r="F52" i="27"/>
  <c r="F43" i="27"/>
  <c r="F8" i="30" s="1"/>
  <c r="E43" i="27"/>
  <c r="E8" i="30" s="1"/>
  <c r="F148" i="27"/>
  <c r="E148" i="27"/>
  <c r="J64" i="29"/>
  <c r="E14" i="30" l="1"/>
  <c r="H15" i="27"/>
  <c r="G29" i="27"/>
  <c r="G7" i="30" s="1"/>
  <c r="G34" i="27"/>
  <c r="H48" i="27"/>
  <c r="H52" i="27" s="1"/>
  <c r="G52" i="27"/>
  <c r="J48" i="27"/>
  <c r="G95" i="27"/>
  <c r="G115" i="27" s="1"/>
  <c r="F12" i="30"/>
  <c r="F14" i="30" s="1"/>
  <c r="D69" i="29"/>
  <c r="J67" i="29"/>
  <c r="G148" i="27" l="1"/>
  <c r="G43" i="27"/>
  <c r="G8" i="30" s="1"/>
  <c r="H29" i="27"/>
  <c r="H7" i="30" s="1"/>
  <c r="J7" i="30" s="1"/>
  <c r="H34" i="27"/>
  <c r="H43" i="27" s="1"/>
  <c r="H8" i="30" s="1"/>
  <c r="H148" i="27"/>
  <c r="H95" i="27"/>
  <c r="H115" i="27" s="1"/>
  <c r="G12" i="30"/>
  <c r="D71" i="29"/>
  <c r="J69" i="29"/>
  <c r="J71" i="29" s="1"/>
  <c r="D26" i="30" s="1"/>
  <c r="J34" i="27" l="1"/>
  <c r="H12" i="30"/>
  <c r="J95" i="27"/>
  <c r="J115" i="27" s="1"/>
  <c r="J59" i="27"/>
  <c r="J58" i="27"/>
  <c r="J57" i="27"/>
  <c r="J41" i="27"/>
  <c r="J40" i="27"/>
  <c r="J43" i="27" s="1"/>
  <c r="J39" i="27"/>
  <c r="J15" i="27"/>
  <c r="J140" i="27" l="1"/>
  <c r="J60" i="27"/>
  <c r="D12" i="30"/>
  <c r="J16" i="27"/>
  <c r="J12" i="30" l="1"/>
  <c r="D8" i="30"/>
  <c r="J8" i="30" s="1"/>
  <c r="D46" i="16"/>
  <c r="D53" i="16"/>
  <c r="J18" i="31"/>
  <c r="J19" i="31"/>
  <c r="J18" i="28"/>
  <c r="J19" i="28"/>
  <c r="J51" i="16"/>
  <c r="J45" i="16"/>
  <c r="J40" i="16"/>
  <c r="J34" i="16"/>
  <c r="J30" i="16"/>
  <c r="J26" i="16"/>
  <c r="J10" i="16"/>
  <c r="J18" i="16"/>
  <c r="E54" i="34"/>
  <c r="J54" i="34" s="1"/>
  <c r="F54" i="34"/>
  <c r="F56" i="34" s="1"/>
  <c r="J56" i="34" s="1"/>
  <c r="G54" i="34"/>
  <c r="H54" i="34"/>
  <c r="D54" i="34"/>
  <c r="J8" i="16"/>
  <c r="J9" i="16"/>
  <c r="E16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155" i="27"/>
  <c r="H16" i="30"/>
  <c r="G16" i="30"/>
  <c r="F16" i="30"/>
  <c r="D13" i="30"/>
  <c r="J133" i="27"/>
  <c r="J131" i="27"/>
  <c r="J130" i="27"/>
  <c r="J129" i="27"/>
  <c r="J128" i="27"/>
  <c r="J122" i="27"/>
  <c r="H11" i="30"/>
  <c r="H14" i="30" s="1"/>
  <c r="G11" i="30"/>
  <c r="F11" i="30"/>
  <c r="D11" i="30"/>
  <c r="J85" i="27"/>
  <c r="J76" i="27"/>
  <c r="J50" i="27"/>
  <c r="I43" i="27"/>
  <c r="J42" i="27"/>
  <c r="I29" i="27"/>
  <c r="E51" i="16"/>
  <c r="F51" i="16"/>
  <c r="G51" i="16"/>
  <c r="H51" i="16"/>
  <c r="D51" i="16"/>
  <c r="J50" i="16"/>
  <c r="J49" i="16"/>
  <c r="E45" i="16"/>
  <c r="F45" i="16"/>
  <c r="G45" i="16"/>
  <c r="H45" i="16"/>
  <c r="D45" i="16"/>
  <c r="E40" i="16"/>
  <c r="F40" i="16"/>
  <c r="G40" i="16"/>
  <c r="H40" i="16"/>
  <c r="D40" i="16"/>
  <c r="J39" i="16"/>
  <c r="E34" i="16"/>
  <c r="F34" i="16"/>
  <c r="G34" i="16"/>
  <c r="H34" i="16"/>
  <c r="D34" i="16"/>
  <c r="J32" i="16"/>
  <c r="J33" i="16"/>
  <c r="J36" i="16"/>
  <c r="J37" i="16"/>
  <c r="J38" i="16"/>
  <c r="J42" i="16"/>
  <c r="J43" i="16"/>
  <c r="J44" i="16"/>
  <c r="E30" i="16"/>
  <c r="F30" i="16"/>
  <c r="G30" i="16"/>
  <c r="H30" i="16"/>
  <c r="D30" i="16"/>
  <c r="J29" i="16"/>
  <c r="J28" i="16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D14" i="30" l="1"/>
  <c r="J14" i="30" s="1"/>
  <c r="J11" i="30"/>
  <c r="G14" i="30"/>
  <c r="E140" i="27"/>
  <c r="E11" i="30"/>
  <c r="F140" i="27"/>
  <c r="G140" i="27"/>
  <c r="H140" i="27"/>
  <c r="H155" i="27" s="1"/>
  <c r="E9" i="30"/>
  <c r="F9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D140" i="27"/>
  <c r="J152" i="27" s="1"/>
  <c r="J153" i="27" s="1"/>
  <c r="J155" i="27" s="1"/>
  <c r="J56" i="28"/>
  <c r="J54" i="28"/>
  <c r="J42" i="28"/>
  <c r="J31" i="28"/>
  <c r="J35" i="28"/>
  <c r="J27" i="28"/>
  <c r="E51" i="28"/>
  <c r="E58" i="28" s="1"/>
  <c r="J13" i="28"/>
  <c r="J16" i="28" s="1"/>
  <c r="D51" i="28"/>
  <c r="D58" i="28" s="1"/>
  <c r="G51" i="28"/>
  <c r="G58" i="28" s="1"/>
  <c r="H51" i="28"/>
  <c r="H58" i="28" s="1"/>
  <c r="F51" i="28"/>
  <c r="J11" i="28"/>
  <c r="H9" i="30"/>
  <c r="G9" i="30"/>
  <c r="H50" i="31"/>
  <c r="H57" i="31" s="1"/>
  <c r="J41" i="31"/>
  <c r="J16" i="31"/>
  <c r="F50" i="31"/>
  <c r="F57" i="31" s="1"/>
  <c r="G50" i="31"/>
  <c r="G57" i="31" s="1"/>
  <c r="D50" i="31"/>
  <c r="D57" i="31" s="1"/>
  <c r="E50" i="31"/>
  <c r="E57" i="31" s="1"/>
  <c r="J49" i="31"/>
  <c r="H46" i="16"/>
  <c r="H53" i="16" s="1"/>
  <c r="J11" i="16"/>
  <c r="J13" i="16"/>
  <c r="J16" i="16" s="1"/>
  <c r="J50" i="28"/>
  <c r="E46" i="16"/>
  <c r="E53" i="16" s="1"/>
  <c r="G46" i="16"/>
  <c r="G53" i="16" s="1"/>
  <c r="F46" i="16"/>
  <c r="F53" i="16" s="1"/>
  <c r="F155" i="27" l="1"/>
  <c r="G155" i="27"/>
  <c r="J35" i="27"/>
  <c r="D58" i="34"/>
  <c r="J51" i="34"/>
  <c r="J58" i="34" s="1"/>
  <c r="J51" i="33"/>
  <c r="J58" i="33" s="1"/>
  <c r="D58" i="33"/>
  <c r="J46" i="32"/>
  <c r="J53" i="32" s="1"/>
  <c r="F18" i="30"/>
  <c r="J51" i="28"/>
  <c r="J58" i="28" s="1"/>
  <c r="G18" i="30"/>
  <c r="F58" i="28"/>
  <c r="H18" i="30"/>
  <c r="J50" i="31"/>
  <c r="J57" i="31" s="1"/>
  <c r="J46" i="16"/>
  <c r="J53" i="16" s="1"/>
  <c r="D16" i="30" l="1"/>
  <c r="J148" i="27"/>
  <c r="E16" i="30"/>
  <c r="J16" i="30" l="1"/>
  <c r="J18" i="30" s="1"/>
  <c r="D18" i="30"/>
  <c r="D155" i="27"/>
  <c r="E155" i="27"/>
  <c r="E18" i="30"/>
  <c r="D24" i="30" l="1"/>
  <c r="D29" i="30" l="1"/>
  <c r="E26" i="30" s="1"/>
  <c r="E23" i="30" l="1"/>
  <c r="E25" i="30"/>
  <c r="E27" i="30"/>
  <c r="E24" i="30"/>
  <c r="E29" i="30" l="1"/>
</calcChain>
</file>

<file path=xl/sharedStrings.xml><?xml version="1.0" encoding="utf-8"?>
<sst xmlns="http://schemas.openxmlformats.org/spreadsheetml/2006/main" count="646" uniqueCount="170">
  <si>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</si>
  <si>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</si>
  <si>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</si>
  <si>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</si>
  <si>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</si>
  <si>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</si>
  <si>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</si>
  <si>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</si>
  <si>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</si>
  <si>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</si>
  <si>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</si>
  <si>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</si>
  <si>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</si>
  <si>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</si>
  <si>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</si>
  <si>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</si>
  <si>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</si>
  <si>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</si>
  <si>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</si>
  <si>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</si>
  <si>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</si>
  <si>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</si>
  <si>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</si>
  <si>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</si>
  <si>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</si>
  <si>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</si>
  <si>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</si>
  <si>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</si>
  <si>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Not Submitted</t>
  </si>
  <si>
    <t>T2: Implement the VTA Visionary Transit Network</t>
  </si>
  <si>
    <t>T4: Implement Transit Signal Priority Programs to Reduce Wait Times and Idling for Public Transit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</si>
  <si>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</si>
  <si>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</si>
  <si>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</si>
  <si>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</si>
  <si>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</si>
  <si>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</si>
  <si>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</si>
  <si>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</si>
  <si>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</si>
  <si>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</si>
  <si>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</si>
  <si>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</si>
  <si>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</si>
  <si>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Cupertino</t>
  </si>
  <si>
    <t>Total driver hours @ $48.58 per hour, with salary increase</t>
  </si>
  <si>
    <t>Customer service @ $6.43 per hour, with salary increase</t>
  </si>
  <si>
    <t>Gilroy</t>
  </si>
  <si>
    <t>Public Works Analyst $120,000 @ 20% with a 5% annual increase</t>
  </si>
  <si>
    <t>Microtransit Program and Public Education Coordinator $145,000 @ 1.0 FTE</t>
  </si>
  <si>
    <t>Milpitas</t>
  </si>
  <si>
    <t>Planning Director $250,000 @ 5%</t>
  </si>
  <si>
    <t>Microtransit Program Coordinator</t>
  </si>
  <si>
    <t>Morgan Hill</t>
  </si>
  <si>
    <t>Public Services Admin Mgr $185,000 @ 10%</t>
  </si>
  <si>
    <t>Microtransit Program and Outreach Coordinator $115,000 @ 1.0 FTE</t>
  </si>
  <si>
    <t>San Benito</t>
  </si>
  <si>
    <t>Mechanic Salary</t>
  </si>
  <si>
    <t>Operations Salaries</t>
  </si>
  <si>
    <t>San Jose</t>
  </si>
  <si>
    <t>City of San Jose-Project Co-Lead</t>
  </si>
  <si>
    <t>SOMOS Mayfair- Project Co-Lead</t>
  </si>
  <si>
    <t>Sunnyvale</t>
  </si>
  <si>
    <t>Full Time Transportation Engineer with benefits and salary increase</t>
  </si>
  <si>
    <t>Full time employees @ 35% of salary</t>
  </si>
  <si>
    <t>Planning Director @ 35% of salary</t>
  </si>
  <si>
    <t>Microtransit Program Coordinator @ 35% of salary</t>
  </si>
  <si>
    <t>City</t>
  </si>
  <si>
    <t>SOMOS</t>
  </si>
  <si>
    <t>EV Charging - 5 vehicles x 36 kwh used per day per vehicle (estimated 120 miles traveled) x $0.45/kwh x 365 days/year and 7% annual increase due to electricity rates</t>
  </si>
  <si>
    <t>Electric Charging - 7 vehicles x 36 kwh/day (107 miles) x  $0.45/kwh x 365 days + 7% annual increase</t>
  </si>
  <si>
    <t>EV Charging - 4 vehicles x 36 kwh used per day per vehicle (107 miles traveled) x $0.45/kwh x 365 days/year and 7% annual increase due to electricity rates</t>
  </si>
  <si>
    <t>Level 3 Charging Stations - Site plan and prep, equipment purchase, equipment installation</t>
  </si>
  <si>
    <t>Vehicle purchase - 6 EV vans @ $80,000 ea - 5 in service and 1 backup to rotate into service to ensure service continuity and extend useful life</t>
  </si>
  <si>
    <t>Level 3 Charging Station - Site Plan and prep, equipment purchase and installation</t>
  </si>
  <si>
    <t>Vehicle purchase - 7 EV vans @ $80,000 ea</t>
  </si>
  <si>
    <t>Level 3 Charging Station - Site plan and prep, equpment purchase, equipment installation</t>
  </si>
  <si>
    <t>Vehicle purchase - 5 EV vans @ $80,000 ea - 4 in service and 1 backup to rotate into service to ensure service continuity and extend useful life</t>
  </si>
  <si>
    <t>Vehicles - purchase</t>
  </si>
  <si>
    <t>Maintenance</t>
  </si>
  <si>
    <t>EV Chargers (12-Level 2)</t>
  </si>
  <si>
    <t>Marketing - promotional items</t>
  </si>
  <si>
    <t>1 Laptop computer @ $2500 each</t>
  </si>
  <si>
    <t>Marketing and Outreach</t>
  </si>
  <si>
    <t>Vehicle Maintenance Materials and Supplies</t>
  </si>
  <si>
    <t>Marketing materials</t>
  </si>
  <si>
    <t>Project Management &amp;
Other Operations @ 52.19 per hour, with salary increase (includes IT hosting, technology access, operations support, and other miscellaneous costs.)</t>
  </si>
  <si>
    <t>Contracted transportation service (@$65-$75/hour) and software tech fee (@$2.50/hour) x estimated 20,000 billed hours annually, 3% annual CPI increase</t>
  </si>
  <si>
    <t>Marketing and Outreach - design, printing, social</t>
  </si>
  <si>
    <t>Charging Station software, maintenance</t>
  </si>
  <si>
    <t>Microtransit Software and Drivers</t>
  </si>
  <si>
    <t>Transportation Service</t>
  </si>
  <si>
    <t>Marketing and Outreach - design, printing</t>
  </si>
  <si>
    <t>Contracted transportation service (@$65-$75/hour) and software tech fee (@$2.50/hour) x 17,000 billed hours annually, 3% annual CPI increase</t>
  </si>
  <si>
    <t>MV Transportation, Tranist Operator</t>
  </si>
  <si>
    <t>Microtransit operator</t>
  </si>
  <si>
    <t>Marketing consultant</t>
  </si>
  <si>
    <t>Community Partmer-YWCA</t>
  </si>
  <si>
    <t>Community Partners - 6 additional</t>
  </si>
  <si>
    <t>Promotoras (5)</t>
  </si>
  <si>
    <t>Contract Cost for microtransit services 10 vehicles at Year 1; 13 vehicles at Year 2 and 3; 15 vehicles at Year 4 and 5. This includes a 7% increase yearly</t>
  </si>
  <si>
    <t>10% contingency</t>
  </si>
  <si>
    <t>Vehicle wraps - 6 @ $8,000 ea</t>
  </si>
  <si>
    <t>Vehicle registration - 6 @ $1,000 ea</t>
  </si>
  <si>
    <t>Vehicle maintenance - routine @ 6 vehicles estimated at $0.03 per mile</t>
  </si>
  <si>
    <t>Vehicle repairs</t>
  </si>
  <si>
    <t>Vehicle wraps - 7 @ $8,000 ea</t>
  </si>
  <si>
    <t>Vehicle registration - 7 @ $1,000 ea</t>
  </si>
  <si>
    <t>Vehicle maintenance - 7 @ $0.03 per mile</t>
  </si>
  <si>
    <t>Vehicle wraps - 5 @ $8,000 ea</t>
  </si>
  <si>
    <t>Vehicle registration - 5 @ $1,000 ea</t>
  </si>
  <si>
    <t>Vehicle maintenance - routine @ 5 vehicles estimated at $0.03 per mile</t>
  </si>
  <si>
    <t xml:space="preserve">Fuel </t>
  </si>
  <si>
    <t>Stipends - focus group and work group public participants (50)</t>
  </si>
  <si>
    <t>Facility rental for focus and work group meetings</t>
  </si>
  <si>
    <t>Language translation and interpretation services</t>
  </si>
  <si>
    <t>Upfront mobilization fee</t>
  </si>
  <si>
    <t>City administration - insurance, office, IT @ 10% of personnel costs and 5% annual increase</t>
  </si>
  <si>
    <t>City administration - insurance, office, IT @ 10% of personnel costs</t>
  </si>
  <si>
    <t>SOMOS (15%)</t>
  </si>
  <si>
    <t>VTA Staff Oversight</t>
  </si>
  <si>
    <t xml:space="preserve">Senior Transportation Engineer </t>
  </si>
  <si>
    <t xml:space="preserve">Associate Engineer </t>
  </si>
  <si>
    <t xml:space="preserve">Technology Manager </t>
  </si>
  <si>
    <t xml:space="preserve">Contracts Adminstrator </t>
  </si>
  <si>
    <t>Office Support</t>
  </si>
  <si>
    <t>Base CTSP system software fee</t>
  </si>
  <si>
    <t>CTSP System support at $3200 per intersection for 10 years of service. Total count of 270 units needed.</t>
  </si>
  <si>
    <t>Furnish and install traffic signal controller assembly at $50,000 each. Total count of 240 units needed.</t>
  </si>
  <si>
    <t>Cellular communication for traffic signals at $5000 per intersection. Total count of 145 units needed.</t>
  </si>
  <si>
    <t>Local Agency Oversight</t>
  </si>
  <si>
    <t xml:space="preserve">PS&amp;E Support </t>
  </si>
  <si>
    <t>Principal-In-Charge</t>
  </si>
  <si>
    <t>Senior Engineer</t>
  </si>
  <si>
    <t>Central TSP Setup</t>
  </si>
  <si>
    <t>Senior Software Engineer</t>
  </si>
  <si>
    <t>Senior Traffic Engineer</t>
  </si>
  <si>
    <t>25% Contingency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</si>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</sst>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  <numFmt numFmtId="166" formatCode="&quot;$&quot;#,##0.00"/>
  </numFmts>
  <fonts count="2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0" fontId="2" fillId="0" borderId="2" xfId="0" applyFont="1" applyBorder="1" applyAlignment="1">
      <alignment vertical="top" wrapText="1"/>
    </xf>
    <xf numFmtId="0" fontId="2" fillId="0" borderId="5" xfId="0" applyFont="1" applyBorder="1" applyAlignment="1">
      <alignment vertical="top"/>
    </xf>
    <xf numFmtId="0" fontId="19" fillId="0" borderId="1" xfId="0" applyFont="1" applyBorder="1" applyAlignment="1">
      <alignment vertical="top"/>
    </xf>
    <xf numFmtId="0" fontId="3" fillId="0" borderId="1" xfId="0" applyFont="1" applyBorder="1" applyAlignment="1">
      <alignment horizontal="left" wrapText="1" indent="2"/>
    </xf>
    <xf numFmtId="44" fontId="3" fillId="0" borderId="1" xfId="1" applyFont="1" applyFill="1" applyBorder="1" applyAlignment="1">
      <alignment wrapText="1"/>
    </xf>
    <xf numFmtId="6" fontId="3" fillId="0" borderId="1" xfId="0" applyNumberFormat="1" applyFont="1" applyBorder="1" applyAlignment="1">
      <alignment wrapText="1"/>
    </xf>
    <xf numFmtId="3" fontId="3" fillId="0" borderId="1" xfId="0" applyNumberFormat="1" applyFont="1" applyBorder="1" applyAlignment="1">
      <alignment horizontal="left" wrapText="1" indent="2"/>
    </xf>
    <xf numFmtId="44" fontId="9" fillId="4" borderId="1" xfId="0" applyNumberFormat="1" applyFont="1" applyFill="1" applyBorder="1" applyAlignment="1">
      <alignment wrapText="1"/>
    </xf>
    <xf numFmtId="0" fontId="19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165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6" fontId="3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3" fontId="19" fillId="0" borderId="1" xfId="0" applyNumberFormat="1" applyFont="1" applyBorder="1" applyAlignment="1">
      <alignment wrapText="1"/>
    </xf>
    <xf numFmtId="164" fontId="3" fillId="0" borderId="1" xfId="1" applyNumberFormat="1" applyFont="1" applyFill="1" applyBorder="1" applyAlignment="1">
      <alignment horizontal="right" wrapText="1"/>
    </xf>
    <xf numFmtId="8" fontId="3" fillId="0" borderId="1" xfId="0" applyNumberFormat="1" applyFont="1" applyBorder="1" applyAlignment="1">
      <alignment wrapText="1"/>
    </xf>
    <xf numFmtId="0" fontId="18" fillId="0" borderId="1" xfId="0" applyFont="1" applyBorder="1" applyAlignment="1">
      <alignment horizontal="left" wrapText="1" indent="2"/>
    </xf>
    <xf numFmtId="6" fontId="18" fillId="0" borderId="1" xfId="0" applyNumberFormat="1" applyFont="1" applyBorder="1" applyAlignment="1">
      <alignment wrapText="1"/>
    </xf>
    <xf numFmtId="6" fontId="20" fillId="0" borderId="0" xfId="0" applyNumberFormat="1" applyFont="1"/>
    <xf numFmtId="0" fontId="20" fillId="0" borderId="0" xfId="0" applyFont="1"/>
    <xf numFmtId="0" fontId="18" fillId="0" borderId="1" xfId="0" applyFont="1" applyBorder="1" applyAlignment="1">
      <alignment horizontal="left" wrapText="1" indent="4"/>
    </xf>
    <xf numFmtId="165" fontId="18" fillId="0" borderId="1" xfId="0" applyNumberFormat="1" applyFont="1" applyBorder="1" applyAlignment="1">
      <alignment wrapText="1"/>
    </xf>
    <xf numFmtId="1" fontId="20" fillId="0" borderId="1" xfId="0" applyNumberFormat="1" applyFont="1" applyBorder="1" applyAlignment="1">
      <alignment wrapText="1"/>
    </xf>
    <xf numFmtId="6" fontId="20" fillId="0" borderId="1" xfId="0" applyNumberFormat="1" applyFont="1" applyBorder="1" applyAlignment="1">
      <alignment wrapText="1"/>
    </xf>
    <xf numFmtId="165" fontId="20" fillId="0" borderId="1" xfId="0" applyNumberFormat="1" applyFont="1" applyBorder="1" applyAlignment="1">
      <alignment horizontal="right" vertical="center"/>
    </xf>
    <xf numFmtId="0" fontId="18" fillId="0" borderId="3" xfId="0" applyFont="1" applyBorder="1" applyAlignment="1">
      <alignment horizontal="left" wrapText="1" indent="2"/>
    </xf>
    <xf numFmtId="165" fontId="20" fillId="0" borderId="1" xfId="0" applyNumberFormat="1" applyFont="1" applyBorder="1" applyAlignment="1">
      <alignment wrapText="1"/>
    </xf>
    <xf numFmtId="0" fontId="20" fillId="0" borderId="1" xfId="0" applyFont="1" applyBorder="1" applyAlignment="1">
      <alignment wrapText="1"/>
    </xf>
    <xf numFmtId="164" fontId="7" fillId="0" borderId="1" xfId="1" applyNumberFormat="1" applyFont="1" applyBorder="1" applyAlignment="1">
      <alignment wrapText="1"/>
    </xf>
    <xf numFmtId="0" fontId="20" fillId="0" borderId="0" xfId="0" applyFont="1" applyAlignment="1">
      <alignment vertical="top"/>
    </xf>
    <xf numFmtId="0" fontId="20" fillId="0" borderId="1" xfId="0" applyFont="1" applyBorder="1" applyAlignment="1">
      <alignment vertical="top"/>
    </xf>
    <xf numFmtId="165" fontId="20" fillId="0" borderId="1" xfId="1" applyNumberFormat="1" applyFont="1" applyBorder="1" applyAlignment="1">
      <alignment vertical="top"/>
    </xf>
    <xf numFmtId="166" fontId="18" fillId="0" borderId="1" xfId="0" applyNumberFormat="1" applyFont="1" applyBorder="1" applyAlignment="1">
      <alignment wrapText="1"/>
    </xf>
    <xf numFmtId="166" fontId="20" fillId="0" borderId="1" xfId="0" applyNumberFormat="1" applyFont="1" applyBorder="1" applyAlignment="1">
      <alignment wrapText="1"/>
    </xf>
    <xf numFmtId="3" fontId="18" fillId="0" borderId="1" xfId="0" applyNumberFormat="1" applyFont="1" applyBorder="1" applyAlignment="1">
      <alignment wrapText="1"/>
    </xf>
    <xf numFmtId="164" fontId="20" fillId="0" borderId="1" xfId="1" applyNumberFormat="1" applyFont="1" applyBorder="1" applyAlignment="1">
      <alignment wrapText="1"/>
    </xf>
    <xf numFmtId="6" fontId="7" fillId="4" borderId="1" xfId="1" applyNumberFormat="1" applyFont="1" applyFill="1" applyBorder="1" applyAlignment="1">
      <alignment wrapText="1"/>
    </xf>
    <xf numFmtId="6" fontId="9" fillId="0" borderId="8" xfId="0" applyNumberFormat="1" applyFont="1" applyBorder="1" applyAlignment="1">
      <alignment wrapText="1"/>
    </xf>
    <xf numFmtId="6" fontId="10" fillId="0" borderId="1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4.45"/>
  <cols>
    <col min="1" max="1" width="1.7109375" customWidth="1"/>
    <col min="5" max="5" width="13.42578125" bestFit="1" customWidth="1"/>
    <col min="6" max="6" width="14.42578125" bestFit="1" customWidth="1"/>
    <col min="7" max="9" width="14.42578125" customWidth="1"/>
    <col min="10" max="10" width="10.7109375" bestFit="1" customWidth="1"/>
    <col min="11" max="11" width="15.5703125" customWidth="1"/>
    <col min="18" max="18" width="37.5703125" customWidth="1"/>
  </cols>
  <sheetData>
    <row r="1" spans="4:11" ht="10.5" customHeight="1"/>
    <row r="2" spans="4:11">
      <c r="D2" s="3"/>
      <c r="E2" s="3"/>
      <c r="J2" s="33"/>
      <c r="K2" s="3"/>
    </row>
    <row r="3" spans="4:11">
      <c r="D3" s="3"/>
      <c r="E3" s="3"/>
      <c r="J3" s="31"/>
      <c r="K3" s="32"/>
    </row>
    <row r="4" spans="4:11">
      <c r="D4" s="4"/>
      <c r="E4" s="3"/>
    </row>
    <row r="9" spans="4:11">
      <c r="J9" s="21"/>
    </row>
    <row r="17" spans="5:18">
      <c r="E17" s="34"/>
      <c r="F17" s="34"/>
      <c r="G17" s="34"/>
      <c r="H17" s="34"/>
      <c r="I17" s="34"/>
    </row>
    <row r="18" spans="5:18">
      <c r="E18" s="34"/>
      <c r="F18" s="34"/>
      <c r="G18" s="34"/>
      <c r="H18" s="34"/>
      <c r="I18" s="34"/>
    </row>
    <row r="27" spans="5:18" ht="23.45">
      <c r="Q27" s="30"/>
    </row>
    <row r="28" spans="5:18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26" activePane="bottomRight" state="frozen"/>
      <selection pane="bottomRight" activeCell="R20" sqref="R20:W20"/>
      <selection pane="bottomLeft" activeCell="R20" sqref="R20:W20"/>
      <selection pane="topRight" activeCell="R20" sqref="R20:W20"/>
    </sheetView>
  </sheetViews>
  <sheetFormatPr defaultColWidth="9.28515625" defaultRowHeight="14.45"/>
  <cols>
    <col min="1" max="1" width="3.28515625" customWidth="1"/>
    <col min="2" max="2" width="12.28515625" customWidth="1"/>
    <col min="3" max="3" width="52.71093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7109375" style="7" customWidth="1"/>
    <col min="10" max="10" width="13.5703125" customWidth="1"/>
    <col min="11" max="11" width="10.28515625" customWidth="1"/>
  </cols>
  <sheetData>
    <row r="2" spans="2:39" ht="23.45">
      <c r="B2" s="30" t="s">
        <v>32</v>
      </c>
    </row>
    <row r="3" spans="2:39">
      <c r="B3" s="5"/>
    </row>
    <row r="4" spans="2:39">
      <c r="B4" s="5"/>
    </row>
    <row r="5" spans="2:39" ht="18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9">
      <c r="B8" s="23"/>
      <c r="C8" s="25" t="s">
        <v>161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28.9">
      <c r="B9" s="23"/>
      <c r="C9" s="25" t="s">
        <v>139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>
      <c r="B13" s="23"/>
      <c r="C13" s="25" t="s">
        <v>140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>
      <c r="B18" s="23"/>
      <c r="C18" s="25" t="s">
        <v>156</v>
      </c>
      <c r="D18" s="13"/>
      <c r="E18" s="10"/>
      <c r="F18" s="10"/>
      <c r="G18" s="10"/>
      <c r="H18" s="10"/>
      <c r="J18" s="15" t="s">
        <v>35</v>
      </c>
    </row>
    <row r="19" spans="2:10">
      <c r="B19" s="23"/>
      <c r="C19" s="29" t="s">
        <v>141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>
      <c r="B20" s="23"/>
      <c r="C20" s="29" t="s">
        <v>142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>
      <c r="B21" s="23"/>
      <c r="C21" s="29" t="s">
        <v>143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>
      <c r="B22" s="23"/>
      <c r="C22" s="25" t="s">
        <v>162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>
      <c r="B23" s="23"/>
      <c r="C23" s="29" t="s">
        <v>145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>
      <c r="B24" s="23"/>
      <c r="C24" s="29" t="s">
        <v>146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>
      <c r="B25" s="23"/>
      <c r="C25" s="29" t="s">
        <v>147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>
      <c r="B33" s="23"/>
      <c r="C33" s="25" t="s">
        <v>150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ht="28.9">
      <c r="B37" s="23"/>
      <c r="C37" s="61" t="s">
        <v>163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>
      <c r="B38" s="23"/>
      <c r="C38" s="25" t="s">
        <v>164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>
      <c r="B39" s="23"/>
      <c r="C39" s="25" t="s">
        <v>165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>
      <c r="B40" s="23"/>
      <c r="C40" s="25" t="s">
        <v>166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>
      <c r="B41" s="23"/>
      <c r="C41" s="25" t="s">
        <v>167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28.9">
      <c r="B44" s="23"/>
      <c r="C44" s="25" t="s">
        <v>168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>
      <c r="B52" s="6"/>
      <c r="D52"/>
      <c r="E52"/>
      <c r="H52"/>
      <c r="I52"/>
      <c r="J52" t="s">
        <v>20</v>
      </c>
    </row>
    <row r="53" spans="2:10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ht="28.9">
      <c r="B54" s="23"/>
      <c r="C54" s="25" t="s">
        <v>169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" thickBot="1">
      <c r="B57" s="6"/>
      <c r="D57"/>
      <c r="E57"/>
      <c r="H57"/>
      <c r="I57"/>
      <c r="J57" t="s">
        <v>20</v>
      </c>
    </row>
    <row r="58" spans="2:10" s="1" customFormat="1" ht="29.45" thickBot="1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  <row r="73" spans="2:2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abSelected="1" zoomScale="83" zoomScaleNormal="85" workbookViewId="0">
      <selection activeCell="J14" sqref="J14"/>
    </sheetView>
  </sheetViews>
  <sheetFormatPr defaultColWidth="9.28515625" defaultRowHeight="15" customHeight="1"/>
  <cols>
    <col min="1" max="1" width="3.28515625" customWidth="1"/>
    <col min="2" max="2" width="12.28515625" customWidth="1"/>
    <col min="3" max="3" width="29.28515625" customWidth="1"/>
    <col min="4" max="4" width="12.7109375" style="6" bestFit="1" customWidth="1"/>
    <col min="5" max="5" width="13.140625" style="2" customWidth="1"/>
    <col min="6" max="6" width="12.28515625" customWidth="1"/>
    <col min="7" max="7" width="12.28515625" bestFit="1" customWidth="1"/>
    <col min="8" max="8" width="13.140625" style="2" customWidth="1"/>
    <col min="9" max="9" width="3.5703125" style="7" customWidth="1"/>
    <col min="10" max="10" width="13.85546875" bestFit="1" customWidth="1"/>
    <col min="11" max="11" width="10.28515625" customWidth="1"/>
  </cols>
  <sheetData>
    <row r="2" spans="2:39" ht="23.45">
      <c r="B2" s="30" t="s">
        <v>0</v>
      </c>
    </row>
    <row r="3" spans="2:39" ht="26.65" customHeight="1">
      <c r="B3" s="112" t="s">
        <v>1</v>
      </c>
      <c r="C3" s="112"/>
      <c r="D3" s="112"/>
      <c r="E3" s="112"/>
      <c r="F3" s="112"/>
      <c r="G3" s="112"/>
      <c r="H3" s="112"/>
      <c r="I3" s="112"/>
      <c r="J3" s="112"/>
    </row>
    <row r="4" spans="2:39" ht="15" customHeight="1">
      <c r="B4" s="5"/>
    </row>
    <row r="5" spans="2:39" ht="18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ht="14.45">
      <c r="B7" s="22" t="s">
        <v>11</v>
      </c>
      <c r="C7" s="51" t="s">
        <v>12</v>
      </c>
      <c r="D7" s="52">
        <f>'Measure 1 Budget-NOT USED'!D11+'Measure 2 Budget'!D29+'Measure 3 Budget-NOT USED'!D11+'Measure 4 Budget'!D15+'Measure 5 Budget-NOT USED'!D11</f>
        <v>3076399</v>
      </c>
      <c r="E7" s="52">
        <f>'Measure 1 Budget-NOT USED'!E11+'Measure 2 Budget'!E29+'Measure 3 Budget-NOT USED'!E11+'Measure 4 Budget'!E15+'Measure 5 Budget-NOT USED'!E11</f>
        <v>3944817</v>
      </c>
      <c r="F7" s="52">
        <f>'Measure 1 Budget-NOT USED'!F11+'Measure 2 Budget'!F29+'Measure 3 Budget-NOT USED'!F11+'Measure 4 Budget'!F15+'Measure 5 Budget-NOT USED'!F11</f>
        <v>835821</v>
      </c>
      <c r="G7" s="52">
        <f>'Measure 1 Budget-NOT USED'!G11+'Measure 2 Budget'!G29+'Measure 3 Budget-NOT USED'!G11+'Measure 4 Budget'!G15+'Measure 5 Budget-NOT USED'!G11</f>
        <v>872856.37</v>
      </c>
      <c r="H7" s="52">
        <f>'Measure 1 Budget-NOT USED'!H11+'Measure 2 Budget'!H29+'Measure 3 Budget-NOT USED'!H11+'Measure 4 Budget'!H15+'Measure 5 Budget-NOT USED'!H11</f>
        <v>913908.1921000001</v>
      </c>
      <c r="I7" s="53"/>
      <c r="J7" s="52">
        <f t="shared" ref="J7:J14" si="0">SUM(D7:I7)</f>
        <v>9643801.5620999988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45">
      <c r="B8" s="23"/>
      <c r="C8" s="51" t="s">
        <v>13</v>
      </c>
      <c r="D8" s="52">
        <f>'Measure 1 Budget-NOT USED'!D16+'Measure 2 Budget'!D43+'Measure 3 Budget-NOT USED'!D16+'Measure 4 Budget'!D24+'Measure 5 Budget-NOT USED'!D16</f>
        <v>233089</v>
      </c>
      <c r="E8" s="52">
        <f>'Measure 1 Budget-NOT USED'!E16+'Measure 2 Budget'!E43+'Measure 3 Budget-NOT USED'!E16+'Measure 4 Budget'!E24+'Measure 5 Budget-NOT USED'!E16</f>
        <v>243339.5</v>
      </c>
      <c r="F8" s="52">
        <f>'Measure 1 Budget-NOT USED'!F16+'Measure 2 Budget'!F43+'Measure 3 Budget-NOT USED'!F16+'Measure 4 Budget'!F24+'Measure 5 Budget-NOT USED'!F16</f>
        <v>183555.17499999999</v>
      </c>
      <c r="G8" s="52">
        <f>'Measure 1 Budget-NOT USED'!G16+'Measure 2 Budget'!G43+'Measure 3 Budget-NOT USED'!G16+'Measure 4 Budget'!G24+'Measure 5 Budget-NOT USED'!G16</f>
        <v>194195.47775000002</v>
      </c>
      <c r="H8" s="52">
        <f>'Measure 1 Budget-NOT USED'!H16+'Measure 2 Budget'!H43+'Measure 3 Budget-NOT USED'!H16+'Measure 4 Budget'!H24+'Measure 5 Budget-NOT USED'!H16</f>
        <v>205416.5631575</v>
      </c>
      <c r="I8" s="53"/>
      <c r="J8" s="52">
        <f t="shared" si="0"/>
        <v>1059595.7159075001</v>
      </c>
    </row>
    <row r="9" spans="2:39" ht="14.45">
      <c r="B9" s="23"/>
      <c r="C9" s="51" t="s">
        <v>14</v>
      </c>
      <c r="D9" s="52">
        <f>'Measure 1 Budget-NOT USED'!D26+'Measure 2 Budget'!D52+'Measure 3 Budget-NOT USED'!D27+'Measure 4 Budget'!D27+'Measure 5 Budget-NOT USED'!D27</f>
        <v>94608</v>
      </c>
      <c r="E9" s="52">
        <f>'Measure 1 Budget-NOT USED'!E26+'Measure 2 Budget'!E52+'Measure 3 Budget-NOT USED'!E27+'Measure 4 Budget'!E27</f>
        <v>101230.56000000001</v>
      </c>
      <c r="F9" s="52">
        <f>'Measure 1 Budget-NOT USED'!F26+'Measure 2 Budget'!F52+'Measure 3 Budget-NOT USED'!F27+'Measure 4 Budget'!F27</f>
        <v>108316.69920000002</v>
      </c>
      <c r="G9" s="52">
        <f>'Measure 1 Budget-NOT USED'!G26+'Measure 2 Budget'!G52+'Measure 3 Budget-NOT USED'!G27+'Measure 4 Budget'!G27</f>
        <v>115898.86814400002</v>
      </c>
      <c r="H9" s="52">
        <f>'Measure 1 Budget-NOT USED'!H26+'Measure 2 Budget'!H52+'Measure 3 Budget-NOT USED'!H27+'Measure 4 Budget'!H27</f>
        <v>124011.78891408001</v>
      </c>
      <c r="I9" s="53"/>
      <c r="J9" s="52">
        <f t="shared" si="0"/>
        <v>544065.91625808005</v>
      </c>
    </row>
    <row r="10" spans="2:39" ht="14.45">
      <c r="B10" s="23"/>
      <c r="C10" s="51" t="s">
        <v>15</v>
      </c>
      <c r="D10" s="52">
        <f>'Measure 1 Budget-NOT USED'!D30+'Measure 2 Budget'!D71+'Measure 3 Budget-NOT USED'!D31+'Measure 4 Budget'!D34+'Measure 5 Budget-NOT USED'!D31</f>
        <v>18324770</v>
      </c>
      <c r="E10" s="52">
        <f>'Measure 1 Budget-NOT USED'!E30+'Measure 2 Budget'!E71+'Measure 3 Budget-NOT USED'!E31+'Measure 4 Budget'!E34+'Measure 5 Budget-NOT USED'!E31</f>
        <v>611007</v>
      </c>
      <c r="F10" s="52">
        <f>'Measure 1 Budget-NOT USED'!F30+'Measure 2 Budget'!F71+'Measure 3 Budget-NOT USED'!F31+'Measure 4 Budget'!F34+'Measure 5 Budget-NOT USED'!F31</f>
        <v>24000</v>
      </c>
      <c r="G10" s="52">
        <f>'Measure 1 Budget-NOT USED'!G30+'Measure 2 Budget'!G71+'Measure 3 Budget-NOT USED'!G31+'Measure 4 Budget'!G34+'Measure 5 Budget-NOT USED'!G31</f>
        <v>30000</v>
      </c>
      <c r="H10" s="52">
        <f>'Measure 1 Budget-NOT USED'!H30+'Measure 2 Budget'!H71+'Measure 3 Budget-NOT USED'!H31+'Measure 4 Budget'!H34+'Measure 5 Budget-NOT USED'!H31</f>
        <v>35000</v>
      </c>
      <c r="I10" s="53"/>
      <c r="J10" s="52">
        <f t="shared" si="0"/>
        <v>19024777</v>
      </c>
    </row>
    <row r="11" spans="2:39" ht="14.45">
      <c r="B11" s="23"/>
      <c r="C11" s="51" t="s">
        <v>16</v>
      </c>
      <c r="D11" s="52">
        <f>'Measure 1 Budget-NOT USED'!D34+'Measure 2 Budget'!D86+'Measure 3 Budget-NOT USED'!D35+'Measure 4 Budget'!D38+'Measure 5 Budget-NOT USED'!D35</f>
        <v>93226</v>
      </c>
      <c r="E11" s="52">
        <f>'Measure 1 Budget-NOT USED'!E34+'Measure 2 Budget'!E86+'Measure 3 Budget-NOT USED'!E35+'Measure 4 Budget'!E38+'Measure 5 Budget-NOT USED'!E35</f>
        <v>59025</v>
      </c>
      <c r="F11" s="52">
        <f>'Measure 1 Budget-NOT USED'!F34+'Measure 2 Budget'!F86+'Measure 3 Budget-NOT USED'!F35+'Measure 4 Budget'!F38+'Measure 5 Budget-NOT USED'!F35</f>
        <v>59576.25</v>
      </c>
      <c r="G11" s="52">
        <f>'Measure 1 Budget-NOT USED'!G34+'Measure 2 Budget'!G86+'Measure 3 Budget-NOT USED'!G35+'Measure 4 Budget'!G38+'Measure 5 Budget-NOT USED'!G35</f>
        <v>60155.5625</v>
      </c>
      <c r="H11" s="52">
        <f>'Measure 1 Budget-NOT USED'!H34+'Measure 2 Budget'!H86+'Measure 3 Budget-NOT USED'!H35+'Measure 4 Budget'!H38+'Measure 5 Budget-NOT USED'!H35</f>
        <v>60492.790625000001</v>
      </c>
      <c r="I11" s="53"/>
      <c r="J11" s="52">
        <f t="shared" si="0"/>
        <v>332475.60312500002</v>
      </c>
    </row>
    <row r="12" spans="2:39" ht="14.45">
      <c r="B12" s="23"/>
      <c r="C12" s="51" t="s">
        <v>17</v>
      </c>
      <c r="D12" s="52">
        <f>'Measure 1 Budget-NOT USED'!D40+'Measure 2 Budget'!D115+'Measure 3 Budget-NOT USED'!D42+'Measure 4 Budget'!D55+'Measure 5 Budget-NOT USED'!D41</f>
        <v>9932632.5999999996</v>
      </c>
      <c r="E12" s="52">
        <f>'Measure 1 Budget-NOT USED'!E40+'Measure 2 Budget'!E115+'Measure 3 Budget-NOT USED'!E42+'Measure 4 Budget'!E55+'Measure 5 Budget-NOT USED'!E41</f>
        <v>13766329.5</v>
      </c>
      <c r="F12" s="52">
        <f>'Measure 1 Budget-NOT USED'!F40+'Measure 2 Budget'!F115+'Measure 3 Budget-NOT USED'!F42+'Measure 4 Budget'!F55+'Measure 5 Budget-NOT USED'!F41</f>
        <v>11765155.6</v>
      </c>
      <c r="G12" s="52">
        <f>'Measure 1 Budget-NOT USED'!G40+'Measure 2 Budget'!G115+'Measure 3 Budget-NOT USED'!G42+'Measure 4 Budget'!G55+'Measure 5 Budget-NOT USED'!G41</f>
        <v>12991361.384999998</v>
      </c>
      <c r="H12" s="52">
        <f>'Measure 1 Budget-NOT USED'!H40+'Measure 2 Budget'!H115+'Measure 3 Budget-NOT USED'!H42+'Measure 4 Budget'!H55+'Measure 5 Budget-NOT USED'!H41</f>
        <v>13624055.071249999</v>
      </c>
      <c r="I12" s="53"/>
      <c r="J12" s="52">
        <f t="shared" si="0"/>
        <v>62079534.15625</v>
      </c>
    </row>
    <row r="13" spans="2:39" ht="14.45">
      <c r="B13" s="23"/>
      <c r="C13" s="51" t="s">
        <v>18</v>
      </c>
      <c r="D13" s="52">
        <f>'Measure 1 Budget-NOT USED'!D45+'Measure 2 Budget'!D139+'Measure 3 Budget-NOT USED'!D50+'Measure 4 Budget'!D63+'Measure 5 Budget-NOT USED'!D49</f>
        <v>256928</v>
      </c>
      <c r="E13" s="52">
        <f>'Measure 1 Budget-NOT USED'!E45+'Measure 2 Budget'!E139+'Measure 3 Budget-NOT USED'!E50+'Measure 4 Budget'!E63+'Measure 5 Budget-NOT USED'!E49</f>
        <v>71900</v>
      </c>
      <c r="F13" s="52">
        <f>'Measure 1 Budget-NOT USED'!F45+'Measure 2 Budget'!F139+'Measure 3 Budget-NOT USED'!F50+'Measure 4 Budget'!F63+'Measure 5 Budget-NOT USED'!F49</f>
        <v>163745.5</v>
      </c>
      <c r="G13" s="52">
        <f>'Measure 1 Budget-NOT USED'!G45+'Measure 2 Budget'!G139+'Measure 3 Budget-NOT USED'!G50+'Measure 4 Budget'!G63+'Measure 5 Budget-NOT USED'!G49</f>
        <v>118682.375</v>
      </c>
      <c r="H13" s="52">
        <f>'Measure 1 Budget-NOT USED'!H45+'Measure 2 Budget'!H139+'Measure 3 Budget-NOT USED'!H50+'Measure 4 Budget'!H63+'Measure 5 Budget-NOT USED'!H49</f>
        <v>138416.44375000001</v>
      </c>
      <c r="I13" s="53"/>
      <c r="J13" s="52">
        <f t="shared" si="0"/>
        <v>749672.31874999998</v>
      </c>
    </row>
    <row r="14" spans="2:39" ht="14.45">
      <c r="B14" s="24"/>
      <c r="C14" s="9" t="s">
        <v>19</v>
      </c>
      <c r="D14" s="16">
        <f>D13+D12+D11+D10+D9+D8+D7</f>
        <v>32011652.600000001</v>
      </c>
      <c r="E14" s="16">
        <f>E13+E12+E11+E10+E9+E8+E7</f>
        <v>18797648.560000002</v>
      </c>
      <c r="F14" s="16">
        <f>F13+F12+F11+F10+F9+F8+F7</f>
        <v>13140170.224200001</v>
      </c>
      <c r="G14" s="16">
        <f>G13+G12+G11+G10+G9+G8+G7</f>
        <v>14383150.038393997</v>
      </c>
      <c r="H14" s="16">
        <f>H13+H12+H11+H10+H9+H8+H7</f>
        <v>15101300.84979658</v>
      </c>
      <c r="J14" s="16">
        <f>SUM(D14:I14)</f>
        <v>93433922.272390589</v>
      </c>
    </row>
    <row r="15" spans="2:39" ht="14.45">
      <c r="B15" s="67"/>
      <c r="D15"/>
      <c r="E15"/>
      <c r="H15"/>
      <c r="I15"/>
      <c r="J15" s="18" t="s">
        <v>20</v>
      </c>
    </row>
    <row r="16" spans="2:39" ht="20.100000000000001" customHeight="1">
      <c r="B16" s="67"/>
      <c r="C16" s="9" t="s">
        <v>21</v>
      </c>
      <c r="D16" s="59">
        <f>'Measure 1 Budget-NOT USED'!D51+'Measure 2 Budget'!D153+'Measure 3 Budget-NOT USED'!D56+'Measure 4 Budget'!D69+'Measure 5 Budget-NOT USED'!D55</f>
        <v>3838683.5</v>
      </c>
      <c r="E16" s="59">
        <f>'Measure 1 Budget-NOT USED'!E51+'Measure 2 Budget'!E153+'Measure 3 Budget-NOT USED'!E56+'Measure 4 Budget'!E69+'Measure 5 Budget-NOT USED'!E55</f>
        <v>301524.5</v>
      </c>
      <c r="F16" s="59">
        <f>'Measure 1 Budget-NOT USED'!F51+'Measure 2 Budget'!F153+'Measure 3 Budget-NOT USED'!F56+'Measure 4 Budget'!F69+'Measure 5 Budget-NOT USED'!F55</f>
        <v>83302.125</v>
      </c>
      <c r="G16" s="59">
        <f>'Measure 1 Budget-NOT USED'!G51+'Measure 2 Budget'!G153+'Measure 3 Budget-NOT USED'!G56+'Measure 4 Budget'!G69+'Measure 5 Budget-NOT USED'!G55</f>
        <v>87100.131250000006</v>
      </c>
      <c r="H16" s="59">
        <f>'Measure 1 Budget-NOT USED'!H51+'Measure 2 Budget'!H153+'Measure 3 Budget-NOT USED'!H56+'Measure 4 Budget'!H69+'Measure 5 Budget-NOT USED'!H55</f>
        <v>91077.137812500005</v>
      </c>
      <c r="J16" s="109">
        <f>SUM(D16:H16)</f>
        <v>4401687.3940624995</v>
      </c>
    </row>
    <row r="17" spans="2:10" thickBot="1">
      <c r="B17" s="67"/>
      <c r="D17"/>
      <c r="E17"/>
      <c r="H17"/>
      <c r="I17"/>
      <c r="J17" s="18" t="s">
        <v>20</v>
      </c>
    </row>
    <row r="18" spans="2:10" ht="31.15" customHeight="1">
      <c r="B18" s="66" t="s">
        <v>22</v>
      </c>
      <c r="C18" s="19"/>
      <c r="D18" s="54">
        <f>D14+D16</f>
        <v>35850336.100000001</v>
      </c>
      <c r="E18" s="54">
        <f>E14+E16</f>
        <v>19099173.060000002</v>
      </c>
      <c r="F18" s="54">
        <f>F14+F16</f>
        <v>13223472.349200001</v>
      </c>
      <c r="G18" s="54">
        <f>G14+G16</f>
        <v>14470250.169643996</v>
      </c>
      <c r="H18" s="54">
        <f>H14+H16</f>
        <v>15192377.987609081</v>
      </c>
      <c r="I18" s="55"/>
      <c r="J18" s="111">
        <f>J14+J16</f>
        <v>97835609.666453093</v>
      </c>
    </row>
    <row r="19" spans="2:10" s="1" customFormat="1" ht="14.45">
      <c r="B19" s="6"/>
      <c r="C19"/>
      <c r="D19" s="6"/>
      <c r="E19" s="2"/>
      <c r="F19"/>
      <c r="G19"/>
      <c r="H19" s="2"/>
      <c r="I19" s="7"/>
      <c r="J19"/>
    </row>
    <row r="20" spans="2:10" ht="15" customHeight="1">
      <c r="B20" s="6"/>
    </row>
    <row r="21" spans="2:10" ht="15" customHeight="1">
      <c r="B21" s="45" t="s">
        <v>23</v>
      </c>
      <c r="C21" s="46"/>
      <c r="D21" s="46"/>
      <c r="E21" s="114"/>
      <c r="F21" s="114"/>
      <c r="H21"/>
      <c r="I21"/>
    </row>
    <row r="22" spans="2:10" ht="29.1" customHeight="1">
      <c r="B22" s="47" t="s">
        <v>24</v>
      </c>
      <c r="C22" s="47" t="s">
        <v>25</v>
      </c>
      <c r="D22" s="56" t="s">
        <v>26</v>
      </c>
      <c r="E22" s="115" t="s">
        <v>27</v>
      </c>
      <c r="F22" s="115"/>
      <c r="H22"/>
      <c r="I22"/>
    </row>
    <row r="23" spans="2:10" ht="15" customHeight="1">
      <c r="B23" s="51">
        <v>1</v>
      </c>
      <c r="C23" s="57" t="s">
        <v>28</v>
      </c>
      <c r="D23" s="58">
        <f>'Measure 1 Budget-NOT USED'!J53</f>
        <v>0</v>
      </c>
      <c r="E23" s="113">
        <f>D23/D$29</f>
        <v>0</v>
      </c>
      <c r="F23" s="113"/>
      <c r="H23"/>
      <c r="I23"/>
    </row>
    <row r="24" spans="2:10" ht="28.9">
      <c r="B24" s="51">
        <v>2</v>
      </c>
      <c r="C24" s="52" t="s">
        <v>29</v>
      </c>
      <c r="D24" s="58">
        <f>'Measure 2 Budget'!J155</f>
        <v>78489477.166453078</v>
      </c>
      <c r="E24" s="113">
        <f>D24/D$29</f>
        <v>0.80225878321854416</v>
      </c>
      <c r="F24" s="113"/>
      <c r="H24"/>
      <c r="I24"/>
    </row>
    <row r="25" spans="2:10" ht="14.45">
      <c r="B25" s="51">
        <v>3</v>
      </c>
      <c r="C25" s="52" t="s">
        <v>28</v>
      </c>
      <c r="D25" s="58">
        <f>'Measure 3 Budget-NOT USED'!J58</f>
        <v>0</v>
      </c>
      <c r="E25" s="113">
        <f t="shared" ref="E25:E27" si="1">D25/D$29</f>
        <v>0</v>
      </c>
      <c r="F25" s="113"/>
      <c r="H25"/>
      <c r="I25"/>
    </row>
    <row r="26" spans="2:10" ht="43.15">
      <c r="B26" s="51">
        <v>4</v>
      </c>
      <c r="C26" s="52" t="s">
        <v>30</v>
      </c>
      <c r="D26" s="58">
        <f>'Measure 4 Budget'!J71</f>
        <v>19346132.5</v>
      </c>
      <c r="E26" s="113">
        <f>D26/D$29</f>
        <v>0.1977412167814559</v>
      </c>
      <c r="F26" s="113"/>
      <c r="H26"/>
      <c r="I26"/>
    </row>
    <row r="27" spans="2:10" ht="15" customHeight="1">
      <c r="B27" s="51">
        <v>5</v>
      </c>
      <c r="C27" s="52" t="s">
        <v>28</v>
      </c>
      <c r="D27" s="58">
        <f>'Measure 5 Budget-NOT USED'!J57</f>
        <v>0</v>
      </c>
      <c r="E27" s="113">
        <f t="shared" si="1"/>
        <v>0</v>
      </c>
      <c r="F27" s="113"/>
      <c r="H27"/>
      <c r="I27"/>
    </row>
    <row r="28" spans="2:10" ht="15" customHeight="1">
      <c r="B28" s="51"/>
      <c r="C28" s="52"/>
      <c r="D28" s="58"/>
      <c r="E28" s="113"/>
      <c r="F28" s="113"/>
      <c r="H28"/>
      <c r="I28"/>
    </row>
    <row r="29" spans="2:10" ht="15" customHeight="1">
      <c r="B29" s="51" t="s">
        <v>31</v>
      </c>
      <c r="C29" s="52"/>
      <c r="D29" s="110">
        <f>SUM(D23:D28)</f>
        <v>97835609.666453078</v>
      </c>
      <c r="E29" s="113">
        <f t="shared" ref="E29" si="2">SUM(E23:E28)</f>
        <v>1</v>
      </c>
      <c r="F29" s="113"/>
      <c r="H29"/>
      <c r="I29"/>
    </row>
    <row r="30" spans="2:10" ht="15" customHeight="1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8"/>
  <sheetViews>
    <sheetView showGridLines="0" zoomScale="85" zoomScaleNormal="85" workbookViewId="0">
      <selection activeCell="M36" sqref="M36"/>
    </sheetView>
  </sheetViews>
  <sheetFormatPr defaultColWidth="9.28515625" defaultRowHeight="14.45"/>
  <cols>
    <col min="1" max="1" width="3.28515625" customWidth="1"/>
    <col min="2" max="2" width="10.28515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7109375" customWidth="1"/>
    <col min="11" max="11" width="10.28515625" customWidth="1"/>
  </cols>
  <sheetData>
    <row r="2" spans="2:39" ht="23.45">
      <c r="B2" s="30" t="s">
        <v>32</v>
      </c>
    </row>
    <row r="3" spans="2:39">
      <c r="B3" s="5" t="s">
        <v>33</v>
      </c>
    </row>
    <row r="4" spans="2:39">
      <c r="B4" s="5"/>
    </row>
    <row r="5" spans="2:39" ht="18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28.9">
      <c r="B7" s="70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>
      <c r="B8" s="23"/>
      <c r="C8" s="25"/>
      <c r="D8" s="15"/>
      <c r="E8" s="15"/>
      <c r="F8" s="15"/>
      <c r="G8" s="15"/>
      <c r="H8" s="15"/>
      <c r="I8" s="35"/>
      <c r="J8" s="15">
        <f>SUM(D8:H8)</f>
        <v>0</v>
      </c>
    </row>
    <row r="9" spans="2:39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J11" s="16">
        <f t="shared" si="0"/>
        <v>0</v>
      </c>
    </row>
    <row r="12" spans="2:39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J16" s="16">
        <f t="shared" si="2"/>
        <v>0</v>
      </c>
    </row>
    <row r="17" spans="2:10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>
      <c r="B18" s="23"/>
      <c r="C18" s="29"/>
      <c r="D18" s="15"/>
      <c r="E18" s="11"/>
      <c r="F18" s="11"/>
      <c r="G18" s="11"/>
      <c r="H18" s="11"/>
      <c r="J18" s="15">
        <f>SUM(D18:H18)</f>
        <v>0</v>
      </c>
    </row>
    <row r="19" spans="2:10">
      <c r="B19" s="23"/>
      <c r="C19" s="29"/>
      <c r="D19" s="15"/>
      <c r="E19" s="15"/>
      <c r="F19" s="15"/>
      <c r="G19" s="15"/>
      <c r="H19" s="15"/>
      <c r="I19" s="35"/>
      <c r="J19" s="15">
        <f>SUM(D19:H19)</f>
        <v>0</v>
      </c>
    </row>
    <row r="20" spans="2:10">
      <c r="B20" s="23"/>
      <c r="C20" s="29"/>
      <c r="D20" s="15"/>
      <c r="E20" s="15"/>
      <c r="F20" s="15"/>
      <c r="G20" s="15"/>
      <c r="H20" s="15"/>
      <c r="I20" s="35"/>
      <c r="J20" s="15">
        <f t="shared" ref="J20:J25" si="3">SUM(D20:H20)</f>
        <v>0</v>
      </c>
    </row>
    <row r="21" spans="2:10">
      <c r="B21" s="23"/>
      <c r="C21" s="25"/>
      <c r="D21" s="15"/>
      <c r="E21" s="15"/>
      <c r="F21" s="15"/>
      <c r="G21" s="15"/>
      <c r="H21" s="15"/>
      <c r="I21" s="35"/>
      <c r="J21" s="15">
        <f t="shared" si="3"/>
        <v>0</v>
      </c>
    </row>
    <row r="22" spans="2:10">
      <c r="B22" s="23"/>
      <c r="C22" s="29"/>
      <c r="D22" s="15"/>
      <c r="E22" s="15"/>
      <c r="F22" s="15"/>
      <c r="G22" s="15"/>
      <c r="H22" s="15"/>
      <c r="I22" s="35"/>
      <c r="J22" s="15">
        <f t="shared" si="3"/>
        <v>0</v>
      </c>
    </row>
    <row r="23" spans="2:10">
      <c r="B23" s="23"/>
      <c r="C23" s="29"/>
      <c r="D23" s="15"/>
      <c r="E23" s="15"/>
      <c r="F23" s="15"/>
      <c r="G23" s="15"/>
      <c r="H23" s="15"/>
      <c r="I23" s="35"/>
      <c r="J23" s="15">
        <f t="shared" si="3"/>
        <v>0</v>
      </c>
    </row>
    <row r="24" spans="2:10">
      <c r="B24" s="23"/>
      <c r="C24" s="29"/>
      <c r="D24" s="15"/>
      <c r="E24" s="15"/>
      <c r="F24" s="15"/>
      <c r="G24" s="15"/>
      <c r="H24" s="15"/>
      <c r="I24" s="35"/>
      <c r="J24" s="15">
        <f t="shared" si="3"/>
        <v>0</v>
      </c>
    </row>
    <row r="25" spans="2:10">
      <c r="B25" s="23"/>
      <c r="C25" s="25"/>
      <c r="D25" s="15"/>
      <c r="E25" s="15"/>
      <c r="F25" s="15"/>
      <c r="G25" s="15"/>
      <c r="H25" s="15"/>
      <c r="I25" s="35"/>
      <c r="J25" s="15">
        <f t="shared" si="3"/>
        <v>0</v>
      </c>
    </row>
    <row r="26" spans="2:10">
      <c r="B26" s="23"/>
      <c r="C26" s="9" t="s">
        <v>14</v>
      </c>
      <c r="D26" s="16">
        <f>SUM(D19:D25)</f>
        <v>0</v>
      </c>
      <c r="E26" s="16">
        <f t="shared" ref="E26:H26" si="4">SUM(E19:E25)</f>
        <v>0</v>
      </c>
      <c r="F26" s="16">
        <f t="shared" si="4"/>
        <v>0</v>
      </c>
      <c r="G26" s="16">
        <f t="shared" si="4"/>
        <v>0</v>
      </c>
      <c r="H26" s="16">
        <f t="shared" si="4"/>
        <v>0</v>
      </c>
      <c r="J26" s="16">
        <f>SUM(J18:J25)</f>
        <v>0</v>
      </c>
    </row>
    <row r="27" spans="2:10">
      <c r="B27" s="23"/>
      <c r="C27" s="14" t="s">
        <v>38</v>
      </c>
      <c r="D27" s="15"/>
      <c r="E27" s="10"/>
      <c r="F27" s="10"/>
      <c r="G27" s="10"/>
      <c r="H27" s="10"/>
      <c r="J27" s="15" t="s">
        <v>20</v>
      </c>
    </row>
    <row r="28" spans="2:10">
      <c r="B28" s="23"/>
      <c r="C28" s="25"/>
      <c r="D28" s="15"/>
      <c r="E28" s="10"/>
      <c r="F28" s="10"/>
      <c r="G28" s="10"/>
      <c r="H28" s="10"/>
      <c r="J28" s="15">
        <f>SUM(D28:H28)</f>
        <v>0</v>
      </c>
    </row>
    <row r="29" spans="2:10">
      <c r="B29" s="23" t="s">
        <v>39</v>
      </c>
      <c r="C29" s="28" t="s">
        <v>39</v>
      </c>
      <c r="D29" s="13" t="s">
        <v>35</v>
      </c>
      <c r="E29" s="10"/>
      <c r="F29" s="10"/>
      <c r="G29" s="10"/>
      <c r="H29" s="10"/>
      <c r="J29" s="15">
        <f t="shared" ref="J29:J46" si="5">SUM(D29:H29)</f>
        <v>0</v>
      </c>
    </row>
    <row r="30" spans="2:10">
      <c r="B30" s="23"/>
      <c r="C30" s="9" t="s">
        <v>15</v>
      </c>
      <c r="D30" s="12">
        <f>SUM(D28:D29)</f>
        <v>0</v>
      </c>
      <c r="E30" s="12">
        <f t="shared" ref="E30:H30" si="6">SUM(E28:E29)</f>
        <v>0</v>
      </c>
      <c r="F30" s="12">
        <f t="shared" si="6"/>
        <v>0</v>
      </c>
      <c r="G30" s="12">
        <f t="shared" si="6"/>
        <v>0</v>
      </c>
      <c r="H30" s="12">
        <f t="shared" si="6"/>
        <v>0</v>
      </c>
      <c r="J30" s="16">
        <f>SUM(J28:J29)</f>
        <v>0</v>
      </c>
    </row>
    <row r="31" spans="2:10">
      <c r="B31" s="23"/>
      <c r="C31" s="14" t="s">
        <v>40</v>
      </c>
      <c r="D31" s="13" t="s">
        <v>35</v>
      </c>
      <c r="E31" s="10"/>
      <c r="F31" s="10"/>
      <c r="G31" s="10"/>
      <c r="H31" s="10"/>
      <c r="J31" s="15"/>
    </row>
    <row r="32" spans="2:10">
      <c r="B32" s="23"/>
      <c r="C32" s="25"/>
      <c r="D32" s="15"/>
      <c r="E32" s="15"/>
      <c r="F32" s="15"/>
      <c r="G32" s="15"/>
      <c r="H32" s="15"/>
      <c r="I32" s="35"/>
      <c r="J32" s="15">
        <f t="shared" si="5"/>
        <v>0</v>
      </c>
    </row>
    <row r="33" spans="2:10">
      <c r="B33" s="23"/>
      <c r="C33" s="25"/>
      <c r="D33" s="15"/>
      <c r="E33" s="11"/>
      <c r="F33" s="11"/>
      <c r="G33" s="11"/>
      <c r="H33" s="11"/>
      <c r="J33" s="15">
        <f t="shared" si="5"/>
        <v>0</v>
      </c>
    </row>
    <row r="34" spans="2:10">
      <c r="B34" s="23"/>
      <c r="C34" s="9" t="s">
        <v>16</v>
      </c>
      <c r="D34" s="16">
        <f>SUM(D32:D33)</f>
        <v>0</v>
      </c>
      <c r="E34" s="16">
        <f t="shared" ref="E34:H34" si="7">SUM(E32:E33)</f>
        <v>0</v>
      </c>
      <c r="F34" s="16">
        <f t="shared" si="7"/>
        <v>0</v>
      </c>
      <c r="G34" s="16">
        <f t="shared" si="7"/>
        <v>0</v>
      </c>
      <c r="H34" s="16">
        <f t="shared" si="7"/>
        <v>0</v>
      </c>
      <c r="J34" s="16">
        <f>SUM(J32:J33)</f>
        <v>0</v>
      </c>
    </row>
    <row r="35" spans="2:10">
      <c r="B35" s="23"/>
      <c r="C35" s="14" t="s">
        <v>41</v>
      </c>
      <c r="D35" s="13" t="s">
        <v>35</v>
      </c>
      <c r="E35" s="10"/>
      <c r="F35" s="10"/>
      <c r="G35" s="10"/>
      <c r="H35" s="10"/>
      <c r="J35" s="15"/>
    </row>
    <row r="36" spans="2:10">
      <c r="B36" s="23"/>
      <c r="C36" s="25"/>
      <c r="D36" s="15"/>
      <c r="E36" s="15"/>
      <c r="F36" s="15"/>
      <c r="G36" s="15"/>
      <c r="H36" s="15"/>
      <c r="I36" s="35"/>
      <c r="J36" s="15">
        <f t="shared" si="5"/>
        <v>0</v>
      </c>
    </row>
    <row r="37" spans="2:10">
      <c r="B37" s="23"/>
      <c r="C37" s="25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>
      <c r="B38" s="23"/>
      <c r="C38" s="25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>
      <c r="B39" s="23"/>
      <c r="C39" s="25"/>
      <c r="D39" s="15"/>
      <c r="E39" s="11"/>
      <c r="F39" s="11"/>
      <c r="G39" s="11"/>
      <c r="H39" s="11"/>
      <c r="J39" s="15">
        <f t="shared" si="5"/>
        <v>0</v>
      </c>
    </row>
    <row r="40" spans="2:10">
      <c r="B40" s="23"/>
      <c r="C40" s="9" t="s">
        <v>17</v>
      </c>
      <c r="D40" s="16">
        <f>SUM(D36:D39)</f>
        <v>0</v>
      </c>
      <c r="E40" s="16">
        <f t="shared" ref="E40:H40" si="8">SUM(E36:E39)</f>
        <v>0</v>
      </c>
      <c r="F40" s="16">
        <f t="shared" si="8"/>
        <v>0</v>
      </c>
      <c r="G40" s="16">
        <f t="shared" si="8"/>
        <v>0</v>
      </c>
      <c r="H40" s="16">
        <f t="shared" si="8"/>
        <v>0</v>
      </c>
      <c r="J40" s="16">
        <f>SUM(J36:J39)</f>
        <v>0</v>
      </c>
    </row>
    <row r="41" spans="2:10">
      <c r="B41" s="23"/>
      <c r="C41" s="14" t="s">
        <v>42</v>
      </c>
      <c r="D41" s="13" t="s">
        <v>35</v>
      </c>
      <c r="E41" s="10"/>
      <c r="F41" s="10"/>
      <c r="G41" s="10"/>
      <c r="H41" s="10"/>
      <c r="J41" s="15"/>
    </row>
    <row r="42" spans="2:10">
      <c r="B42" s="23"/>
      <c r="C42" s="25"/>
      <c r="D42" s="15"/>
      <c r="E42" s="44"/>
      <c r="F42" s="44"/>
      <c r="G42" s="44"/>
      <c r="H42" s="44"/>
      <c r="J42" s="15">
        <f t="shared" si="5"/>
        <v>0</v>
      </c>
    </row>
    <row r="43" spans="2:10">
      <c r="B43" s="23"/>
      <c r="C43" s="25"/>
      <c r="D43" s="15"/>
      <c r="E43" s="60"/>
      <c r="F43" s="60"/>
      <c r="G43" s="60"/>
      <c r="H43" s="60"/>
      <c r="J43" s="15">
        <f t="shared" si="5"/>
        <v>0</v>
      </c>
    </row>
    <row r="44" spans="2:10">
      <c r="B44" s="23"/>
      <c r="C44" s="10"/>
      <c r="D44" s="15"/>
      <c r="E44" s="11"/>
      <c r="F44" s="11"/>
      <c r="G44" s="11"/>
      <c r="H44" s="11"/>
      <c r="J44" s="15">
        <f t="shared" si="5"/>
        <v>0</v>
      </c>
    </row>
    <row r="45" spans="2:10">
      <c r="B45" s="24"/>
      <c r="C45" s="9" t="s">
        <v>18</v>
      </c>
      <c r="D45" s="16">
        <f>SUM(D42:D44)</f>
        <v>0</v>
      </c>
      <c r="E45" s="16">
        <f>SUM(E42:E44)</f>
        <v>0</v>
      </c>
      <c r="F45" s="16">
        <f>SUM(F42:F44)</f>
        <v>0</v>
      </c>
      <c r="G45" s="16">
        <f>SUM(G42:G44)</f>
        <v>0</v>
      </c>
      <c r="H45" s="16">
        <f>SUM(H42:H44)</f>
        <v>0</v>
      </c>
      <c r="J45" s="16">
        <f>SUM(J42:J44)</f>
        <v>0</v>
      </c>
    </row>
    <row r="46" spans="2:10">
      <c r="B46" s="24"/>
      <c r="C46" s="9" t="s">
        <v>19</v>
      </c>
      <c r="D46" s="16">
        <f>SUM(D45,D40,D34,D30,D26,D16,D11)</f>
        <v>0</v>
      </c>
      <c r="E46" s="16">
        <f>SUM(E45,E40,E34,E30,E26,E16,E11)</f>
        <v>0</v>
      </c>
      <c r="F46" s="16">
        <f>SUM(F45,F40,F34,F30,F26,F16,F11)</f>
        <v>0</v>
      </c>
      <c r="G46" s="16">
        <f>SUM(G45,G40,G34,G30,G26,G16,G11)</f>
        <v>0</v>
      </c>
      <c r="H46" s="16">
        <f>SUM(H45,H40,H34,H30,H26,H16,H11)</f>
        <v>0</v>
      </c>
      <c r="J46" s="16">
        <f t="shared" si="5"/>
        <v>0</v>
      </c>
    </row>
    <row r="47" spans="2:10">
      <c r="B47" s="6"/>
      <c r="D47"/>
      <c r="E47"/>
      <c r="H47"/>
      <c r="I47"/>
      <c r="J47" t="s">
        <v>20</v>
      </c>
    </row>
    <row r="48" spans="2:10" ht="28.9">
      <c r="B48" s="70" t="s">
        <v>43</v>
      </c>
      <c r="C48" s="17" t="s">
        <v>43</v>
      </c>
      <c r="D48" s="18"/>
      <c r="E48" s="18"/>
      <c r="F48" s="18"/>
      <c r="G48" s="18"/>
      <c r="H48" s="18"/>
      <c r="I48"/>
      <c r="J48" s="18" t="s">
        <v>20</v>
      </c>
    </row>
    <row r="49" spans="2:10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>
      <c r="B50" s="23"/>
      <c r="C50" s="25"/>
      <c r="D50" s="13"/>
      <c r="E50" s="10"/>
      <c r="F50" s="10"/>
      <c r="G50" s="10"/>
      <c r="H50" s="10"/>
      <c r="J50" s="15">
        <f t="shared" ref="J50" si="9">SUM(D50:H50)</f>
        <v>0</v>
      </c>
    </row>
    <row r="51" spans="2:10">
      <c r="B51" s="24"/>
      <c r="C51" s="9" t="s">
        <v>21</v>
      </c>
      <c r="D51" s="16">
        <f>SUM(D49:D50)</f>
        <v>0</v>
      </c>
      <c r="E51" s="16">
        <f t="shared" ref="E51:H51" si="10">SUM(E49:E50)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>SUM(J49:J50)</f>
        <v>0</v>
      </c>
    </row>
    <row r="52" spans="2:10" ht="15" thickBot="1">
      <c r="B52" s="6"/>
      <c r="D52"/>
      <c r="E52"/>
      <c r="H52"/>
      <c r="I52"/>
      <c r="J52" t="s">
        <v>20</v>
      </c>
    </row>
    <row r="53" spans="2:10" s="1" customFormat="1" ht="29.45" thickBot="1">
      <c r="B53" s="19" t="s">
        <v>22</v>
      </c>
      <c r="C53" s="19"/>
      <c r="D53" s="20">
        <f>SUM(D51,D46)</f>
        <v>0</v>
      </c>
      <c r="E53" s="20">
        <f t="shared" ref="E53:J53" si="11">SUM(E51,E46)</f>
        <v>0</v>
      </c>
      <c r="F53" s="20">
        <f t="shared" si="11"/>
        <v>0</v>
      </c>
      <c r="G53" s="20">
        <f t="shared" si="11"/>
        <v>0</v>
      </c>
      <c r="H53" s="20">
        <f t="shared" si="11"/>
        <v>0</v>
      </c>
      <c r="I53" s="7"/>
      <c r="J53" s="20">
        <f t="shared" si="11"/>
        <v>0</v>
      </c>
    </row>
    <row r="54" spans="2:10">
      <c r="B54" s="6"/>
    </row>
    <row r="55" spans="2:10">
      <c r="B55" s="6"/>
    </row>
    <row r="56" spans="2:10">
      <c r="B56" s="6"/>
    </row>
    <row r="57" spans="2:10">
      <c r="B57" s="6"/>
    </row>
    <row r="58" spans="2:10">
      <c r="B58" s="6"/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</sheetData>
  <pageMargins left="0.7" right="0.7" top="0.75" bottom="0.75" header="0.3" footer="0.3"/>
  <pageSetup scale="96" fitToHeight="0" orientation="landscape" r:id="rId1"/>
  <ignoredErrors>
    <ignoredError sqref="J19:J25 J32 J36:J38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170"/>
  <sheetViews>
    <sheetView showGridLines="0" zoomScale="85" zoomScaleNormal="85" workbookViewId="0">
      <pane xSplit="3" ySplit="6" topLeftCell="D59" activePane="bottomRight" state="frozen"/>
      <selection pane="bottomRight" activeCell="D150" sqref="D150"/>
      <selection pane="bottomLeft" activeCell="R20" sqref="R20:W20"/>
      <selection pane="topRight" activeCell="R20" sqref="R20:W20"/>
    </sheetView>
  </sheetViews>
  <sheetFormatPr defaultColWidth="9.28515625" defaultRowHeight="14.45"/>
  <cols>
    <col min="1" max="1" width="3.28515625" customWidth="1"/>
    <col min="2" max="2" width="9.7109375" customWidth="1"/>
    <col min="3" max="3" width="44.42578125" customWidth="1"/>
    <col min="4" max="4" width="15.7109375" style="6" customWidth="1"/>
    <col min="5" max="5" width="15.140625" style="2" bestFit="1" customWidth="1"/>
    <col min="6" max="7" width="15.140625" bestFit="1" customWidth="1"/>
    <col min="8" max="8" width="14.140625" style="2" bestFit="1" customWidth="1"/>
    <col min="9" max="9" width="0.7109375" style="7" customWidth="1"/>
    <col min="10" max="10" width="14.42578125" customWidth="1"/>
    <col min="11" max="11" width="10.28515625" customWidth="1"/>
  </cols>
  <sheetData>
    <row r="2" spans="2:39" ht="23.45">
      <c r="B2" s="30" t="s">
        <v>32</v>
      </c>
    </row>
    <row r="3" spans="2:39">
      <c r="B3" s="5" t="s">
        <v>33</v>
      </c>
    </row>
    <row r="4" spans="2:39">
      <c r="B4" s="5"/>
    </row>
    <row r="5" spans="2:39" ht="18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s="5" customFormat="1">
      <c r="B8" s="71"/>
      <c r="C8" s="72" t="s">
        <v>44</v>
      </c>
      <c r="D8" s="10"/>
      <c r="E8" s="10"/>
      <c r="F8" s="10"/>
      <c r="G8" s="10"/>
      <c r="H8" s="10"/>
      <c r="I8" s="7"/>
      <c r="J8" s="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2:39" s="5" customFormat="1" ht="28.9">
      <c r="B9" s="71"/>
      <c r="C9" s="89" t="s">
        <v>45</v>
      </c>
      <c r="D9" s="90">
        <v>1828671</v>
      </c>
      <c r="E9" s="90">
        <v>2639222</v>
      </c>
      <c r="F9" s="90"/>
      <c r="G9" s="90"/>
      <c r="H9" s="90"/>
      <c r="I9" s="91"/>
      <c r="J9" s="90">
        <f>SUM(D9:H9)</f>
        <v>4467893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2:39" s="5" customFormat="1" ht="28.9">
      <c r="B10" s="71"/>
      <c r="C10" s="89" t="s">
        <v>46</v>
      </c>
      <c r="D10" s="90">
        <v>242041</v>
      </c>
      <c r="E10" s="90">
        <v>345272</v>
      </c>
      <c r="F10" s="90"/>
      <c r="G10" s="90"/>
      <c r="H10" s="90"/>
      <c r="I10" s="91"/>
      <c r="J10" s="90">
        <f>SUM(D10:H10)</f>
        <v>587313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</row>
    <row r="11" spans="2:39" s="5" customFormat="1">
      <c r="B11" s="71"/>
      <c r="C11" s="72" t="s">
        <v>47</v>
      </c>
      <c r="D11" s="10"/>
      <c r="E11" s="10"/>
      <c r="F11" s="10"/>
      <c r="G11" s="10"/>
      <c r="H11" s="10"/>
      <c r="I11" s="7"/>
      <c r="J11" s="8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</row>
    <row r="12" spans="2:39" s="5" customFormat="1" ht="28.9">
      <c r="B12" s="71"/>
      <c r="C12" s="89" t="s">
        <v>48</v>
      </c>
      <c r="D12" s="90">
        <f>120000*0.2</f>
        <v>24000</v>
      </c>
      <c r="E12" s="90">
        <f>D12*1.05</f>
        <v>25200</v>
      </c>
      <c r="F12" s="90">
        <f>E12*1.05</f>
        <v>26460</v>
      </c>
      <c r="G12" s="90">
        <f>F12*1.05</f>
        <v>27783</v>
      </c>
      <c r="H12" s="90">
        <f>G12*1.05</f>
        <v>29172.15</v>
      </c>
      <c r="I12" s="91"/>
      <c r="J12" s="90">
        <f>SUM(D12:H12)</f>
        <v>132615.15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</row>
    <row r="13" spans="2:39" s="5" customFormat="1" ht="28.9">
      <c r="B13" s="71"/>
      <c r="C13" s="89" t="s">
        <v>49</v>
      </c>
      <c r="D13" s="90">
        <v>145000</v>
      </c>
      <c r="E13" s="90">
        <f>D13*1.08</f>
        <v>156600</v>
      </c>
      <c r="F13" s="90">
        <f>E13*1.08</f>
        <v>169128</v>
      </c>
      <c r="G13" s="90">
        <f>F13*1.08</f>
        <v>182658.24000000002</v>
      </c>
      <c r="H13" s="90">
        <f>G13*1.08</f>
        <v>197270.89920000004</v>
      </c>
      <c r="I13" s="91"/>
      <c r="J13" s="90">
        <f>SUM(D13:H13)</f>
        <v>850657.13920000009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</row>
    <row r="14" spans="2:39" s="5" customFormat="1">
      <c r="B14" s="71"/>
      <c r="C14" s="72" t="s">
        <v>50</v>
      </c>
      <c r="D14" s="10"/>
      <c r="E14" s="10"/>
      <c r="F14" s="10"/>
      <c r="G14" s="10"/>
      <c r="H14" s="10"/>
      <c r="I14" s="7"/>
      <c r="J14" s="8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</row>
    <row r="15" spans="2:39" s="5" customFormat="1">
      <c r="B15" s="71"/>
      <c r="C15" s="89" t="s">
        <v>51</v>
      </c>
      <c r="D15" s="90">
        <v>12500</v>
      </c>
      <c r="E15" s="90">
        <f>D15*1.05</f>
        <v>13125</v>
      </c>
      <c r="F15" s="90">
        <f t="shared" ref="F15:H15" si="0">E15*1.05</f>
        <v>13781.25</v>
      </c>
      <c r="G15" s="90">
        <f t="shared" si="0"/>
        <v>14470.3125</v>
      </c>
      <c r="H15" s="90">
        <f t="shared" si="0"/>
        <v>15193.828125</v>
      </c>
      <c r="I15" s="91"/>
      <c r="J15" s="90">
        <f>SUM(D15:H15)</f>
        <v>69070.390625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</row>
    <row r="16" spans="2:39" s="5" customFormat="1">
      <c r="B16" s="71"/>
      <c r="C16" s="89" t="s">
        <v>52</v>
      </c>
      <c r="D16" s="90">
        <v>115000</v>
      </c>
      <c r="E16" s="90">
        <f t="shared" ref="E16:H16" si="1">D16*1.05</f>
        <v>120750</v>
      </c>
      <c r="F16" s="90">
        <f t="shared" si="1"/>
        <v>126787.5</v>
      </c>
      <c r="G16" s="90">
        <f t="shared" si="1"/>
        <v>133126.875</v>
      </c>
      <c r="H16" s="90">
        <f t="shared" si="1"/>
        <v>139783.21875</v>
      </c>
      <c r="I16" s="91"/>
      <c r="J16" s="90">
        <f>SUM(D16:H16)</f>
        <v>635447.59375</v>
      </c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</row>
    <row r="17" spans="2:39" s="5" customFormat="1">
      <c r="B17" s="71"/>
      <c r="C17" s="72" t="s">
        <v>53</v>
      </c>
      <c r="D17" s="75"/>
      <c r="E17" s="75"/>
      <c r="F17" s="75"/>
      <c r="G17" s="75"/>
      <c r="H17" s="75"/>
      <c r="I17"/>
      <c r="J17" s="90">
        <f>SUM(D17:H17)</f>
        <v>0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</row>
    <row r="18" spans="2:39">
      <c r="B18" s="23"/>
      <c r="C18" s="89" t="s">
        <v>54</v>
      </c>
      <c r="D18" s="90">
        <f>185000*0.1</f>
        <v>18500</v>
      </c>
      <c r="E18" s="90">
        <f>D18*1.05</f>
        <v>19425</v>
      </c>
      <c r="F18" s="90">
        <f>E18*1.05</f>
        <v>20396.25</v>
      </c>
      <c r="G18" s="90">
        <f>F18*1.05</f>
        <v>21416.0625</v>
      </c>
      <c r="H18" s="90">
        <f>G18*1.05</f>
        <v>22486.865625000002</v>
      </c>
      <c r="I18"/>
      <c r="J18" s="90">
        <f>SUM(D18:H18)</f>
        <v>102224.17812500001</v>
      </c>
    </row>
    <row r="19" spans="2:39" ht="30.75">
      <c r="B19" s="23"/>
      <c r="C19" s="89" t="s">
        <v>55</v>
      </c>
      <c r="D19" s="90">
        <v>115000</v>
      </c>
      <c r="E19" s="90">
        <f>D19*1.08</f>
        <v>124200.00000000001</v>
      </c>
      <c r="F19" s="90">
        <f>E19*1.08</f>
        <v>134136.00000000003</v>
      </c>
      <c r="G19" s="90">
        <f>F19*1.08</f>
        <v>144866.88000000003</v>
      </c>
      <c r="H19" s="90">
        <f>G19*1.08</f>
        <v>156456.23040000006</v>
      </c>
      <c r="I19"/>
      <c r="J19" s="90">
        <f>SUM(D19:H19)</f>
        <v>674659.11040000012</v>
      </c>
    </row>
    <row r="20" spans="2:39">
      <c r="B20" s="23"/>
      <c r="C20" s="72" t="s">
        <v>56</v>
      </c>
      <c r="D20" s="90"/>
      <c r="E20" s="90"/>
      <c r="F20" s="90"/>
      <c r="G20" s="90"/>
      <c r="H20" s="90"/>
      <c r="I20"/>
      <c r="J20" s="90">
        <f t="shared" ref="J20:J28" si="2">SUM(D20:H20)</f>
        <v>0</v>
      </c>
    </row>
    <row r="21" spans="2:39">
      <c r="B21" s="23"/>
      <c r="C21" s="89" t="s">
        <v>57</v>
      </c>
      <c r="D21" s="90">
        <v>10680</v>
      </c>
      <c r="E21" s="90"/>
      <c r="F21" s="90"/>
      <c r="G21" s="90"/>
      <c r="H21" s="90"/>
      <c r="I21"/>
      <c r="J21" s="90">
        <f t="shared" si="2"/>
        <v>10680</v>
      </c>
    </row>
    <row r="22" spans="2:39">
      <c r="B22" s="23"/>
      <c r="C22" s="89" t="s">
        <v>58</v>
      </c>
      <c r="D22" s="90">
        <v>69282</v>
      </c>
      <c r="E22" s="90"/>
      <c r="F22" s="90"/>
      <c r="G22" s="90"/>
      <c r="H22" s="90"/>
      <c r="I22"/>
      <c r="J22" s="90">
        <f t="shared" si="2"/>
        <v>69282</v>
      </c>
    </row>
    <row r="23" spans="2:39">
      <c r="B23" s="23"/>
      <c r="C23" s="72" t="s">
        <v>59</v>
      </c>
      <c r="D23" s="90"/>
      <c r="E23" s="90"/>
      <c r="F23" s="90"/>
      <c r="G23" s="90"/>
      <c r="H23" s="90"/>
      <c r="I23"/>
      <c r="J23" s="90">
        <f t="shared" si="2"/>
        <v>0</v>
      </c>
    </row>
    <row r="24" spans="2:39">
      <c r="B24" s="23"/>
      <c r="C24" s="89" t="s">
        <v>60</v>
      </c>
      <c r="D24" s="97">
        <v>96793</v>
      </c>
      <c r="E24" s="97">
        <v>98489</v>
      </c>
      <c r="F24" s="97">
        <v>40135</v>
      </c>
      <c r="G24" s="97">
        <v>39709</v>
      </c>
      <c r="H24" s="90">
        <v>40771</v>
      </c>
      <c r="I24"/>
      <c r="J24" s="90">
        <f t="shared" si="2"/>
        <v>315897</v>
      </c>
    </row>
    <row r="25" spans="2:39">
      <c r="B25" s="23"/>
      <c r="C25" s="89" t="s">
        <v>61</v>
      </c>
      <c r="D25" s="90">
        <v>116214</v>
      </c>
      <c r="E25" s="90">
        <v>119816</v>
      </c>
      <c r="F25" s="90">
        <v>123531</v>
      </c>
      <c r="G25" s="90">
        <v>127360</v>
      </c>
      <c r="H25" s="90">
        <v>131308</v>
      </c>
      <c r="I25"/>
      <c r="J25" s="90">
        <f t="shared" si="2"/>
        <v>618229</v>
      </c>
    </row>
    <row r="26" spans="2:39">
      <c r="B26" s="23"/>
      <c r="C26" s="72" t="s">
        <v>62</v>
      </c>
      <c r="D26" s="90"/>
      <c r="E26" s="90"/>
      <c r="F26" s="90"/>
      <c r="G26" s="90"/>
      <c r="H26" s="90"/>
      <c r="I26"/>
      <c r="J26" s="90"/>
    </row>
    <row r="27" spans="2:39" ht="28.9">
      <c r="B27" s="23"/>
      <c r="C27" s="89" t="s">
        <v>63</v>
      </c>
      <c r="D27" s="90">
        <v>181466</v>
      </c>
      <c r="E27" s="90">
        <v>181466</v>
      </c>
      <c r="F27" s="90">
        <v>181466</v>
      </c>
      <c r="G27" s="90">
        <v>181466</v>
      </c>
      <c r="H27" s="90">
        <v>181466</v>
      </c>
      <c r="I27"/>
      <c r="J27" s="90">
        <f t="shared" si="2"/>
        <v>907330</v>
      </c>
    </row>
    <row r="28" spans="2:39">
      <c r="B28" s="23"/>
      <c r="C28" s="27"/>
      <c r="D28" s="15"/>
      <c r="E28" s="11"/>
      <c r="F28" s="11"/>
      <c r="G28" s="11"/>
      <c r="H28" s="11"/>
      <c r="J28" s="90">
        <f t="shared" si="2"/>
        <v>0</v>
      </c>
    </row>
    <row r="29" spans="2:39" ht="15">
      <c r="B29" s="23"/>
      <c r="C29" s="9" t="s">
        <v>12</v>
      </c>
      <c r="D29" s="16">
        <f>SUM(D9:D28)</f>
        <v>2975147</v>
      </c>
      <c r="E29" s="16">
        <f>SUM(E9:E28)</f>
        <v>3843565</v>
      </c>
      <c r="F29" s="16">
        <f>SUM(F9:F28)</f>
        <v>835821</v>
      </c>
      <c r="G29" s="16">
        <f>SUM(G9:G28)</f>
        <v>872856.37</v>
      </c>
      <c r="H29" s="16">
        <f>SUM(H9:H28)</f>
        <v>913908.1921000001</v>
      </c>
      <c r="I29" s="7">
        <f>SUM(I18:I28)</f>
        <v>0</v>
      </c>
      <c r="J29" s="16">
        <f>SUM(J9:J28)</f>
        <v>9441297.5621000007</v>
      </c>
    </row>
    <row r="30" spans="2:39">
      <c r="B30" s="23"/>
      <c r="C30" s="14" t="s">
        <v>36</v>
      </c>
      <c r="D30" s="13" t="s">
        <v>35</v>
      </c>
      <c r="E30" s="10"/>
      <c r="F30" s="10"/>
      <c r="G30" s="10"/>
      <c r="H30" s="10"/>
      <c r="J30" s="8" t="s">
        <v>35</v>
      </c>
    </row>
    <row r="31" spans="2:39">
      <c r="B31" s="23"/>
      <c r="C31" s="78" t="s">
        <v>47</v>
      </c>
      <c r="D31" s="79"/>
      <c r="E31" s="80"/>
      <c r="F31" s="80"/>
      <c r="G31" s="80"/>
      <c r="H31" s="80"/>
      <c r="I31"/>
      <c r="J31" s="18"/>
    </row>
    <row r="32" spans="2:39">
      <c r="B32" s="23"/>
      <c r="C32" s="89" t="s">
        <v>64</v>
      </c>
      <c r="D32" s="90">
        <f>(D12+D13)*0.35</f>
        <v>59149.999999999993</v>
      </c>
      <c r="E32" s="90">
        <f>(E12+E13)*0.35</f>
        <v>63629.999999999993</v>
      </c>
      <c r="F32" s="90">
        <f>(F12+F13)*0.35</f>
        <v>68455.8</v>
      </c>
      <c r="G32" s="90">
        <f>(G12+G13)*0.35</f>
        <v>73654.434000000008</v>
      </c>
      <c r="H32" s="90">
        <f>(H12+H13)*0.35</f>
        <v>79255.067220000012</v>
      </c>
      <c r="I32" s="92"/>
      <c r="J32" s="90">
        <f>SUM(D32:H32)</f>
        <v>344145.30122000002</v>
      </c>
    </row>
    <row r="33" spans="2:10">
      <c r="B33" s="23"/>
      <c r="C33" s="78" t="s">
        <v>50</v>
      </c>
      <c r="D33" s="79"/>
      <c r="E33" s="80"/>
      <c r="F33" s="80"/>
      <c r="G33" s="80"/>
      <c r="H33" s="80"/>
      <c r="I33"/>
      <c r="J33" s="18"/>
    </row>
    <row r="34" spans="2:10">
      <c r="B34" s="23"/>
      <c r="C34" s="89" t="s">
        <v>65</v>
      </c>
      <c r="D34" s="90">
        <f t="shared" ref="D34:H35" si="3">D15*0.35</f>
        <v>4375</v>
      </c>
      <c r="E34" s="90">
        <f t="shared" si="3"/>
        <v>4593.75</v>
      </c>
      <c r="F34" s="90">
        <f t="shared" si="3"/>
        <v>4823.4375</v>
      </c>
      <c r="G34" s="90">
        <f t="shared" si="3"/>
        <v>5064.609375</v>
      </c>
      <c r="H34" s="90">
        <f t="shared" si="3"/>
        <v>5317.83984375</v>
      </c>
      <c r="I34" s="92"/>
      <c r="J34" s="90">
        <f>SUM(D34:H34)</f>
        <v>24174.63671875</v>
      </c>
    </row>
    <row r="35" spans="2:10" ht="28.9">
      <c r="B35" s="23"/>
      <c r="C35" s="89" t="s">
        <v>66</v>
      </c>
      <c r="D35" s="90">
        <f t="shared" si="3"/>
        <v>40250</v>
      </c>
      <c r="E35" s="90">
        <f t="shared" si="3"/>
        <v>42262.5</v>
      </c>
      <c r="F35" s="90">
        <f t="shared" si="3"/>
        <v>44375.625</v>
      </c>
      <c r="G35" s="90">
        <f t="shared" si="3"/>
        <v>46594.40625</v>
      </c>
      <c r="H35" s="90">
        <f t="shared" si="3"/>
        <v>48924.126562499994</v>
      </c>
      <c r="I35" s="92"/>
      <c r="J35" s="90">
        <f>SUM(D35:H35)</f>
        <v>222406.65781249999</v>
      </c>
    </row>
    <row r="36" spans="2:10">
      <c r="B36" s="23"/>
      <c r="C36" s="72" t="s">
        <v>53</v>
      </c>
      <c r="D36" s="81"/>
      <c r="E36" s="81"/>
      <c r="F36" s="80"/>
      <c r="G36" s="80"/>
      <c r="H36" s="80"/>
      <c r="I36"/>
      <c r="J36" s="75">
        <f t="shared" ref="J36" si="4">SUM(D36:H36)</f>
        <v>0</v>
      </c>
    </row>
    <row r="37" spans="2:10">
      <c r="B37" s="23"/>
      <c r="C37" s="89" t="s">
        <v>64</v>
      </c>
      <c r="D37" s="90">
        <f>(D18+D19)*0.35</f>
        <v>46725</v>
      </c>
      <c r="E37" s="90">
        <f>D37*1.05</f>
        <v>49061.25</v>
      </c>
      <c r="F37" s="90">
        <f t="shared" ref="F37" si="5">E37*1.05</f>
        <v>51514.3125</v>
      </c>
      <c r="G37" s="90">
        <f t="shared" ref="G37" si="6">F37*1.05</f>
        <v>54090.028125000004</v>
      </c>
      <c r="H37" s="90">
        <f t="shared" ref="H37" si="7">G37*1.05</f>
        <v>56794.529531250009</v>
      </c>
      <c r="I37"/>
      <c r="J37" s="75">
        <f>SUM(D37:H37)</f>
        <v>258185.12015625002</v>
      </c>
    </row>
    <row r="38" spans="2:10">
      <c r="B38" s="23"/>
      <c r="C38" s="76"/>
      <c r="D38" s="81"/>
      <c r="E38" s="81"/>
      <c r="F38" s="75"/>
      <c r="G38" s="75"/>
      <c r="H38" s="75"/>
      <c r="I38"/>
      <c r="J38" s="75">
        <f>SUM(D38:H38)</f>
        <v>0</v>
      </c>
    </row>
    <row r="39" spans="2:10">
      <c r="B39" s="23"/>
      <c r="C39" s="72" t="s">
        <v>59</v>
      </c>
      <c r="D39" s="81"/>
      <c r="E39" s="81"/>
      <c r="F39" s="80"/>
      <c r="G39" s="80"/>
      <c r="H39" s="80"/>
      <c r="I39"/>
      <c r="J39" s="75">
        <f t="shared" ref="J39:J40" si="8">SUM(D39:H39)</f>
        <v>0</v>
      </c>
    </row>
    <row r="40" spans="2:10">
      <c r="B40" s="23"/>
      <c r="C40" s="89" t="s">
        <v>67</v>
      </c>
      <c r="D40" s="90">
        <v>43995</v>
      </c>
      <c r="E40" s="90">
        <v>45048</v>
      </c>
      <c r="F40" s="90">
        <v>9239</v>
      </c>
      <c r="G40" s="90">
        <v>9485</v>
      </c>
      <c r="H40" s="90">
        <v>9654</v>
      </c>
      <c r="I40"/>
      <c r="J40" s="75">
        <f t="shared" si="8"/>
        <v>117421</v>
      </c>
    </row>
    <row r="41" spans="2:10">
      <c r="B41" s="23"/>
      <c r="C41" s="89" t="s">
        <v>68</v>
      </c>
      <c r="D41" s="90">
        <v>4842</v>
      </c>
      <c r="E41" s="90">
        <v>4992</v>
      </c>
      <c r="F41" s="90">
        <v>5147</v>
      </c>
      <c r="G41" s="90">
        <v>5307</v>
      </c>
      <c r="H41" s="90">
        <v>5471</v>
      </c>
      <c r="I41"/>
      <c r="J41" s="75">
        <f>SUM(D41:H41)</f>
        <v>25759</v>
      </c>
    </row>
    <row r="42" spans="2:10">
      <c r="B42" s="23"/>
      <c r="C42" s="10"/>
      <c r="D42" s="15"/>
      <c r="E42" s="11"/>
      <c r="F42" s="11"/>
      <c r="G42" s="11"/>
      <c r="H42" s="11"/>
      <c r="J42" s="15">
        <f t="shared" ref="J42" si="9">SUM(D42:H42)</f>
        <v>0</v>
      </c>
    </row>
    <row r="43" spans="2:10">
      <c r="B43" s="23"/>
      <c r="C43" s="9" t="s">
        <v>13</v>
      </c>
      <c r="D43" s="16">
        <f>SUM(D32:D42)</f>
        <v>199337</v>
      </c>
      <c r="E43" s="16">
        <f>SUM(E32:E42)</f>
        <v>209587.5</v>
      </c>
      <c r="F43" s="16">
        <f>SUM(F32:F42)</f>
        <v>183555.17499999999</v>
      </c>
      <c r="G43" s="16">
        <f>SUM(G32:G42)</f>
        <v>194195.47775000002</v>
      </c>
      <c r="H43" s="16">
        <f>SUM(H32:H42)</f>
        <v>205416.5631575</v>
      </c>
      <c r="I43" s="7">
        <f>SUM(I42:I42)</f>
        <v>0</v>
      </c>
      <c r="J43" s="16">
        <f>SUM(J32:J42)</f>
        <v>992091.71590750013</v>
      </c>
    </row>
    <row r="44" spans="2:10">
      <c r="B44" s="23"/>
      <c r="C44" s="14" t="s">
        <v>37</v>
      </c>
      <c r="D44" s="13" t="s">
        <v>35</v>
      </c>
      <c r="E44" s="10"/>
      <c r="F44" s="10"/>
      <c r="G44" s="10"/>
      <c r="H44" s="10"/>
      <c r="J44" s="8" t="s">
        <v>35</v>
      </c>
    </row>
    <row r="45" spans="2:10">
      <c r="B45" s="23"/>
      <c r="C45" s="78" t="s">
        <v>47</v>
      </c>
      <c r="D45" s="13"/>
      <c r="E45" s="10"/>
      <c r="F45" s="10"/>
      <c r="G45" s="10"/>
      <c r="H45" s="10"/>
      <c r="J45" s="8"/>
    </row>
    <row r="46" spans="2:10" ht="57.6">
      <c r="B46" s="23"/>
      <c r="C46" s="89" t="s">
        <v>69</v>
      </c>
      <c r="D46" s="90">
        <f>5*36*0.45*365</f>
        <v>29565</v>
      </c>
      <c r="E46" s="90">
        <f>D46*1.07</f>
        <v>31634.550000000003</v>
      </c>
      <c r="F46" s="90">
        <f>E46*1.07</f>
        <v>33848.968500000003</v>
      </c>
      <c r="G46" s="90">
        <f>F46*1.07</f>
        <v>36218.396295000006</v>
      </c>
      <c r="H46" s="90">
        <f>G46*1.07</f>
        <v>38753.684035650011</v>
      </c>
      <c r="I46" s="35">
        <v>1638</v>
      </c>
      <c r="J46" s="15">
        <f t="shared" ref="J46" si="10">SUM(D46:H46)</f>
        <v>170020.59883065004</v>
      </c>
    </row>
    <row r="47" spans="2:10">
      <c r="B47" s="23"/>
      <c r="C47" s="78" t="s">
        <v>50</v>
      </c>
      <c r="D47" s="13"/>
      <c r="E47" s="10"/>
      <c r="F47" s="10"/>
      <c r="G47" s="10"/>
      <c r="H47" s="10"/>
      <c r="J47" s="8"/>
    </row>
    <row r="48" spans="2:10" ht="43.15">
      <c r="B48" s="23"/>
      <c r="C48" s="93" t="s">
        <v>70</v>
      </c>
      <c r="D48" s="90">
        <v>41391</v>
      </c>
      <c r="E48" s="90">
        <f>D48*0.07+D48</f>
        <v>44288.37</v>
      </c>
      <c r="F48" s="90">
        <f t="shared" ref="F48:H48" si="11">E48*0.07+E48</f>
        <v>47388.555900000007</v>
      </c>
      <c r="G48" s="90">
        <f t="shared" si="11"/>
        <v>50705.754813000007</v>
      </c>
      <c r="H48" s="90">
        <f t="shared" si="11"/>
        <v>54255.157649910005</v>
      </c>
      <c r="I48" s="35">
        <v>1638</v>
      </c>
      <c r="J48" s="15">
        <f t="shared" ref="J48" si="12">SUM(D48:H48)</f>
        <v>238028.83836291003</v>
      </c>
    </row>
    <row r="49" spans="2:10">
      <c r="B49" s="23"/>
      <c r="C49" s="72" t="s">
        <v>53</v>
      </c>
      <c r="D49" s="13"/>
      <c r="E49" s="10"/>
      <c r="F49" s="10"/>
      <c r="G49" s="10"/>
      <c r="H49" s="10"/>
      <c r="J49" s="8"/>
    </row>
    <row r="50" spans="2:10" ht="57.6">
      <c r="B50" s="23"/>
      <c r="C50" s="89" t="s">
        <v>71</v>
      </c>
      <c r="D50" s="90">
        <f>4*36*0.45*365</f>
        <v>23652</v>
      </c>
      <c r="E50" s="90">
        <f>D50*1.07</f>
        <v>25307.640000000003</v>
      </c>
      <c r="F50" s="90">
        <f>E50*1.07</f>
        <v>27079.174800000004</v>
      </c>
      <c r="G50" s="90">
        <f>F50*1.07</f>
        <v>28974.717036000005</v>
      </c>
      <c r="H50" s="90">
        <f>G50*1.07</f>
        <v>31002.947228520006</v>
      </c>
      <c r="I50" s="35">
        <v>1638</v>
      </c>
      <c r="J50" s="15">
        <f t="shared" ref="J50" si="13">SUM(D50:H50)</f>
        <v>136016.47906452001</v>
      </c>
    </row>
    <row r="51" spans="2:10">
      <c r="B51" s="23"/>
      <c r="C51" s="89"/>
      <c r="D51" s="90"/>
      <c r="E51" s="90"/>
      <c r="F51" s="90"/>
      <c r="G51" s="90"/>
      <c r="H51" s="90"/>
      <c r="I51" s="35"/>
      <c r="J51" s="15"/>
    </row>
    <row r="52" spans="2:10">
      <c r="B52" s="23"/>
      <c r="C52" s="9" t="s">
        <v>14</v>
      </c>
      <c r="D52" s="16">
        <f>SUM(D46:D50)</f>
        <v>94608</v>
      </c>
      <c r="E52" s="16">
        <f>SUM(E46:E50)</f>
        <v>101230.56000000001</v>
      </c>
      <c r="F52" s="16">
        <f>SUM(F46:F50)</f>
        <v>108316.69920000002</v>
      </c>
      <c r="G52" s="16">
        <f>SUM(G46:G50)</f>
        <v>115898.86814400002</v>
      </c>
      <c r="H52" s="16">
        <f>SUM(H46:H50)</f>
        <v>124011.78891408001</v>
      </c>
      <c r="J52" s="16">
        <f>SUM(J46:J50)</f>
        <v>544065.91625808005</v>
      </c>
    </row>
    <row r="53" spans="2:10">
      <c r="B53" s="23"/>
      <c r="C53" s="14" t="s">
        <v>38</v>
      </c>
      <c r="D53" s="15"/>
      <c r="E53" s="10"/>
      <c r="F53" s="10"/>
      <c r="G53" s="10"/>
      <c r="H53" s="10"/>
      <c r="J53" s="15" t="s">
        <v>20</v>
      </c>
    </row>
    <row r="54" spans="2:10">
      <c r="B54" s="23"/>
      <c r="C54" s="78" t="s">
        <v>47</v>
      </c>
      <c r="D54" s="78">
        <v>0</v>
      </c>
      <c r="E54" s="75"/>
      <c r="F54" s="75"/>
      <c r="G54" s="75"/>
      <c r="H54" s="75"/>
      <c r="I54"/>
      <c r="J54" s="75">
        <f t="shared" ref="J54:J56" si="14">SUM(D54:H54)</f>
        <v>0</v>
      </c>
    </row>
    <row r="55" spans="2:10" ht="28.9">
      <c r="B55" s="23"/>
      <c r="C55" s="89" t="s">
        <v>72</v>
      </c>
      <c r="D55" s="90">
        <f>270000</f>
        <v>270000</v>
      </c>
      <c r="E55" s="95"/>
      <c r="F55" s="95"/>
      <c r="G55" s="95"/>
      <c r="H55" s="95"/>
      <c r="I55" s="84"/>
      <c r="J55" s="83">
        <f t="shared" si="14"/>
        <v>270000</v>
      </c>
    </row>
    <row r="56" spans="2:10" ht="43.15">
      <c r="B56" s="23"/>
      <c r="C56" s="89" t="s">
        <v>73</v>
      </c>
      <c r="D56" s="90">
        <f>80000*6</f>
        <v>480000</v>
      </c>
      <c r="E56" s="95"/>
      <c r="F56" s="95"/>
      <c r="G56" s="95"/>
      <c r="H56" s="95"/>
      <c r="I56" s="84"/>
      <c r="J56" s="83">
        <f t="shared" si="14"/>
        <v>480000</v>
      </c>
    </row>
    <row r="57" spans="2:10">
      <c r="B57" s="23"/>
      <c r="C57" s="78" t="s">
        <v>50</v>
      </c>
      <c r="D57" s="78">
        <v>0</v>
      </c>
      <c r="E57" s="75"/>
      <c r="F57" s="75"/>
      <c r="G57" s="75"/>
      <c r="H57" s="75"/>
      <c r="I57"/>
      <c r="J57" s="75">
        <f t="shared" ref="J57:J62" si="15">SUM(D57:H57)</f>
        <v>0</v>
      </c>
    </row>
    <row r="58" spans="2:10" ht="45.6" customHeight="1">
      <c r="B58" s="23"/>
      <c r="C58" s="89" t="s">
        <v>74</v>
      </c>
      <c r="D58" s="90">
        <v>160000</v>
      </c>
      <c r="E58" s="90">
        <v>0</v>
      </c>
      <c r="F58" s="90">
        <v>0</v>
      </c>
      <c r="G58" s="90">
        <v>0</v>
      </c>
      <c r="H58" s="90">
        <v>0</v>
      </c>
      <c r="I58" s="84"/>
      <c r="J58" s="83">
        <f t="shared" si="15"/>
        <v>160000</v>
      </c>
    </row>
    <row r="59" spans="2:10" ht="33.6" customHeight="1">
      <c r="B59" s="23"/>
      <c r="C59" s="89" t="s">
        <v>75</v>
      </c>
      <c r="D59" s="90">
        <v>560000</v>
      </c>
      <c r="E59" s="90">
        <v>0</v>
      </c>
      <c r="F59" s="90">
        <v>0</v>
      </c>
      <c r="G59" s="90">
        <v>0</v>
      </c>
      <c r="H59" s="90">
        <v>0</v>
      </c>
      <c r="I59" s="84"/>
      <c r="J59" s="83">
        <f t="shared" si="15"/>
        <v>560000</v>
      </c>
    </row>
    <row r="60" spans="2:10">
      <c r="B60" s="23"/>
      <c r="C60" s="72" t="s">
        <v>53</v>
      </c>
      <c r="D60" s="83"/>
      <c r="E60" s="83"/>
      <c r="F60" s="75"/>
      <c r="G60" s="75"/>
      <c r="H60" s="75"/>
      <c r="I60"/>
      <c r="J60" s="83">
        <f t="shared" si="15"/>
        <v>0</v>
      </c>
    </row>
    <row r="61" spans="2:10" ht="28.9">
      <c r="B61" s="23"/>
      <c r="C61" s="89" t="s">
        <v>76</v>
      </c>
      <c r="D61" s="90">
        <f>10000+100000+40000+10000</f>
        <v>160000</v>
      </c>
      <c r="E61" s="95"/>
      <c r="F61" s="95"/>
      <c r="G61" s="95"/>
      <c r="H61" s="95"/>
      <c r="I61" s="92"/>
      <c r="J61" s="90">
        <f t="shared" si="15"/>
        <v>160000</v>
      </c>
    </row>
    <row r="62" spans="2:10" ht="43.15">
      <c r="B62" s="23"/>
      <c r="C62" s="89" t="s">
        <v>77</v>
      </c>
      <c r="D62" s="90">
        <f>80000*5</f>
        <v>400000</v>
      </c>
      <c r="E62" s="95"/>
      <c r="F62" s="95"/>
      <c r="G62" s="95"/>
      <c r="H62" s="95"/>
      <c r="I62" s="92"/>
      <c r="J62" s="90">
        <f t="shared" si="15"/>
        <v>400000</v>
      </c>
    </row>
    <row r="63" spans="2:10">
      <c r="B63" s="23"/>
      <c r="C63" s="72" t="s">
        <v>56</v>
      </c>
      <c r="D63" s="90"/>
      <c r="E63" s="95"/>
      <c r="F63" s="95"/>
      <c r="G63" s="95"/>
      <c r="H63" s="95"/>
      <c r="I63" s="92"/>
      <c r="J63" s="90">
        <f t="shared" ref="J63:J70" si="16">SUM(D63:H63)</f>
        <v>0</v>
      </c>
    </row>
    <row r="64" spans="2:10">
      <c r="B64" s="23"/>
      <c r="C64" s="89" t="s">
        <v>57</v>
      </c>
      <c r="D64" s="90"/>
      <c r="E64" s="95"/>
      <c r="F64" s="95"/>
      <c r="G64" s="95"/>
      <c r="H64" s="95"/>
      <c r="I64" s="92"/>
      <c r="J64" s="90">
        <f>SUM(D64:H64)</f>
        <v>0</v>
      </c>
    </row>
    <row r="65" spans="2:10">
      <c r="B65" s="23"/>
      <c r="C65" s="89" t="s">
        <v>58</v>
      </c>
      <c r="D65" s="90"/>
      <c r="E65" s="83"/>
      <c r="F65" s="75"/>
      <c r="G65" s="75"/>
      <c r="H65" s="75"/>
      <c r="I65"/>
      <c r="J65" s="90">
        <f>SUM(D65:H65)</f>
        <v>0</v>
      </c>
    </row>
    <row r="66" spans="2:10">
      <c r="B66" s="23"/>
      <c r="C66" s="72" t="s">
        <v>59</v>
      </c>
      <c r="D66" s="90"/>
      <c r="E66" s="83"/>
      <c r="F66" s="75"/>
      <c r="G66" s="75"/>
      <c r="H66" s="75"/>
      <c r="I66"/>
      <c r="J66" s="90">
        <f t="shared" ref="J66:J69" si="17">SUM(D66:H66)</f>
        <v>0</v>
      </c>
    </row>
    <row r="67" spans="2:10">
      <c r="B67" s="23"/>
      <c r="C67" s="98" t="s">
        <v>78</v>
      </c>
      <c r="D67" s="90">
        <v>805974</v>
      </c>
      <c r="E67" s="99">
        <v>159007</v>
      </c>
      <c r="F67" s="99"/>
      <c r="G67" s="99"/>
      <c r="H67" s="100"/>
      <c r="I67"/>
      <c r="J67" s="90">
        <f t="shared" si="17"/>
        <v>964981</v>
      </c>
    </row>
    <row r="68" spans="2:10">
      <c r="B68" s="23"/>
      <c r="C68" s="98" t="s">
        <v>79</v>
      </c>
      <c r="D68" s="102"/>
      <c r="E68" s="90">
        <v>20000</v>
      </c>
      <c r="F68" s="99">
        <v>24000</v>
      </c>
      <c r="G68" s="99">
        <v>30000</v>
      </c>
      <c r="H68" s="99">
        <v>35000</v>
      </c>
      <c r="I68"/>
      <c r="J68" s="90">
        <f t="shared" si="17"/>
        <v>109000</v>
      </c>
    </row>
    <row r="69" spans="2:10">
      <c r="B69" s="23"/>
      <c r="C69" s="89" t="s">
        <v>80</v>
      </c>
      <c r="D69" s="90">
        <v>1331796</v>
      </c>
      <c r="E69" s="100"/>
      <c r="F69" s="100"/>
      <c r="G69" s="100"/>
      <c r="H69" s="100"/>
      <c r="I69"/>
      <c r="J69" s="90">
        <f t="shared" si="17"/>
        <v>1331796</v>
      </c>
    </row>
    <row r="70" spans="2:10">
      <c r="B70" s="23" t="s">
        <v>39</v>
      </c>
      <c r="C70" s="89"/>
      <c r="D70" s="90"/>
      <c r="E70" s="100"/>
      <c r="F70" s="100"/>
      <c r="G70" s="100"/>
      <c r="H70" s="10"/>
      <c r="J70" s="90">
        <f t="shared" si="16"/>
        <v>0</v>
      </c>
    </row>
    <row r="71" spans="2:10">
      <c r="B71" s="23"/>
      <c r="C71" s="9" t="s">
        <v>15</v>
      </c>
      <c r="D71" s="12">
        <f>SUM(D55:D70)</f>
        <v>4167770</v>
      </c>
      <c r="E71" s="12">
        <f>SUM(E55:E70)</f>
        <v>179007</v>
      </c>
      <c r="F71" s="12">
        <f>SUM(F55:F70)</f>
        <v>24000</v>
      </c>
      <c r="G71" s="12">
        <f>SUM(G55:G70)</f>
        <v>30000</v>
      </c>
      <c r="H71" s="12">
        <f>SUM(H55:H70)</f>
        <v>35000</v>
      </c>
      <c r="J71" s="12">
        <f>SUM(J54:J70)</f>
        <v>4435777</v>
      </c>
    </row>
    <row r="72" spans="2:10">
      <c r="B72" s="23"/>
      <c r="C72" s="14" t="s">
        <v>40</v>
      </c>
      <c r="D72" s="13" t="s">
        <v>35</v>
      </c>
      <c r="E72" s="10"/>
      <c r="F72" s="10"/>
      <c r="G72" s="10"/>
      <c r="H72" s="10"/>
      <c r="J72" s="15"/>
    </row>
    <row r="73" spans="2:10">
      <c r="B73" s="23"/>
      <c r="C73" s="78" t="s">
        <v>47</v>
      </c>
      <c r="D73" s="15"/>
      <c r="E73" s="15"/>
      <c r="F73" s="15"/>
      <c r="G73" s="15"/>
      <c r="H73" s="15"/>
      <c r="I73" s="35">
        <v>5000</v>
      </c>
      <c r="J73" s="15">
        <f t="shared" ref="J73:J75" si="18">SUM(D73:H73)</f>
        <v>0</v>
      </c>
    </row>
    <row r="74" spans="2:10">
      <c r="B74" s="23"/>
      <c r="C74" s="89" t="s">
        <v>81</v>
      </c>
      <c r="D74" s="90">
        <v>4000</v>
      </c>
      <c r="E74" s="90">
        <f>D74*1.05</f>
        <v>4200</v>
      </c>
      <c r="F74" s="90">
        <f>E74*1.05</f>
        <v>4410</v>
      </c>
      <c r="G74" s="90">
        <f>F74*1.05</f>
        <v>4630.5</v>
      </c>
      <c r="H74" s="90">
        <f>G74*1.05</f>
        <v>4862.0250000000005</v>
      </c>
      <c r="I74" s="35"/>
      <c r="J74" s="15">
        <f t="shared" si="18"/>
        <v>22102.525000000001</v>
      </c>
    </row>
    <row r="75" spans="2:10">
      <c r="B75" s="23"/>
      <c r="C75" s="89" t="s">
        <v>82</v>
      </c>
      <c r="D75" s="90">
        <v>2500</v>
      </c>
      <c r="E75" s="96"/>
      <c r="F75" s="96"/>
      <c r="G75" s="96"/>
      <c r="H75" s="96"/>
      <c r="I75" s="35"/>
      <c r="J75" s="15">
        <f t="shared" si="18"/>
        <v>2500</v>
      </c>
    </row>
    <row r="76" spans="2:10">
      <c r="B76" s="23"/>
      <c r="C76" s="78" t="s">
        <v>50</v>
      </c>
      <c r="D76" s="15"/>
      <c r="E76" s="15"/>
      <c r="F76" s="15"/>
      <c r="G76" s="15"/>
      <c r="H76" s="15"/>
      <c r="I76" s="35">
        <v>5000</v>
      </c>
      <c r="J76" s="15">
        <f t="shared" ref="J76:J138" si="19">SUM(D76:H76)</f>
        <v>0</v>
      </c>
    </row>
    <row r="77" spans="2:10">
      <c r="B77" s="23"/>
      <c r="C77" s="89" t="s">
        <v>83</v>
      </c>
      <c r="D77" s="90">
        <v>4000</v>
      </c>
      <c r="E77" s="90">
        <v>4200</v>
      </c>
      <c r="F77" s="90">
        <v>4410</v>
      </c>
      <c r="G77" s="90">
        <v>4631</v>
      </c>
      <c r="H77" s="90">
        <v>4592</v>
      </c>
      <c r="I77" s="35"/>
      <c r="J77" s="15">
        <f t="shared" si="19"/>
        <v>21833</v>
      </c>
    </row>
    <row r="78" spans="2:10">
      <c r="B78" s="23"/>
      <c r="C78" s="72" t="s">
        <v>53</v>
      </c>
      <c r="D78" s="15"/>
      <c r="E78" s="15"/>
      <c r="F78" s="15"/>
      <c r="G78" s="15"/>
      <c r="H78" s="15"/>
      <c r="I78" s="35"/>
      <c r="J78" s="15">
        <f t="shared" si="19"/>
        <v>0</v>
      </c>
    </row>
    <row r="79" spans="2:10">
      <c r="B79" s="23"/>
      <c r="C79" s="89" t="s">
        <v>81</v>
      </c>
      <c r="D79" s="90">
        <v>2500</v>
      </c>
      <c r="E79" s="90">
        <f>D79*1.05</f>
        <v>2625</v>
      </c>
      <c r="F79" s="90">
        <f>E79*1.05</f>
        <v>2756.25</v>
      </c>
      <c r="G79" s="90">
        <f>F79*1.05</f>
        <v>2894.0625</v>
      </c>
      <c r="H79" s="90">
        <f>G79*1.05</f>
        <v>3038.765625</v>
      </c>
      <c r="I79" s="35"/>
      <c r="J79" s="15">
        <f t="shared" si="19"/>
        <v>13814.078125</v>
      </c>
    </row>
    <row r="80" spans="2:10">
      <c r="B80" s="23"/>
      <c r="C80" s="89" t="s">
        <v>82</v>
      </c>
      <c r="D80" s="90">
        <v>2500</v>
      </c>
      <c r="E80" s="96"/>
      <c r="F80" s="96"/>
      <c r="G80" s="96"/>
      <c r="H80" s="96"/>
      <c r="I80" s="35"/>
      <c r="J80" s="15">
        <f t="shared" si="19"/>
        <v>2500</v>
      </c>
    </row>
    <row r="81" spans="2:10">
      <c r="B81" s="23"/>
      <c r="C81" s="72" t="s">
        <v>56</v>
      </c>
      <c r="D81" s="15"/>
      <c r="E81" s="15"/>
      <c r="F81" s="15"/>
      <c r="G81" s="15"/>
      <c r="H81" s="15"/>
      <c r="I81" s="35"/>
      <c r="J81" s="15">
        <f t="shared" si="19"/>
        <v>0</v>
      </c>
    </row>
    <row r="82" spans="2:10">
      <c r="B82" s="23"/>
      <c r="C82" s="89" t="s">
        <v>84</v>
      </c>
      <c r="D82" s="90">
        <v>53726</v>
      </c>
      <c r="E82" s="15"/>
      <c r="F82" s="15"/>
      <c r="G82" s="15"/>
      <c r="H82" s="15"/>
      <c r="I82" s="35"/>
      <c r="J82" s="15">
        <f t="shared" si="19"/>
        <v>53726</v>
      </c>
    </row>
    <row r="83" spans="2:10">
      <c r="B83" s="23"/>
      <c r="C83" s="72" t="s">
        <v>59</v>
      </c>
      <c r="D83" s="15"/>
      <c r="E83" s="15"/>
      <c r="F83" s="15"/>
      <c r="G83" s="15"/>
      <c r="H83" s="15"/>
      <c r="I83" s="35"/>
      <c r="J83" s="15">
        <f t="shared" si="19"/>
        <v>0</v>
      </c>
    </row>
    <row r="84" spans="2:10">
      <c r="B84" s="23"/>
      <c r="C84" s="89" t="s">
        <v>85</v>
      </c>
      <c r="D84" s="90">
        <v>24000</v>
      </c>
      <c r="E84" s="96">
        <v>48000</v>
      </c>
      <c r="F84" s="96">
        <v>48000</v>
      </c>
      <c r="G84" s="96">
        <v>48000</v>
      </c>
      <c r="H84" s="96">
        <v>48000</v>
      </c>
      <c r="I84" s="35"/>
      <c r="J84" s="15">
        <f t="shared" si="19"/>
        <v>216000</v>
      </c>
    </row>
    <row r="85" spans="2:10">
      <c r="B85" s="23"/>
      <c r="C85" s="25"/>
      <c r="D85" s="15"/>
      <c r="E85" s="11"/>
      <c r="F85" s="11"/>
      <c r="G85" s="11"/>
      <c r="H85" s="11"/>
      <c r="J85" s="15">
        <f t="shared" si="19"/>
        <v>0</v>
      </c>
    </row>
    <row r="86" spans="2:10">
      <c r="B86" s="23"/>
      <c r="C86" s="9" t="s">
        <v>16</v>
      </c>
      <c r="D86" s="16">
        <f>SUM(D74:D85)</f>
        <v>93226</v>
      </c>
      <c r="E86" s="16">
        <f>SUM(E74:E85)</f>
        <v>59025</v>
      </c>
      <c r="F86" s="16">
        <f>SUM(F74:F85)</f>
        <v>59576.25</v>
      </c>
      <c r="G86" s="16">
        <f>SUM(G74:G85)</f>
        <v>60155.5625</v>
      </c>
      <c r="H86" s="16">
        <f>SUM(H74:H85)</f>
        <v>60492.790625000001</v>
      </c>
      <c r="J86" s="16">
        <f>SUM(J74:J85)</f>
        <v>332475.60312500002</v>
      </c>
    </row>
    <row r="87" spans="2:10">
      <c r="B87" s="23"/>
      <c r="C87" s="14" t="s">
        <v>41</v>
      </c>
      <c r="D87" s="13" t="s">
        <v>35</v>
      </c>
      <c r="E87" s="10"/>
      <c r="F87" s="10"/>
      <c r="G87" s="10"/>
      <c r="H87" s="10"/>
      <c r="J87" s="15"/>
    </row>
    <row r="88" spans="2:10">
      <c r="B88" s="23"/>
      <c r="C88" s="78" t="s">
        <v>44</v>
      </c>
      <c r="D88" s="75"/>
      <c r="E88" s="75"/>
      <c r="F88" s="75"/>
      <c r="G88" s="75"/>
      <c r="H88" s="75"/>
      <c r="I88" s="34"/>
      <c r="J88" s="75"/>
    </row>
    <row r="89" spans="2:10" ht="72">
      <c r="B89" s="23"/>
      <c r="C89" s="89" t="s">
        <v>86</v>
      </c>
      <c r="D89" s="90">
        <v>1964560</v>
      </c>
      <c r="E89" s="96">
        <v>2745112</v>
      </c>
      <c r="F89" s="96"/>
      <c r="G89" s="96"/>
      <c r="H89" s="96"/>
      <c r="I89" s="34"/>
      <c r="J89" s="15">
        <f t="shared" ref="J89" si="20">SUM(D89:H89)</f>
        <v>4709672</v>
      </c>
    </row>
    <row r="90" spans="2:10">
      <c r="B90" s="23"/>
      <c r="C90" s="78" t="s">
        <v>47</v>
      </c>
      <c r="D90" s="75"/>
      <c r="E90" s="75"/>
      <c r="F90" s="75"/>
      <c r="G90" s="75"/>
      <c r="H90" s="75"/>
      <c r="I90" s="34"/>
      <c r="J90" s="75"/>
    </row>
    <row r="91" spans="2:10" ht="57.6">
      <c r="B91" s="23"/>
      <c r="C91" s="89" t="s">
        <v>87</v>
      </c>
      <c r="D91" s="90">
        <v>1350000</v>
      </c>
      <c r="E91" s="90">
        <f>D91*1.03</f>
        <v>1390500</v>
      </c>
      <c r="F91" s="90">
        <f>E91*1.03</f>
        <v>1432215</v>
      </c>
      <c r="G91" s="90">
        <f>F91*1.03</f>
        <v>1475181.45</v>
      </c>
      <c r="H91" s="90">
        <f>G91*1.03</f>
        <v>1519436.8935</v>
      </c>
      <c r="I91" s="34"/>
      <c r="J91" s="15">
        <f t="shared" ref="J91:J93" si="21">SUM(D91:H91)</f>
        <v>7167333.3435000004</v>
      </c>
    </row>
    <row r="92" spans="2:10">
      <c r="B92" s="23"/>
      <c r="C92" s="89" t="s">
        <v>88</v>
      </c>
      <c r="D92" s="90">
        <f>5000</f>
        <v>5000</v>
      </c>
      <c r="E92" s="90">
        <f t="shared" ref="E92:H93" si="22">D92*1.05</f>
        <v>5250</v>
      </c>
      <c r="F92" s="90">
        <f t="shared" si="22"/>
        <v>5512.5</v>
      </c>
      <c r="G92" s="90">
        <f t="shared" si="22"/>
        <v>5788.125</v>
      </c>
      <c r="H92" s="90">
        <f t="shared" si="22"/>
        <v>6077.53125</v>
      </c>
      <c r="I92" s="34"/>
      <c r="J92" s="15">
        <f t="shared" si="21"/>
        <v>27628.15625</v>
      </c>
    </row>
    <row r="93" spans="2:10">
      <c r="B93" s="23"/>
      <c r="C93" s="89" t="s">
        <v>89</v>
      </c>
      <c r="D93" s="90">
        <v>20000</v>
      </c>
      <c r="E93" s="90">
        <f t="shared" si="22"/>
        <v>21000</v>
      </c>
      <c r="F93" s="90">
        <f t="shared" si="22"/>
        <v>22050</v>
      </c>
      <c r="G93" s="90">
        <f t="shared" si="22"/>
        <v>23152.5</v>
      </c>
      <c r="H93" s="90">
        <f t="shared" si="22"/>
        <v>24310.125</v>
      </c>
      <c r="I93" s="34"/>
      <c r="J93" s="15">
        <f t="shared" si="21"/>
        <v>110512.625</v>
      </c>
    </row>
    <row r="94" spans="2:10">
      <c r="B94" s="23"/>
      <c r="C94" s="78" t="s">
        <v>50</v>
      </c>
      <c r="D94" s="75"/>
      <c r="E94" s="75"/>
      <c r="F94" s="75"/>
      <c r="G94" s="75"/>
      <c r="H94" s="75"/>
      <c r="I94" s="34"/>
      <c r="J94" s="75"/>
    </row>
    <row r="95" spans="2:10">
      <c r="B95" s="23"/>
      <c r="C95" s="89" t="s">
        <v>90</v>
      </c>
      <c r="D95" s="90">
        <v>1320480</v>
      </c>
      <c r="E95" s="90">
        <f>D95*1.05</f>
        <v>1386504</v>
      </c>
      <c r="F95" s="90">
        <f t="shared" ref="F95:H95" si="23">E95*1.05</f>
        <v>1455829.2</v>
      </c>
      <c r="G95" s="90">
        <f t="shared" si="23"/>
        <v>1528620.66</v>
      </c>
      <c r="H95" s="90">
        <f t="shared" si="23"/>
        <v>1605051.693</v>
      </c>
      <c r="I95" s="34"/>
      <c r="J95" s="15">
        <f t="shared" si="19"/>
        <v>7296485.5530000003</v>
      </c>
    </row>
    <row r="96" spans="2:10">
      <c r="B96" s="23"/>
      <c r="C96" s="89" t="s">
        <v>91</v>
      </c>
      <c r="D96" s="90">
        <v>0</v>
      </c>
      <c r="E96" s="90">
        <v>0</v>
      </c>
      <c r="F96" s="90">
        <v>0</v>
      </c>
      <c r="G96" s="90">
        <v>0</v>
      </c>
      <c r="H96" s="90">
        <v>0</v>
      </c>
      <c r="I96" s="34"/>
      <c r="J96" s="15">
        <f t="shared" si="19"/>
        <v>0</v>
      </c>
    </row>
    <row r="97" spans="2:10">
      <c r="B97" s="23"/>
      <c r="C97" s="89" t="s">
        <v>92</v>
      </c>
      <c r="D97" s="90">
        <v>4000</v>
      </c>
      <c r="E97" s="90">
        <v>4200</v>
      </c>
      <c r="F97" s="90">
        <v>4410</v>
      </c>
      <c r="G97" s="90">
        <v>4631</v>
      </c>
      <c r="H97" s="90">
        <v>4592</v>
      </c>
      <c r="I97" s="34"/>
      <c r="J97" s="15">
        <f t="shared" si="19"/>
        <v>21833</v>
      </c>
    </row>
    <row r="98" spans="2:10">
      <c r="B98" s="23"/>
      <c r="C98" s="89" t="s">
        <v>89</v>
      </c>
      <c r="D98" s="90">
        <v>20000</v>
      </c>
      <c r="E98" s="90">
        <v>21000</v>
      </c>
      <c r="F98" s="90">
        <v>22050</v>
      </c>
      <c r="G98" s="90">
        <v>23153</v>
      </c>
      <c r="H98" s="90">
        <v>24310</v>
      </c>
      <c r="I98" s="34"/>
      <c r="J98" s="15">
        <f t="shared" si="19"/>
        <v>110513</v>
      </c>
    </row>
    <row r="99" spans="2:10">
      <c r="B99" s="23"/>
      <c r="C99" s="72" t="s">
        <v>53</v>
      </c>
      <c r="D99" s="74"/>
      <c r="E99" s="75"/>
      <c r="F99" s="75"/>
      <c r="G99" s="75"/>
      <c r="H99" s="75"/>
      <c r="I99" s="34"/>
      <c r="J99" s="15">
        <f t="shared" si="19"/>
        <v>0</v>
      </c>
    </row>
    <row r="100" spans="2:10" ht="57.6">
      <c r="B100" s="23"/>
      <c r="C100" s="89" t="s">
        <v>93</v>
      </c>
      <c r="D100" s="90">
        <v>1100000</v>
      </c>
      <c r="E100" s="90">
        <f>D100*1.03</f>
        <v>1133000</v>
      </c>
      <c r="F100" s="90">
        <f>E100*1.03</f>
        <v>1166990</v>
      </c>
      <c r="G100" s="90">
        <f>F100*1.03</f>
        <v>1201999.7</v>
      </c>
      <c r="H100" s="90">
        <f>G100*1.03</f>
        <v>1238059.6909999999</v>
      </c>
      <c r="I100" s="34"/>
      <c r="J100" s="15">
        <f t="shared" si="19"/>
        <v>5840049.3909999998</v>
      </c>
    </row>
    <row r="101" spans="2:10">
      <c r="B101" s="23"/>
      <c r="C101" s="89" t="s">
        <v>88</v>
      </c>
      <c r="D101" s="90">
        <f>2000</f>
        <v>2000</v>
      </c>
      <c r="E101" s="90">
        <f t="shared" ref="E101:H102" si="24">D101*1.05</f>
        <v>2100</v>
      </c>
      <c r="F101" s="90">
        <f t="shared" si="24"/>
        <v>2205</v>
      </c>
      <c r="G101" s="90">
        <f t="shared" si="24"/>
        <v>2315.25</v>
      </c>
      <c r="H101" s="90">
        <f t="shared" si="24"/>
        <v>2431.0125000000003</v>
      </c>
      <c r="I101" s="34"/>
      <c r="J101" s="15">
        <f t="shared" si="19"/>
        <v>11051.262500000001</v>
      </c>
    </row>
    <row r="102" spans="2:10">
      <c r="B102" s="23"/>
      <c r="C102" s="89" t="s">
        <v>89</v>
      </c>
      <c r="D102" s="90">
        <v>20000</v>
      </c>
      <c r="E102" s="90">
        <f t="shared" si="24"/>
        <v>21000</v>
      </c>
      <c r="F102" s="90">
        <f t="shared" si="24"/>
        <v>22050</v>
      </c>
      <c r="G102" s="90">
        <f t="shared" si="24"/>
        <v>23152.5</v>
      </c>
      <c r="H102" s="90">
        <f t="shared" si="24"/>
        <v>24310.125</v>
      </c>
      <c r="I102" s="34"/>
      <c r="J102" s="15">
        <f t="shared" si="19"/>
        <v>110512.625</v>
      </c>
    </row>
    <row r="103" spans="2:10">
      <c r="B103" s="23"/>
      <c r="C103" s="72" t="s">
        <v>56</v>
      </c>
      <c r="D103" s="75"/>
      <c r="E103" s="75"/>
      <c r="F103" s="75"/>
      <c r="G103" s="75"/>
      <c r="H103" s="75"/>
      <c r="I103" s="34"/>
      <c r="J103" s="15">
        <f t="shared" si="19"/>
        <v>0</v>
      </c>
    </row>
    <row r="104" spans="2:10">
      <c r="B104" s="23"/>
      <c r="C104" s="89" t="s">
        <v>94</v>
      </c>
      <c r="D104" s="90">
        <v>432659</v>
      </c>
      <c r="E104" s="75"/>
      <c r="F104" s="75"/>
      <c r="G104" s="75"/>
      <c r="H104" s="75"/>
      <c r="I104" s="34"/>
      <c r="J104" s="15">
        <f t="shared" si="19"/>
        <v>432659</v>
      </c>
    </row>
    <row r="105" spans="2:10">
      <c r="B105" s="23"/>
      <c r="C105" s="72" t="s">
        <v>59</v>
      </c>
      <c r="D105" s="75"/>
      <c r="E105" s="75"/>
      <c r="F105" s="75"/>
      <c r="G105" s="75"/>
      <c r="H105" s="75"/>
      <c r="I105" s="34"/>
      <c r="J105" s="15">
        <f t="shared" si="19"/>
        <v>0</v>
      </c>
    </row>
    <row r="106" spans="2:10">
      <c r="B106" s="23"/>
      <c r="C106" s="89" t="s">
        <v>95</v>
      </c>
      <c r="D106" s="103"/>
      <c r="E106" s="90">
        <v>2864000</v>
      </c>
      <c r="F106" s="90">
        <v>3261916</v>
      </c>
      <c r="G106" s="90">
        <v>3326900</v>
      </c>
      <c r="H106" s="90">
        <v>3426707</v>
      </c>
      <c r="I106" s="34"/>
      <c r="J106" s="15">
        <f t="shared" si="19"/>
        <v>12879523</v>
      </c>
    </row>
    <row r="107" spans="2:10">
      <c r="B107" s="23"/>
      <c r="C107" s="89" t="s">
        <v>96</v>
      </c>
      <c r="D107" s="104">
        <v>50000</v>
      </c>
      <c r="E107" s="90">
        <v>30000</v>
      </c>
      <c r="F107" s="90">
        <v>15000</v>
      </c>
      <c r="G107" s="90">
        <v>15000</v>
      </c>
      <c r="H107" s="90">
        <v>15000</v>
      </c>
      <c r="I107" s="34"/>
      <c r="J107" s="15">
        <f t="shared" si="19"/>
        <v>125000</v>
      </c>
    </row>
    <row r="108" spans="2:10">
      <c r="B108" s="23"/>
      <c r="C108" s="89" t="s">
        <v>97</v>
      </c>
      <c r="D108" s="90">
        <v>20000</v>
      </c>
      <c r="E108" s="90">
        <v>10000</v>
      </c>
      <c r="F108" s="90"/>
      <c r="G108" s="90"/>
      <c r="H108" s="90"/>
      <c r="I108" s="34"/>
      <c r="J108" s="15">
        <f t="shared" si="19"/>
        <v>30000</v>
      </c>
    </row>
    <row r="109" spans="2:10">
      <c r="B109" s="23"/>
      <c r="C109" s="89" t="s">
        <v>98</v>
      </c>
      <c r="D109" s="90">
        <v>60000</v>
      </c>
      <c r="E109" s="90">
        <v>60000</v>
      </c>
      <c r="F109" s="90"/>
      <c r="G109" s="90"/>
      <c r="H109" s="90"/>
      <c r="I109" s="34"/>
      <c r="J109" s="15">
        <f t="shared" si="19"/>
        <v>120000</v>
      </c>
    </row>
    <row r="110" spans="2:10">
      <c r="B110" s="23"/>
      <c r="C110" s="89" t="s">
        <v>99</v>
      </c>
      <c r="D110" s="90">
        <v>70200</v>
      </c>
      <c r="E110" s="90">
        <v>72376</v>
      </c>
      <c r="F110" s="90">
        <v>74620</v>
      </c>
      <c r="G110" s="90">
        <v>76933</v>
      </c>
      <c r="H110" s="90">
        <v>79318</v>
      </c>
      <c r="I110" s="34"/>
      <c r="J110" s="15">
        <f t="shared" si="19"/>
        <v>373447</v>
      </c>
    </row>
    <row r="111" spans="2:10">
      <c r="B111" s="23"/>
      <c r="C111" s="72" t="s">
        <v>62</v>
      </c>
      <c r="D111" s="90"/>
      <c r="E111" s="90"/>
      <c r="F111" s="90"/>
      <c r="G111" s="90"/>
      <c r="H111" s="75"/>
      <c r="I111" s="34"/>
      <c r="J111" s="15"/>
    </row>
    <row r="112" spans="2:10" ht="57.6">
      <c r="B112" s="23"/>
      <c r="C112" s="89" t="s">
        <v>100</v>
      </c>
      <c r="D112" s="90">
        <v>2614396</v>
      </c>
      <c r="E112" s="90">
        <v>3636625</v>
      </c>
      <c r="F112" s="90">
        <v>3891189</v>
      </c>
      <c r="G112" s="90">
        <v>4804122</v>
      </c>
      <c r="H112" s="90">
        <v>5140410</v>
      </c>
      <c r="I112" s="34"/>
      <c r="J112" s="15">
        <f t="shared" si="19"/>
        <v>20086742</v>
      </c>
    </row>
    <row r="113" spans="2:10">
      <c r="B113" s="23"/>
      <c r="C113" s="89" t="s">
        <v>101</v>
      </c>
      <c r="D113" s="90">
        <f>SUM(D112)*0.1</f>
        <v>261439.6</v>
      </c>
      <c r="E113" s="90">
        <f>SUM(E112)*0.1</f>
        <v>363662.5</v>
      </c>
      <c r="F113" s="90">
        <f>SUM(F112)*0.1</f>
        <v>389118.9</v>
      </c>
      <c r="G113" s="90">
        <f>SUM(G112)*0.1</f>
        <v>480412.2</v>
      </c>
      <c r="H113" s="90">
        <f>SUM(H112)*0.1</f>
        <v>514041</v>
      </c>
      <c r="I113" s="34"/>
      <c r="J113" s="15">
        <f t="shared" si="19"/>
        <v>2008674.2</v>
      </c>
    </row>
    <row r="114" spans="2:10">
      <c r="B114" s="23"/>
      <c r="C114" s="72"/>
      <c r="D114" s="75"/>
      <c r="E114" s="75"/>
      <c r="F114" s="75"/>
      <c r="G114" s="75"/>
      <c r="H114" s="75"/>
      <c r="I114" s="34"/>
      <c r="J114" s="75"/>
    </row>
    <row r="115" spans="2:10">
      <c r="B115" s="23"/>
      <c r="C115" s="9" t="s">
        <v>17</v>
      </c>
      <c r="D115" s="16">
        <f>SUM(D89:D114)</f>
        <v>9314734.5999999996</v>
      </c>
      <c r="E115" s="16">
        <f>SUM(E89:E114)</f>
        <v>13766329.5</v>
      </c>
      <c r="F115" s="16">
        <f>SUM(F89:F114)</f>
        <v>11765155.6</v>
      </c>
      <c r="G115" s="16">
        <f>SUM(G89:G114)</f>
        <v>12991361.384999998</v>
      </c>
      <c r="H115" s="16">
        <f>SUM(H89:H114)</f>
        <v>13624055.071249999</v>
      </c>
      <c r="J115" s="16">
        <f>SUM(J89:J114)</f>
        <v>61461636.15625</v>
      </c>
    </row>
    <row r="116" spans="2:10">
      <c r="B116" s="23"/>
      <c r="C116" s="14" t="s">
        <v>42</v>
      </c>
      <c r="D116" s="13" t="s">
        <v>35</v>
      </c>
      <c r="E116" s="10"/>
      <c r="F116" s="10"/>
      <c r="G116" s="10"/>
      <c r="H116" s="10"/>
      <c r="J116" s="15"/>
    </row>
    <row r="117" spans="2:10">
      <c r="B117" s="23"/>
      <c r="C117" s="78" t="s">
        <v>47</v>
      </c>
      <c r="D117" s="15"/>
      <c r="E117" s="15"/>
      <c r="F117" s="15"/>
      <c r="G117" s="15"/>
      <c r="H117" s="15"/>
      <c r="I117" s="35">
        <v>375000</v>
      </c>
      <c r="J117" s="15">
        <f t="shared" ref="J117" si="25">SUM(D117:H117)</f>
        <v>0</v>
      </c>
    </row>
    <row r="118" spans="2:10">
      <c r="B118" s="23"/>
      <c r="C118" s="89" t="s">
        <v>102</v>
      </c>
      <c r="D118" s="90">
        <f>8000*6</f>
        <v>48000</v>
      </c>
      <c r="E118" s="90"/>
      <c r="F118" s="90">
        <f>8000*3</f>
        <v>24000</v>
      </c>
      <c r="G118" s="90"/>
      <c r="H118" s="90"/>
      <c r="I118" s="92"/>
      <c r="J118" s="90">
        <f t="shared" ref="J118:J119" si="26">SUM(D118:H118)</f>
        <v>72000</v>
      </c>
    </row>
    <row r="119" spans="2:10">
      <c r="B119" s="23"/>
      <c r="C119" s="89" t="s">
        <v>103</v>
      </c>
      <c r="D119" s="90">
        <v>0</v>
      </c>
      <c r="E119" s="90">
        <f>1000*6</f>
        <v>6000</v>
      </c>
      <c r="F119" s="90">
        <f t="shared" ref="F119:H120" si="27">E119*1.05</f>
        <v>6300</v>
      </c>
      <c r="G119" s="90">
        <f t="shared" si="27"/>
        <v>6615</v>
      </c>
      <c r="H119" s="90">
        <f t="shared" si="27"/>
        <v>6945.75</v>
      </c>
      <c r="I119" s="92"/>
      <c r="J119" s="90">
        <f t="shared" si="26"/>
        <v>25860.75</v>
      </c>
    </row>
    <row r="120" spans="2:10" ht="28.9">
      <c r="B120" s="23"/>
      <c r="C120" s="89" t="s">
        <v>104</v>
      </c>
      <c r="D120" s="90">
        <v>0</v>
      </c>
      <c r="E120" s="90">
        <f>35000*0.03*6</f>
        <v>6300</v>
      </c>
      <c r="F120" s="90">
        <f t="shared" si="27"/>
        <v>6615</v>
      </c>
      <c r="G120" s="90">
        <f t="shared" si="27"/>
        <v>6945.75</v>
      </c>
      <c r="H120" s="90">
        <f t="shared" si="27"/>
        <v>7293.0375000000004</v>
      </c>
      <c r="I120" s="92"/>
      <c r="J120" s="90">
        <f>SUM(D120:H120)</f>
        <v>27153.787499999999</v>
      </c>
    </row>
    <row r="121" spans="2:10">
      <c r="B121" s="23"/>
      <c r="C121" s="89" t="s">
        <v>105</v>
      </c>
      <c r="D121" s="90">
        <v>0</v>
      </c>
      <c r="E121" s="96">
        <v>5000</v>
      </c>
      <c r="F121" s="96">
        <v>15000</v>
      </c>
      <c r="G121" s="96">
        <v>20000</v>
      </c>
      <c r="H121" s="96">
        <v>25000</v>
      </c>
      <c r="I121" s="92"/>
      <c r="J121" s="90">
        <f>SUM(D121:H121)</f>
        <v>65000</v>
      </c>
    </row>
    <row r="122" spans="2:10">
      <c r="B122" s="23"/>
      <c r="C122" s="78" t="s">
        <v>50</v>
      </c>
      <c r="D122" s="15"/>
      <c r="E122" s="15"/>
      <c r="F122" s="15"/>
      <c r="G122" s="15"/>
      <c r="H122" s="15"/>
      <c r="I122" s="35">
        <v>375000</v>
      </c>
      <c r="J122" s="15">
        <f t="shared" si="19"/>
        <v>0</v>
      </c>
    </row>
    <row r="123" spans="2:10">
      <c r="B123" s="23"/>
      <c r="C123" s="89" t="s">
        <v>106</v>
      </c>
      <c r="D123" s="90">
        <v>56000</v>
      </c>
      <c r="E123" s="90">
        <v>0</v>
      </c>
      <c r="F123" s="90">
        <v>24000</v>
      </c>
      <c r="G123" s="90">
        <v>0</v>
      </c>
      <c r="H123" s="90">
        <v>0</v>
      </c>
      <c r="I123" s="92"/>
      <c r="J123" s="90">
        <f t="shared" ref="J123:J124" si="28">SUM(D123:H123)</f>
        <v>80000</v>
      </c>
    </row>
    <row r="124" spans="2:10">
      <c r="B124" s="23"/>
      <c r="C124" s="89" t="s">
        <v>107</v>
      </c>
      <c r="D124" s="90">
        <v>0</v>
      </c>
      <c r="E124" s="90">
        <v>7000</v>
      </c>
      <c r="F124" s="90">
        <v>7350</v>
      </c>
      <c r="G124" s="90">
        <v>7718</v>
      </c>
      <c r="H124" s="90">
        <v>8103</v>
      </c>
      <c r="I124" s="92"/>
      <c r="J124" s="90">
        <f t="shared" si="28"/>
        <v>30171</v>
      </c>
    </row>
    <row r="125" spans="2:10">
      <c r="B125" s="23"/>
      <c r="C125" s="89" t="s">
        <v>108</v>
      </c>
      <c r="D125" s="90">
        <v>0</v>
      </c>
      <c r="E125" s="90">
        <v>7350</v>
      </c>
      <c r="F125" s="90">
        <v>7718</v>
      </c>
      <c r="G125" s="90">
        <v>8103</v>
      </c>
      <c r="H125" s="90">
        <v>8509</v>
      </c>
      <c r="I125" s="92"/>
      <c r="J125" s="90">
        <f>SUM(D125:H125)</f>
        <v>31680</v>
      </c>
    </row>
    <row r="126" spans="2:10">
      <c r="B126" s="23"/>
      <c r="C126" s="89" t="s">
        <v>105</v>
      </c>
      <c r="D126" s="90">
        <v>0</v>
      </c>
      <c r="E126" s="90">
        <v>0</v>
      </c>
      <c r="F126" s="90">
        <v>21000</v>
      </c>
      <c r="G126" s="90">
        <v>28000</v>
      </c>
      <c r="H126" s="90">
        <v>35000</v>
      </c>
      <c r="I126" s="92"/>
      <c r="J126" s="90">
        <f>SUM(D126:H126)</f>
        <v>84000</v>
      </c>
    </row>
    <row r="127" spans="2:10">
      <c r="B127" s="23"/>
      <c r="C127" s="72" t="s">
        <v>53</v>
      </c>
      <c r="D127" s="15"/>
      <c r="E127" s="15"/>
      <c r="F127" s="15"/>
      <c r="G127" s="15"/>
      <c r="H127" s="15"/>
      <c r="I127" s="35"/>
      <c r="J127" s="15"/>
    </row>
    <row r="128" spans="2:10">
      <c r="B128" s="23"/>
      <c r="C128" s="89" t="s">
        <v>109</v>
      </c>
      <c r="D128" s="90">
        <f>8000*5</f>
        <v>40000</v>
      </c>
      <c r="E128" s="90"/>
      <c r="F128" s="90">
        <f>8000*2</f>
        <v>16000</v>
      </c>
      <c r="G128" s="90"/>
      <c r="H128" s="90"/>
      <c r="I128" s="35">
        <v>781250</v>
      </c>
      <c r="J128" s="15">
        <f t="shared" si="19"/>
        <v>56000</v>
      </c>
    </row>
    <row r="129" spans="2:10">
      <c r="B129" s="23"/>
      <c r="C129" s="89" t="s">
        <v>110</v>
      </c>
      <c r="D129" s="90">
        <v>0</v>
      </c>
      <c r="E129" s="90">
        <f>1000*5</f>
        <v>5000</v>
      </c>
      <c r="F129" s="90">
        <f t="shared" ref="F129:H130" si="29">E129*1.05</f>
        <v>5250</v>
      </c>
      <c r="G129" s="90">
        <f t="shared" si="29"/>
        <v>5512.5</v>
      </c>
      <c r="H129" s="90">
        <f t="shared" si="29"/>
        <v>5788.125</v>
      </c>
      <c r="I129" s="35">
        <v>2083335</v>
      </c>
      <c r="J129" s="15">
        <f t="shared" si="19"/>
        <v>21550.625</v>
      </c>
    </row>
    <row r="130" spans="2:10" ht="28.9">
      <c r="B130" s="23"/>
      <c r="C130" s="89" t="s">
        <v>111</v>
      </c>
      <c r="D130" s="90">
        <v>0</v>
      </c>
      <c r="E130" s="90">
        <f>35000*0.03*5</f>
        <v>5250</v>
      </c>
      <c r="F130" s="90">
        <f t="shared" si="29"/>
        <v>5512.5</v>
      </c>
      <c r="G130" s="90">
        <f t="shared" si="29"/>
        <v>5788.125</v>
      </c>
      <c r="H130" s="90">
        <f t="shared" si="29"/>
        <v>6077.53125</v>
      </c>
      <c r="J130" s="15">
        <f t="shared" si="19"/>
        <v>22628.15625</v>
      </c>
    </row>
    <row r="131" spans="2:10">
      <c r="B131" s="23"/>
      <c r="C131" s="89" t="s">
        <v>105</v>
      </c>
      <c r="D131" s="90">
        <v>0</v>
      </c>
      <c r="E131" s="96">
        <v>0</v>
      </c>
      <c r="F131" s="96">
        <v>15000</v>
      </c>
      <c r="G131" s="96">
        <v>20000</v>
      </c>
      <c r="H131" s="96">
        <v>25000</v>
      </c>
      <c r="J131" s="15">
        <f t="shared" si="19"/>
        <v>60000</v>
      </c>
    </row>
    <row r="132" spans="2:10">
      <c r="B132" s="23"/>
      <c r="C132" s="72" t="s">
        <v>56</v>
      </c>
      <c r="D132" s="90"/>
      <c r="E132" s="96"/>
      <c r="F132" s="96"/>
      <c r="G132" s="96"/>
      <c r="H132" s="96"/>
      <c r="J132" s="15"/>
    </row>
    <row r="133" spans="2:10">
      <c r="B133" s="23"/>
      <c r="C133" s="89" t="s">
        <v>112</v>
      </c>
      <c r="D133" s="90">
        <v>64928</v>
      </c>
      <c r="E133" s="11"/>
      <c r="F133" s="11"/>
      <c r="G133" s="11"/>
      <c r="H133" s="11"/>
      <c r="J133" s="15">
        <f t="shared" si="19"/>
        <v>64928</v>
      </c>
    </row>
    <row r="134" spans="2:10">
      <c r="B134" s="23"/>
      <c r="C134" s="72" t="s">
        <v>59</v>
      </c>
      <c r="D134" s="90"/>
      <c r="E134" s="11"/>
      <c r="F134" s="11"/>
      <c r="G134" s="11"/>
      <c r="H134" s="11"/>
      <c r="J134" s="15">
        <f t="shared" si="19"/>
        <v>0</v>
      </c>
    </row>
    <row r="135" spans="2:10" ht="28.9">
      <c r="B135" s="23"/>
      <c r="C135" s="89" t="s">
        <v>113</v>
      </c>
      <c r="D135" s="90">
        <v>14000</v>
      </c>
      <c r="E135" s="96">
        <v>7000</v>
      </c>
      <c r="F135" s="96"/>
      <c r="G135" s="96"/>
      <c r="H135" s="96">
        <v>500</v>
      </c>
      <c r="J135" s="15">
        <f t="shared" si="19"/>
        <v>21500</v>
      </c>
    </row>
    <row r="136" spans="2:10">
      <c r="B136" s="23"/>
      <c r="C136" s="89" t="s">
        <v>114</v>
      </c>
      <c r="D136" s="90">
        <v>4000</v>
      </c>
      <c r="E136" s="96">
        <v>3000</v>
      </c>
      <c r="F136" s="96"/>
      <c r="G136" s="96"/>
      <c r="H136" s="96">
        <v>200</v>
      </c>
      <c r="J136" s="15">
        <f t="shared" si="19"/>
        <v>7200</v>
      </c>
    </row>
    <row r="137" spans="2:10">
      <c r="B137" s="23"/>
      <c r="C137" s="89" t="s">
        <v>115</v>
      </c>
      <c r="D137" s="90">
        <v>30000</v>
      </c>
      <c r="E137" s="96">
        <v>20000</v>
      </c>
      <c r="F137" s="96">
        <v>10000</v>
      </c>
      <c r="G137" s="96">
        <v>10000</v>
      </c>
      <c r="H137" s="96">
        <v>10000</v>
      </c>
      <c r="J137" s="15">
        <f t="shared" si="19"/>
        <v>80000</v>
      </c>
    </row>
    <row r="138" spans="2:10">
      <c r="B138" s="23"/>
      <c r="C138" s="89"/>
      <c r="D138" s="90"/>
      <c r="E138" s="11"/>
      <c r="F138" s="11"/>
      <c r="G138" s="11"/>
      <c r="H138" s="11"/>
      <c r="J138" s="15">
        <f t="shared" si="19"/>
        <v>0</v>
      </c>
    </row>
    <row r="139" spans="2:10">
      <c r="B139" s="24"/>
      <c r="C139" s="9" t="s">
        <v>18</v>
      </c>
      <c r="D139" s="16">
        <f>SUM(D118:D137)</f>
        <v>256928</v>
      </c>
      <c r="E139" s="16">
        <f>SUM(E118:E137)</f>
        <v>71900</v>
      </c>
      <c r="F139" s="16">
        <f>SUM(F118:F137)</f>
        <v>163745.5</v>
      </c>
      <c r="G139" s="16">
        <f>SUM(G118:G137)</f>
        <v>118682.375</v>
      </c>
      <c r="H139" s="16">
        <f>SUM(H118:H137)</f>
        <v>138416.44375000001</v>
      </c>
      <c r="J139" s="16">
        <f>SUM(J118:J137)</f>
        <v>749672.31874999998</v>
      </c>
    </row>
    <row r="140" spans="2:10">
      <c r="B140" s="24"/>
      <c r="C140" s="9" t="s">
        <v>19</v>
      </c>
      <c r="D140" s="16">
        <f>SUM(D139,D115,D86,D71,D52,D43,D29)</f>
        <v>17101750.600000001</v>
      </c>
      <c r="E140" s="16">
        <f>SUM(E139,E115,E86,E71,E52,E43,E29)</f>
        <v>18230644.560000002</v>
      </c>
      <c r="F140" s="16">
        <f>SUM(F139,F115,F86,F71,F52,F43,F29)</f>
        <v>13140170.224200001</v>
      </c>
      <c r="G140" s="16">
        <f>SUM(G139,G115,G86,G71,G52,G43,G29)</f>
        <v>14383150.038393997</v>
      </c>
      <c r="H140" s="16">
        <f>SUM(H139,H115,H86,H71,H52,H43,H29)</f>
        <v>15101300.84979658</v>
      </c>
      <c r="J140" s="16">
        <f>SUM(J139,J115,J86,J71,J52,J43,J29)</f>
        <v>77957016.272390574</v>
      </c>
    </row>
    <row r="141" spans="2:10">
      <c r="B141" s="6"/>
      <c r="D141"/>
      <c r="E141"/>
      <c r="H141"/>
      <c r="I141"/>
      <c r="J141" t="s">
        <v>20</v>
      </c>
    </row>
    <row r="142" spans="2:10">
      <c r="B142" s="22" t="s">
        <v>43</v>
      </c>
      <c r="C142" s="17" t="s">
        <v>43</v>
      </c>
      <c r="D142" s="18"/>
      <c r="E142" s="18"/>
      <c r="F142" s="18"/>
      <c r="G142" s="18"/>
      <c r="H142" s="18"/>
      <c r="I142"/>
      <c r="J142" s="18" t="s">
        <v>20</v>
      </c>
    </row>
    <row r="143" spans="2:10">
      <c r="B143" s="71"/>
      <c r="C143" s="78" t="s">
        <v>44</v>
      </c>
      <c r="D143" s="18"/>
      <c r="E143" s="18"/>
      <c r="F143" s="18"/>
      <c r="G143" s="18"/>
      <c r="H143" s="18"/>
      <c r="I143"/>
      <c r="J143" s="18"/>
    </row>
    <row r="144" spans="2:10">
      <c r="B144" s="23"/>
      <c r="C144" s="89" t="s">
        <v>116</v>
      </c>
      <c r="D144" s="107">
        <v>35000</v>
      </c>
      <c r="E144" s="107">
        <v>80100</v>
      </c>
      <c r="F144" s="100"/>
      <c r="G144" s="100"/>
      <c r="H144" s="100"/>
      <c r="I144"/>
      <c r="J144" s="75">
        <f>SUM(D144:H144)</f>
        <v>115100</v>
      </c>
    </row>
    <row r="145" spans="2:10">
      <c r="B145" s="71"/>
      <c r="C145" s="78" t="s">
        <v>47</v>
      </c>
      <c r="D145" s="18"/>
      <c r="E145" s="18"/>
      <c r="F145" s="18"/>
      <c r="G145" s="18"/>
      <c r="H145" s="18"/>
      <c r="I145"/>
      <c r="J145" s="18"/>
    </row>
    <row r="146" spans="2:10" ht="28.9">
      <c r="B146" s="23"/>
      <c r="C146" s="89" t="s">
        <v>117</v>
      </c>
      <c r="D146" s="90">
        <f>(D12+D13+D32)*0.1</f>
        <v>22815</v>
      </c>
      <c r="E146" s="101">
        <f>D146*1.05</f>
        <v>23955.75</v>
      </c>
      <c r="F146" s="101">
        <f>E146*1.05</f>
        <v>25153.537500000002</v>
      </c>
      <c r="G146" s="101">
        <f>F146*1.05</f>
        <v>26411.214375000003</v>
      </c>
      <c r="H146" s="101">
        <f>G146*1.05</f>
        <v>27731.775093750006</v>
      </c>
      <c r="I146"/>
      <c r="J146" s="75">
        <f>SUM(D146:H146)</f>
        <v>126067.27696875003</v>
      </c>
    </row>
    <row r="147" spans="2:10">
      <c r="B147" s="71"/>
      <c r="C147" s="78" t="s">
        <v>50</v>
      </c>
      <c r="D147" s="18"/>
      <c r="E147" s="18"/>
      <c r="F147" s="18"/>
      <c r="G147" s="18"/>
      <c r="H147" s="18"/>
      <c r="I147"/>
      <c r="J147" s="18"/>
    </row>
    <row r="148" spans="2:10" ht="28.9">
      <c r="B148" s="23"/>
      <c r="C148" s="89" t="s">
        <v>118</v>
      </c>
      <c r="D148" s="94">
        <f>SUM(D15+D16+D35+D34)*0.1</f>
        <v>17212.5</v>
      </c>
      <c r="E148" s="94">
        <f>SUM(E15+E16+E35+E34)*0.1</f>
        <v>18073.125</v>
      </c>
      <c r="F148" s="94">
        <f>SUM(F15+F16+F35+F34)*0.1</f>
        <v>18976.78125</v>
      </c>
      <c r="G148" s="94">
        <f>SUM(G15+G16+G35+G34)*0.1</f>
        <v>19925.620312500003</v>
      </c>
      <c r="H148" s="94">
        <f>SUM(H15+H16+H35+H34)*0.1</f>
        <v>20921.901328125001</v>
      </c>
      <c r="I148"/>
      <c r="J148" s="75">
        <f>SUM(D148:H148)</f>
        <v>95109.927890624997</v>
      </c>
    </row>
    <row r="149" spans="2:10">
      <c r="B149" s="23"/>
      <c r="C149" s="72" t="s">
        <v>53</v>
      </c>
      <c r="D149" s="94"/>
      <c r="E149" s="94"/>
      <c r="F149" s="94"/>
      <c r="G149" s="94"/>
      <c r="H149" s="94"/>
      <c r="I149"/>
      <c r="J149" s="75"/>
    </row>
    <row r="150" spans="2:10" ht="28.9">
      <c r="B150" s="23"/>
      <c r="C150" s="89" t="s">
        <v>118</v>
      </c>
      <c r="D150" s="90">
        <f>(D18+D19+D37)*0.1</f>
        <v>18022.5</v>
      </c>
      <c r="E150" s="108">
        <f>D150*1.05</f>
        <v>18923.625</v>
      </c>
      <c r="F150" s="108">
        <f>E150*1.05</f>
        <v>19869.806250000001</v>
      </c>
      <c r="G150" s="108">
        <f>F150*1.05</f>
        <v>20863.296562500003</v>
      </c>
      <c r="H150" s="108">
        <f>G150*1.05</f>
        <v>21906.461390625005</v>
      </c>
      <c r="J150" s="15">
        <f t="shared" ref="J150" si="30">SUM(D150:H150)</f>
        <v>99585.689203125003</v>
      </c>
    </row>
    <row r="151" spans="2:10">
      <c r="B151" s="23"/>
      <c r="C151" s="72" t="s">
        <v>59</v>
      </c>
      <c r="D151" s="94"/>
      <c r="E151" s="94"/>
      <c r="F151" s="94"/>
      <c r="G151" s="94"/>
      <c r="H151" s="94"/>
      <c r="I151"/>
      <c r="J151" s="75"/>
    </row>
    <row r="152" spans="2:10">
      <c r="B152" s="23"/>
      <c r="C152" s="89" t="s">
        <v>119</v>
      </c>
      <c r="D152" s="105">
        <v>18158</v>
      </c>
      <c r="E152" s="106">
        <v>18721</v>
      </c>
      <c r="F152" s="106">
        <v>19302</v>
      </c>
      <c r="G152" s="106">
        <v>19900</v>
      </c>
      <c r="H152" s="106">
        <v>20517</v>
      </c>
      <c r="J152" s="15">
        <f t="shared" ref="J152" si="31">SUM(D152:H152)</f>
        <v>96598</v>
      </c>
    </row>
    <row r="153" spans="2:10">
      <c r="B153" s="24"/>
      <c r="C153" s="9" t="s">
        <v>21</v>
      </c>
      <c r="D153" s="16">
        <f>SUM(D144:D152)</f>
        <v>111208</v>
      </c>
      <c r="E153" s="16">
        <f>SUM(E144:E152)</f>
        <v>159773.5</v>
      </c>
      <c r="F153" s="16">
        <f>SUM(F144:F152)</f>
        <v>83302.125</v>
      </c>
      <c r="G153" s="16">
        <f>SUM(G144:G152)</f>
        <v>87100.131250000006</v>
      </c>
      <c r="H153" s="16">
        <f>SUM(H144:H152)</f>
        <v>91077.137812500005</v>
      </c>
      <c r="J153" s="16">
        <f>SUM(J144:J152)</f>
        <v>532460.89406249998</v>
      </c>
    </row>
    <row r="154" spans="2:10" ht="15" thickBot="1">
      <c r="B154" s="6"/>
      <c r="D154"/>
      <c r="E154"/>
      <c r="H154"/>
      <c r="I154"/>
      <c r="J154" t="s">
        <v>20</v>
      </c>
    </row>
    <row r="155" spans="2:10" s="1" customFormat="1" ht="29.45" thickBot="1">
      <c r="B155" s="19" t="s">
        <v>22</v>
      </c>
      <c r="C155" s="19"/>
      <c r="D155" s="20">
        <f>SUM(D153,D140)</f>
        <v>17212958.600000001</v>
      </c>
      <c r="E155" s="20">
        <f t="shared" ref="E155:H155" si="32">SUM(E153,E140)</f>
        <v>18390418.060000002</v>
      </c>
      <c r="F155" s="20">
        <f t="shared" si="32"/>
        <v>13223472.349200001</v>
      </c>
      <c r="G155" s="20">
        <f t="shared" si="32"/>
        <v>14470250.169643996</v>
      </c>
      <c r="H155" s="20">
        <f t="shared" si="32"/>
        <v>15192377.987609081</v>
      </c>
      <c r="I155" s="7">
        <f>SUM(I153,I140)</f>
        <v>0</v>
      </c>
      <c r="J155" s="20">
        <f>SUM(J153,J140)</f>
        <v>78489477.166453078</v>
      </c>
    </row>
    <row r="156" spans="2:10">
      <c r="B156" s="6"/>
    </row>
    <row r="157" spans="2:10">
      <c r="B157" s="6"/>
    </row>
    <row r="158" spans="2:10">
      <c r="B158" s="6"/>
    </row>
    <row r="159" spans="2:10">
      <c r="B159" s="6"/>
    </row>
    <row r="160" spans="2:10">
      <c r="B160" s="6"/>
    </row>
    <row r="161" spans="2:2">
      <c r="B161" s="6"/>
    </row>
    <row r="162" spans="2:2">
      <c r="B162" s="6"/>
    </row>
    <row r="163" spans="2:2">
      <c r="B163" s="6"/>
    </row>
    <row r="164" spans="2:2">
      <c r="B164" s="6"/>
    </row>
    <row r="165" spans="2:2">
      <c r="B165" s="6"/>
    </row>
    <row r="166" spans="2:2">
      <c r="B166" s="6"/>
    </row>
    <row r="167" spans="2:2">
      <c r="B167" s="6"/>
    </row>
    <row r="168" spans="2:2">
      <c r="B168" s="6"/>
    </row>
    <row r="169" spans="2:2">
      <c r="B169" s="6"/>
    </row>
    <row r="170" spans="2:2">
      <c r="B170" s="6"/>
    </row>
  </sheetData>
  <pageMargins left="0.7" right="0.7" top="0.75" bottom="0.75" header="0.3" footer="0.3"/>
  <pageSetup scale="82" fitToHeight="0" orientation="landscape" r:id="rId1"/>
  <ignoredErrors>
    <ignoredError sqref="J50 J76 J128:J129 J122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bottomRight" activeCell="N34" sqref="N34"/>
      <selection pane="bottomLeft" activeCell="R20" sqref="R20:W20"/>
      <selection pane="topRight" activeCell="R20" sqref="R20:W20"/>
    </sheetView>
  </sheetViews>
  <sheetFormatPr defaultColWidth="9.28515625" defaultRowHeight="14.45"/>
  <cols>
    <col min="1" max="1" width="3.28515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7109375" style="7" customWidth="1"/>
    <col min="10" max="10" width="13.5703125" customWidth="1"/>
    <col min="11" max="11" width="10.28515625" customWidth="1"/>
  </cols>
  <sheetData>
    <row r="2" spans="2:39" ht="23.45">
      <c r="B2" s="30" t="s">
        <v>32</v>
      </c>
    </row>
    <row r="3" spans="2:39">
      <c r="B3" s="65" t="s">
        <v>33</v>
      </c>
    </row>
    <row r="4" spans="2:39">
      <c r="B4" s="5"/>
    </row>
    <row r="5" spans="2:39" ht="18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>
      <c r="B52" s="6"/>
      <c r="D52"/>
      <c r="E52"/>
      <c r="H52"/>
      <c r="I52"/>
      <c r="J52" t="s">
        <v>20</v>
      </c>
    </row>
    <row r="53" spans="2:10" ht="28.9">
      <c r="B53" s="70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>
      <c r="B57" s="6"/>
      <c r="D57"/>
      <c r="E57"/>
      <c r="H57"/>
      <c r="I57"/>
      <c r="J57" t="s">
        <v>20</v>
      </c>
    </row>
    <row r="58" spans="2:10" s="1" customFormat="1" ht="29.45" thickBot="1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  <row r="73" spans="2:2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86"/>
  <sheetViews>
    <sheetView showGridLines="0" zoomScale="85" zoomScaleNormal="85" workbookViewId="0">
      <pane xSplit="3" ySplit="6" topLeftCell="D50" activePane="bottomRight" state="frozen"/>
      <selection pane="bottomRight" activeCell="D67" sqref="D67"/>
      <selection pane="bottomLeft" activeCell="R20" sqref="R20:W20"/>
      <selection pane="topRight" activeCell="R20" sqref="R20:W20"/>
    </sheetView>
  </sheetViews>
  <sheetFormatPr defaultColWidth="9.28515625" defaultRowHeight="14.45"/>
  <cols>
    <col min="1" max="1" width="3.28515625" customWidth="1"/>
    <col min="2" max="2" width="9.7109375" customWidth="1"/>
    <col min="3" max="3" width="44.42578125" customWidth="1"/>
    <col min="4" max="4" width="15.7109375" style="6" customWidth="1"/>
    <col min="5" max="5" width="12.42578125" style="2" customWidth="1"/>
    <col min="6" max="7" width="12.7109375" customWidth="1"/>
    <col min="8" max="8" width="13.42578125" style="2" customWidth="1"/>
    <col min="9" max="9" width="0.7109375" style="7" customWidth="1"/>
    <col min="10" max="10" width="14.42578125" customWidth="1"/>
    <col min="11" max="11" width="10.28515625" customWidth="1"/>
  </cols>
  <sheetData>
    <row r="2" spans="2:39" ht="23.45">
      <c r="B2" s="30" t="s">
        <v>32</v>
      </c>
    </row>
    <row r="3" spans="2:39">
      <c r="B3" s="5" t="s">
        <v>33</v>
      </c>
    </row>
    <row r="4" spans="2:39">
      <c r="B4" s="5"/>
    </row>
    <row r="5" spans="2:39" ht="18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s="5" customFormat="1">
      <c r="B8" s="71"/>
      <c r="C8" s="72" t="s">
        <v>120</v>
      </c>
      <c r="D8" s="10"/>
      <c r="E8" s="10"/>
      <c r="F8" s="10"/>
      <c r="G8" s="10"/>
      <c r="H8" s="10"/>
      <c r="I8" s="7"/>
      <c r="J8" s="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2:39" s="5" customFormat="1">
      <c r="B9" s="71"/>
      <c r="C9" s="73" t="s">
        <v>121</v>
      </c>
      <c r="D9" s="74">
        <v>15188</v>
      </c>
      <c r="E9" s="74">
        <v>15188</v>
      </c>
      <c r="F9" s="75"/>
      <c r="G9" s="75"/>
      <c r="H9" s="75"/>
      <c r="I9" s="34"/>
      <c r="J9" s="75">
        <f>SUM(D9:H9)</f>
        <v>30376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2:39" s="5" customFormat="1">
      <c r="B10" s="71"/>
      <c r="C10" s="76" t="s">
        <v>122</v>
      </c>
      <c r="D10" s="75">
        <v>35438</v>
      </c>
      <c r="E10" s="75">
        <v>35438</v>
      </c>
      <c r="F10" s="75"/>
      <c r="G10" s="75"/>
      <c r="H10" s="75"/>
      <c r="I10" s="34"/>
      <c r="J10" s="75">
        <f>SUM(D10:H10)</f>
        <v>70876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</row>
    <row r="11" spans="2:39" s="5" customFormat="1">
      <c r="B11" s="71"/>
      <c r="C11" s="76" t="s">
        <v>123</v>
      </c>
      <c r="D11" s="75">
        <v>25313</v>
      </c>
      <c r="E11" s="75">
        <v>25313</v>
      </c>
      <c r="F11" s="75"/>
      <c r="G11" s="75"/>
      <c r="H11" s="75"/>
      <c r="I11"/>
      <c r="J11" s="75">
        <f t="shared" ref="J11:J13" si="0">SUM(D11:H11)</f>
        <v>50626</v>
      </c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</row>
    <row r="12" spans="2:39">
      <c r="B12" s="23"/>
      <c r="C12" s="76" t="s">
        <v>124</v>
      </c>
      <c r="D12" s="74">
        <v>15188</v>
      </c>
      <c r="E12" s="74">
        <v>15188</v>
      </c>
      <c r="F12" s="75"/>
      <c r="G12" s="75"/>
      <c r="H12" s="75"/>
      <c r="I12"/>
      <c r="J12" s="75">
        <f t="shared" si="0"/>
        <v>30376</v>
      </c>
    </row>
    <row r="13" spans="2:39">
      <c r="B13" s="23"/>
      <c r="C13" s="76" t="s">
        <v>125</v>
      </c>
      <c r="D13" s="74">
        <v>10125</v>
      </c>
      <c r="E13" s="74">
        <v>10125</v>
      </c>
      <c r="F13" s="75"/>
      <c r="G13" s="75"/>
      <c r="H13" s="75"/>
      <c r="I13"/>
      <c r="J13" s="75">
        <f t="shared" si="0"/>
        <v>20250</v>
      </c>
    </row>
    <row r="14" spans="2:39">
      <c r="B14" s="23"/>
      <c r="C14" s="27"/>
      <c r="D14" s="15"/>
      <c r="E14" s="11"/>
      <c r="F14" s="11"/>
      <c r="G14" s="11"/>
      <c r="H14" s="11"/>
      <c r="J14" s="15">
        <f>SUM(D14:H14)</f>
        <v>0</v>
      </c>
    </row>
    <row r="15" spans="2:39">
      <c r="B15" s="23"/>
      <c r="C15" s="9" t="s">
        <v>12</v>
      </c>
      <c r="D15" s="77">
        <f>SUM(D9:D14)</f>
        <v>101252</v>
      </c>
      <c r="E15" s="77">
        <f>SUM(E9:E14)</f>
        <v>101252</v>
      </c>
      <c r="F15" s="16">
        <f t="shared" ref="F15:I15" si="1">SUM(F12:F14)</f>
        <v>0</v>
      </c>
      <c r="G15" s="16">
        <f t="shared" si="1"/>
        <v>0</v>
      </c>
      <c r="H15" s="16">
        <f t="shared" si="1"/>
        <v>0</v>
      </c>
      <c r="I15" s="7">
        <f t="shared" si="1"/>
        <v>0</v>
      </c>
      <c r="J15" s="77">
        <f>SUM(J9:J14)</f>
        <v>202504</v>
      </c>
    </row>
    <row r="16" spans="2:39">
      <c r="B16" s="23"/>
      <c r="C16" s="14" t="s">
        <v>36</v>
      </c>
      <c r="D16" s="13" t="s">
        <v>35</v>
      </c>
      <c r="E16" s="10"/>
      <c r="F16" s="10"/>
      <c r="G16" s="10"/>
      <c r="H16" s="10"/>
      <c r="J16" s="8" t="s">
        <v>35</v>
      </c>
    </row>
    <row r="17" spans="2:10">
      <c r="B17" s="23"/>
      <c r="C17" s="78" t="s">
        <v>120</v>
      </c>
      <c r="D17" s="79"/>
      <c r="E17" s="80"/>
      <c r="F17" s="80"/>
      <c r="G17" s="80"/>
      <c r="H17" s="80"/>
      <c r="I17"/>
      <c r="J17" s="18"/>
    </row>
    <row r="18" spans="2:10">
      <c r="B18" s="23"/>
      <c r="C18" s="73" t="s">
        <v>121</v>
      </c>
      <c r="D18" s="81">
        <v>5063</v>
      </c>
      <c r="E18" s="81">
        <v>5063</v>
      </c>
      <c r="F18" s="80"/>
      <c r="G18" s="80"/>
      <c r="H18" s="80"/>
      <c r="I18"/>
      <c r="J18" s="75">
        <f t="shared" ref="J18:J21" si="2">SUM(D18:H18)</f>
        <v>10126</v>
      </c>
    </row>
    <row r="19" spans="2:10">
      <c r="B19" s="23"/>
      <c r="C19" s="76" t="s">
        <v>122</v>
      </c>
      <c r="D19" s="81">
        <v>11813</v>
      </c>
      <c r="E19" s="81">
        <v>11813</v>
      </c>
      <c r="F19" s="80"/>
      <c r="G19" s="80"/>
      <c r="H19" s="80"/>
      <c r="I19"/>
      <c r="J19" s="75">
        <f t="shared" si="2"/>
        <v>23626</v>
      </c>
    </row>
    <row r="20" spans="2:10">
      <c r="B20" s="23"/>
      <c r="C20" s="76" t="s">
        <v>123</v>
      </c>
      <c r="D20" s="81">
        <v>8438</v>
      </c>
      <c r="E20" s="81">
        <v>8438</v>
      </c>
      <c r="F20" s="80"/>
      <c r="G20" s="80"/>
      <c r="H20" s="80"/>
      <c r="I20"/>
      <c r="J20" s="75">
        <f t="shared" si="2"/>
        <v>16876</v>
      </c>
    </row>
    <row r="21" spans="2:10">
      <c r="B21" s="23"/>
      <c r="C21" s="76" t="s">
        <v>124</v>
      </c>
      <c r="D21" s="81">
        <v>5063</v>
      </c>
      <c r="E21" s="81">
        <v>5063</v>
      </c>
      <c r="F21" s="75"/>
      <c r="G21" s="75"/>
      <c r="H21" s="75"/>
      <c r="I21"/>
      <c r="J21" s="75">
        <f t="shared" si="2"/>
        <v>10126</v>
      </c>
    </row>
    <row r="22" spans="2:10">
      <c r="B22" s="23"/>
      <c r="C22" s="76" t="s">
        <v>125</v>
      </c>
      <c r="D22" s="81">
        <v>3375</v>
      </c>
      <c r="E22" s="81">
        <v>3375</v>
      </c>
      <c r="F22" s="75"/>
      <c r="G22" s="75"/>
      <c r="H22" s="75"/>
      <c r="I22"/>
      <c r="J22" s="75">
        <f>SUM(D22:H22)</f>
        <v>6750</v>
      </c>
    </row>
    <row r="23" spans="2:10">
      <c r="B23" s="23"/>
      <c r="C23" s="10"/>
      <c r="D23" s="15"/>
      <c r="E23" s="11"/>
      <c r="F23" s="11"/>
      <c r="G23" s="11"/>
      <c r="H23" s="11"/>
      <c r="J23" s="15">
        <f t="shared" ref="J23" si="3">SUM(D23:H23)</f>
        <v>0</v>
      </c>
    </row>
    <row r="24" spans="2:10">
      <c r="B24" s="23"/>
      <c r="C24" s="9" t="s">
        <v>13</v>
      </c>
      <c r="D24" s="77">
        <f>SUM(D18:D23)</f>
        <v>33752</v>
      </c>
      <c r="E24" s="77">
        <f>SUM(E18:E23)</f>
        <v>33752</v>
      </c>
      <c r="F24" s="16">
        <f>SUM(F23:F23)</f>
        <v>0</v>
      </c>
      <c r="G24" s="16">
        <f>SUM(G23:G23)</f>
        <v>0</v>
      </c>
      <c r="H24" s="16">
        <f>SUM(H23:H23)</f>
        <v>0</v>
      </c>
      <c r="I24" s="7">
        <f>SUM(I23:I23)</f>
        <v>0</v>
      </c>
      <c r="J24" s="77">
        <f>SUM(J18:J23)</f>
        <v>67504</v>
      </c>
    </row>
    <row r="25" spans="2:10">
      <c r="B25" s="23"/>
      <c r="C25" s="14" t="s">
        <v>37</v>
      </c>
      <c r="D25" s="13" t="s">
        <v>35</v>
      </c>
      <c r="E25" s="10"/>
      <c r="F25" s="10"/>
      <c r="G25" s="10"/>
      <c r="H25" s="10"/>
      <c r="J25" s="8" t="s">
        <v>35</v>
      </c>
    </row>
    <row r="26" spans="2:10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ref="J26" si="4">SUM(D26:H26)</f>
        <v>0</v>
      </c>
    </row>
    <row r="27" spans="2:10">
      <c r="B27" s="23"/>
      <c r="C27" s="9" t="s">
        <v>14</v>
      </c>
      <c r="D27" s="16">
        <f>SUM(D26:D26)</f>
        <v>0</v>
      </c>
      <c r="E27" s="16">
        <f>SUM(E26:E26)</f>
        <v>0</v>
      </c>
      <c r="F27" s="16">
        <f>SUM(F26:F26)</f>
        <v>0</v>
      </c>
      <c r="G27" s="16">
        <f>SUM(G26:G26)</f>
        <v>0</v>
      </c>
      <c r="H27" s="16">
        <f>SUM(H26:H26)</f>
        <v>0</v>
      </c>
      <c r="J27" s="16">
        <f>SUM(J26:J26)</f>
        <v>0</v>
      </c>
    </row>
    <row r="28" spans="2:10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79" t="s">
        <v>126</v>
      </c>
      <c r="D29" s="75">
        <v>1000000</v>
      </c>
      <c r="E29" s="75"/>
      <c r="F29" s="75"/>
      <c r="G29" s="75"/>
      <c r="H29" s="75"/>
      <c r="I29"/>
      <c r="J29" s="75">
        <f>SUM(D29:H29)</f>
        <v>1000000</v>
      </c>
    </row>
    <row r="30" spans="2:10" ht="45.6" customHeight="1">
      <c r="B30" s="23"/>
      <c r="C30" s="82" t="s">
        <v>127</v>
      </c>
      <c r="D30" s="83">
        <f>135*3200</f>
        <v>432000</v>
      </c>
      <c r="E30" s="83">
        <f>135*3200</f>
        <v>432000</v>
      </c>
      <c r="F30" s="83"/>
      <c r="G30" s="83"/>
      <c r="H30" s="83"/>
      <c r="I30" s="84"/>
      <c r="J30" s="83">
        <f>SUM(D30:H30)</f>
        <v>864000</v>
      </c>
    </row>
    <row r="31" spans="2:10" ht="33.6" customHeight="1">
      <c r="B31" s="23"/>
      <c r="C31" s="85" t="s">
        <v>128</v>
      </c>
      <c r="D31" s="83">
        <f>3000000+9000000</f>
        <v>12000000</v>
      </c>
      <c r="E31" s="83"/>
      <c r="F31" s="83"/>
      <c r="G31" s="83"/>
      <c r="H31" s="83"/>
      <c r="I31" s="84"/>
      <c r="J31" s="83">
        <f>SUM(D31:H31)</f>
        <v>12000000</v>
      </c>
    </row>
    <row r="32" spans="2:10" ht="33.6" customHeight="1">
      <c r="B32" s="23"/>
      <c r="C32" s="85" t="s">
        <v>129</v>
      </c>
      <c r="D32" s="83">
        <f>145*5000</f>
        <v>725000</v>
      </c>
      <c r="E32" s="83"/>
      <c r="F32" s="75"/>
      <c r="G32" s="75"/>
      <c r="H32" s="75"/>
      <c r="I32"/>
      <c r="J32" s="83">
        <f>SUM(D32:H32)</f>
        <v>725000</v>
      </c>
    </row>
    <row r="33" spans="2:10">
      <c r="B33" s="23" t="s">
        <v>39</v>
      </c>
      <c r="C33" s="28" t="s">
        <v>39</v>
      </c>
      <c r="D33" s="13" t="s">
        <v>35</v>
      </c>
      <c r="E33" s="10"/>
      <c r="F33" s="10"/>
      <c r="G33" s="10"/>
      <c r="H33" s="10"/>
      <c r="J33" s="15">
        <f t="shared" ref="J33:J64" si="5">SUM(D33:H33)</f>
        <v>0</v>
      </c>
    </row>
    <row r="34" spans="2:10">
      <c r="B34" s="23"/>
      <c r="C34" s="9" t="s">
        <v>15</v>
      </c>
      <c r="D34" s="12">
        <f>SUM(D29:D33)</f>
        <v>14157000</v>
      </c>
      <c r="E34" s="12">
        <f>SUM(E29:E33)</f>
        <v>432000</v>
      </c>
      <c r="F34" s="12">
        <f t="shared" ref="F34:H34" si="6">SUM(F31:F33)</f>
        <v>0</v>
      </c>
      <c r="G34" s="12">
        <f t="shared" si="6"/>
        <v>0</v>
      </c>
      <c r="H34" s="12">
        <f t="shared" si="6"/>
        <v>0</v>
      </c>
      <c r="J34" s="12">
        <f>SUM(J29:J33)</f>
        <v>14589000</v>
      </c>
    </row>
    <row r="35" spans="2:10">
      <c r="B35" s="23"/>
      <c r="C35" s="14" t="s">
        <v>40</v>
      </c>
      <c r="D35" s="13" t="s">
        <v>35</v>
      </c>
      <c r="E35" s="10"/>
      <c r="F35" s="10"/>
      <c r="G35" s="10"/>
      <c r="H35" s="10"/>
      <c r="J35" s="15"/>
    </row>
    <row r="36" spans="2:10">
      <c r="B36" s="23"/>
      <c r="C36" s="25"/>
      <c r="D36" s="15"/>
      <c r="E36" s="15"/>
      <c r="F36" s="15"/>
      <c r="G36" s="15"/>
      <c r="H36" s="15"/>
      <c r="I36" s="35">
        <v>5000</v>
      </c>
      <c r="J36" s="15">
        <f t="shared" si="5"/>
        <v>0</v>
      </c>
    </row>
    <row r="37" spans="2:10">
      <c r="B37" s="23"/>
      <c r="C37" s="25"/>
      <c r="D37" s="15"/>
      <c r="E37" s="11"/>
      <c r="F37" s="11"/>
      <c r="G37" s="11"/>
      <c r="H37" s="11"/>
      <c r="J37" s="15">
        <f t="shared" si="5"/>
        <v>0</v>
      </c>
    </row>
    <row r="38" spans="2:10">
      <c r="B38" s="23"/>
      <c r="C38" s="9" t="s">
        <v>16</v>
      </c>
      <c r="D38" s="16">
        <f>SUM(D36:D37)</f>
        <v>0</v>
      </c>
      <c r="E38" s="16">
        <f t="shared" ref="E38:H38" si="7">SUM(E36:E37)</f>
        <v>0</v>
      </c>
      <c r="F38" s="16">
        <f t="shared" si="7"/>
        <v>0</v>
      </c>
      <c r="G38" s="16">
        <f t="shared" si="7"/>
        <v>0</v>
      </c>
      <c r="H38" s="16">
        <f t="shared" si="7"/>
        <v>0</v>
      </c>
      <c r="J38" s="16">
        <f>SUM(J36:J37)</f>
        <v>0</v>
      </c>
    </row>
    <row r="39" spans="2:10">
      <c r="B39" s="23"/>
      <c r="C39" s="14" t="s">
        <v>41</v>
      </c>
      <c r="D39" s="13" t="s">
        <v>35</v>
      </c>
      <c r="E39" s="10"/>
      <c r="F39" s="10"/>
      <c r="G39" s="10"/>
      <c r="H39" s="10"/>
      <c r="J39" s="15"/>
    </row>
    <row r="40" spans="2:10">
      <c r="B40" s="23"/>
      <c r="C40" s="78" t="s">
        <v>130</v>
      </c>
      <c r="D40" s="75"/>
      <c r="E40" s="75"/>
      <c r="F40" s="75"/>
      <c r="G40" s="75"/>
      <c r="H40" s="75"/>
      <c r="I40" s="34"/>
      <c r="J40" s="75"/>
    </row>
    <row r="41" spans="2:10">
      <c r="B41" s="23"/>
      <c r="C41" s="73" t="s">
        <v>121</v>
      </c>
      <c r="D41" s="87">
        <v>23143</v>
      </c>
      <c r="E41" s="75"/>
      <c r="F41" s="75"/>
      <c r="G41" s="75"/>
      <c r="H41" s="75"/>
      <c r="I41" s="34"/>
      <c r="J41" s="75">
        <f t="shared" ref="J41:J54" si="8">SUM(D41:H41)</f>
        <v>23143</v>
      </c>
    </row>
    <row r="42" spans="2:10">
      <c r="B42" s="23"/>
      <c r="C42" s="76" t="s">
        <v>122</v>
      </c>
      <c r="D42" s="75">
        <v>106842</v>
      </c>
      <c r="E42" s="75"/>
      <c r="F42" s="75"/>
      <c r="G42" s="75"/>
      <c r="H42" s="75"/>
      <c r="I42" s="34"/>
      <c r="J42" s="75">
        <f t="shared" si="8"/>
        <v>106842</v>
      </c>
    </row>
    <row r="43" spans="2:10">
      <c r="B43" s="23"/>
      <c r="C43" s="76" t="s">
        <v>123</v>
      </c>
      <c r="D43" s="75">
        <v>100286</v>
      </c>
      <c r="E43" s="75"/>
      <c r="F43" s="75"/>
      <c r="G43" s="75"/>
      <c r="H43" s="75"/>
      <c r="I43" s="34"/>
      <c r="J43" s="75">
        <f t="shared" si="8"/>
        <v>100286</v>
      </c>
    </row>
    <row r="44" spans="2:10">
      <c r="B44" s="23"/>
      <c r="C44" s="76" t="s">
        <v>124</v>
      </c>
      <c r="D44" s="87">
        <v>39728</v>
      </c>
      <c r="E44" s="75"/>
      <c r="F44" s="75"/>
      <c r="G44" s="75"/>
      <c r="H44" s="75"/>
      <c r="I44" s="34"/>
      <c r="J44" s="75">
        <f t="shared" si="8"/>
        <v>39728</v>
      </c>
    </row>
    <row r="45" spans="2:10">
      <c r="B45" s="23"/>
      <c r="C45" s="86" t="s">
        <v>131</v>
      </c>
      <c r="D45" s="74"/>
      <c r="E45" s="75"/>
      <c r="F45" s="75"/>
      <c r="G45" s="75"/>
      <c r="H45" s="75"/>
      <c r="I45" s="34"/>
      <c r="J45" s="75"/>
    </row>
    <row r="46" spans="2:10">
      <c r="B46" s="23"/>
      <c r="C46" s="73" t="s">
        <v>132</v>
      </c>
      <c r="D46" s="75">
        <v>4079</v>
      </c>
      <c r="E46" s="75"/>
      <c r="F46" s="75"/>
      <c r="G46" s="75"/>
      <c r="H46" s="75"/>
      <c r="I46" s="34"/>
      <c r="J46" s="75">
        <f t="shared" si="8"/>
        <v>4079</v>
      </c>
    </row>
    <row r="47" spans="2:10">
      <c r="B47" s="23"/>
      <c r="C47" s="73" t="s">
        <v>133</v>
      </c>
      <c r="D47" s="75">
        <v>5507</v>
      </c>
      <c r="E47" s="75"/>
      <c r="F47" s="75"/>
      <c r="G47" s="75"/>
      <c r="H47" s="75"/>
      <c r="I47" s="34"/>
      <c r="J47" s="75">
        <f t="shared" si="8"/>
        <v>5507</v>
      </c>
    </row>
    <row r="48" spans="2:10">
      <c r="B48" s="23"/>
      <c r="C48" s="73" t="s">
        <v>122</v>
      </c>
      <c r="D48" s="75">
        <v>36711</v>
      </c>
      <c r="E48" s="75"/>
      <c r="F48" s="75"/>
      <c r="G48" s="75"/>
      <c r="H48" s="75"/>
      <c r="I48" s="34"/>
      <c r="J48" s="75">
        <f t="shared" si="8"/>
        <v>36711</v>
      </c>
    </row>
    <row r="49" spans="2:10">
      <c r="B49" s="23"/>
      <c r="C49" s="73" t="s">
        <v>125</v>
      </c>
      <c r="D49" s="75">
        <v>51600</v>
      </c>
      <c r="E49" s="75"/>
      <c r="F49" s="75"/>
      <c r="G49" s="75"/>
      <c r="H49" s="75"/>
      <c r="I49" s="34"/>
      <c r="J49" s="75">
        <f t="shared" si="8"/>
        <v>51600</v>
      </c>
    </row>
    <row r="50" spans="2:10">
      <c r="B50" s="23"/>
      <c r="C50" s="78" t="s">
        <v>134</v>
      </c>
      <c r="D50" s="75"/>
      <c r="E50" s="75"/>
      <c r="F50" s="75"/>
      <c r="G50" s="75"/>
      <c r="H50" s="75"/>
      <c r="I50" s="34"/>
      <c r="J50" s="75"/>
    </row>
    <row r="51" spans="2:10">
      <c r="B51" s="23"/>
      <c r="C51" s="73" t="s">
        <v>132</v>
      </c>
      <c r="D51" s="75">
        <v>20834</v>
      </c>
      <c r="E51" s="75"/>
      <c r="F51" s="75"/>
      <c r="G51" s="75"/>
      <c r="H51" s="75"/>
      <c r="I51" s="34"/>
      <c r="J51" s="75">
        <f t="shared" si="8"/>
        <v>20834</v>
      </c>
    </row>
    <row r="52" spans="2:10">
      <c r="B52" s="23"/>
      <c r="C52" s="73" t="s">
        <v>135</v>
      </c>
      <c r="D52" s="75">
        <v>166667</v>
      </c>
      <c r="E52" s="75"/>
      <c r="F52" s="75"/>
      <c r="G52" s="75"/>
      <c r="H52" s="75"/>
      <c r="I52" s="34"/>
      <c r="J52" s="75">
        <f t="shared" si="8"/>
        <v>166667</v>
      </c>
    </row>
    <row r="53" spans="2:10">
      <c r="B53" s="23"/>
      <c r="C53" s="73" t="s">
        <v>136</v>
      </c>
      <c r="D53" s="75">
        <v>41667</v>
      </c>
      <c r="E53" s="75"/>
      <c r="F53" s="75"/>
      <c r="G53" s="75"/>
      <c r="H53" s="75"/>
      <c r="I53" s="34"/>
      <c r="J53" s="75">
        <f t="shared" si="8"/>
        <v>41667</v>
      </c>
    </row>
    <row r="54" spans="2:10">
      <c r="B54" s="23"/>
      <c r="C54" s="73" t="s">
        <v>125</v>
      </c>
      <c r="D54" s="75">
        <v>20834</v>
      </c>
      <c r="E54" s="75"/>
      <c r="F54" s="75"/>
      <c r="G54" s="75"/>
      <c r="H54" s="75"/>
      <c r="I54" s="34"/>
      <c r="J54" s="75">
        <f t="shared" si="8"/>
        <v>20834</v>
      </c>
    </row>
    <row r="55" spans="2:10">
      <c r="B55" s="23"/>
      <c r="C55" s="9" t="s">
        <v>17</v>
      </c>
      <c r="D55" s="77">
        <f>SUM(D41:D54)</f>
        <v>617898</v>
      </c>
      <c r="E55" s="16">
        <f t="shared" ref="E55:H55" si="9">SUM(E50:E54)</f>
        <v>0</v>
      </c>
      <c r="F55" s="16">
        <f t="shared" si="9"/>
        <v>0</v>
      </c>
      <c r="G55" s="16">
        <f t="shared" si="9"/>
        <v>0</v>
      </c>
      <c r="H55" s="16">
        <f t="shared" si="9"/>
        <v>0</v>
      </c>
      <c r="J55" s="77">
        <f>SUM(J41:J54)</f>
        <v>617898</v>
      </c>
    </row>
    <row r="56" spans="2:10">
      <c r="B56" s="23"/>
      <c r="C56" s="14" t="s">
        <v>42</v>
      </c>
      <c r="D56" s="13" t="s">
        <v>35</v>
      </c>
      <c r="E56" s="10"/>
      <c r="F56" s="10"/>
      <c r="G56" s="10"/>
      <c r="H56" s="10"/>
      <c r="J56" s="15"/>
    </row>
    <row r="57" spans="2:10">
      <c r="B57" s="23"/>
      <c r="C57" s="25"/>
      <c r="D57" s="15"/>
      <c r="E57" s="15"/>
      <c r="F57" s="15"/>
      <c r="G57" s="15"/>
      <c r="H57" s="15"/>
      <c r="I57" s="35">
        <v>375000</v>
      </c>
      <c r="J57" s="15">
        <f t="shared" si="5"/>
        <v>0</v>
      </c>
    </row>
    <row r="58" spans="2:10">
      <c r="B58" s="23"/>
      <c r="C58" s="25"/>
      <c r="D58" s="15"/>
      <c r="E58" s="15"/>
      <c r="F58" s="15"/>
      <c r="G58" s="15"/>
      <c r="H58" s="15"/>
      <c r="I58" s="35">
        <v>781250</v>
      </c>
      <c r="J58" s="15">
        <f t="shared" si="5"/>
        <v>0</v>
      </c>
    </row>
    <row r="59" spans="2:10">
      <c r="B59" s="23"/>
      <c r="C59" s="25"/>
      <c r="D59" s="15"/>
      <c r="E59" s="15"/>
      <c r="F59" s="15"/>
      <c r="G59" s="15"/>
      <c r="H59" s="15"/>
      <c r="I59" s="35">
        <v>2083335</v>
      </c>
      <c r="J59" s="15">
        <f t="shared" si="5"/>
        <v>0</v>
      </c>
    </row>
    <row r="60" spans="2:10">
      <c r="B60" s="23"/>
      <c r="C60" s="25"/>
      <c r="D60" s="15"/>
      <c r="E60" s="11"/>
      <c r="F60" s="11"/>
      <c r="G60" s="11"/>
      <c r="H60" s="11"/>
      <c r="J60" s="15">
        <f t="shared" si="5"/>
        <v>0</v>
      </c>
    </row>
    <row r="61" spans="2:10">
      <c r="B61" s="23"/>
      <c r="C61" s="25"/>
      <c r="D61" s="15"/>
      <c r="E61" s="11"/>
      <c r="F61" s="11"/>
      <c r="G61" s="11"/>
      <c r="H61" s="11"/>
      <c r="J61" s="15">
        <f t="shared" si="5"/>
        <v>0</v>
      </c>
    </row>
    <row r="62" spans="2:10">
      <c r="B62" s="23"/>
      <c r="C62" s="10"/>
      <c r="D62" s="15"/>
      <c r="E62" s="11"/>
      <c r="F62" s="11"/>
      <c r="G62" s="11"/>
      <c r="H62" s="11"/>
      <c r="J62" s="15">
        <f t="shared" si="5"/>
        <v>0</v>
      </c>
    </row>
    <row r="63" spans="2:10">
      <c r="B63" s="24"/>
      <c r="C63" s="9" t="s">
        <v>18</v>
      </c>
      <c r="D63" s="16">
        <f>SUM(D57:D62)</f>
        <v>0</v>
      </c>
      <c r="E63" s="16">
        <f t="shared" ref="E63:H63" si="10">SUM(E57:E62)</f>
        <v>0</v>
      </c>
      <c r="F63" s="16">
        <f t="shared" si="10"/>
        <v>0</v>
      </c>
      <c r="G63" s="16">
        <f t="shared" si="10"/>
        <v>0</v>
      </c>
      <c r="H63" s="16">
        <f t="shared" si="10"/>
        <v>0</v>
      </c>
      <c r="J63" s="16">
        <f>SUM(J57:J62)</f>
        <v>0</v>
      </c>
    </row>
    <row r="64" spans="2:10">
      <c r="B64" s="24"/>
      <c r="C64" s="9" t="s">
        <v>19</v>
      </c>
      <c r="D64" s="16">
        <f>SUM(D63,D55,D38,D34,D27,D24,D15)</f>
        <v>14909902</v>
      </c>
      <c r="E64" s="16">
        <f>SUM(E63,E55,E38,E34,E27,E24,E15)</f>
        <v>567004</v>
      </c>
      <c r="F64" s="16">
        <f>SUM(F63,F55,F38,F34,F27,F24,F15)</f>
        <v>0</v>
      </c>
      <c r="G64" s="16">
        <f>SUM(G63,G55,G38,G34,G27,G24,G15)</f>
        <v>0</v>
      </c>
      <c r="H64" s="16">
        <f>SUM(H63,H55,H38,H34,H27,H24,H15)</f>
        <v>0</v>
      </c>
      <c r="J64" s="16">
        <f t="shared" si="5"/>
        <v>15476906</v>
      </c>
    </row>
    <row r="65" spans="2:10">
      <c r="B65" s="6"/>
      <c r="D65"/>
      <c r="E65"/>
      <c r="H65"/>
      <c r="I65"/>
      <c r="J65" t="s">
        <v>20</v>
      </c>
    </row>
    <row r="66" spans="2:10">
      <c r="B66" s="22" t="s">
        <v>43</v>
      </c>
      <c r="C66" s="17" t="s">
        <v>43</v>
      </c>
      <c r="D66" s="18"/>
      <c r="E66" s="18"/>
      <c r="F66" s="18"/>
      <c r="G66" s="18"/>
      <c r="H66" s="18"/>
      <c r="I66"/>
      <c r="J66" s="18" t="s">
        <v>20</v>
      </c>
    </row>
    <row r="67" spans="2:10">
      <c r="B67" s="23"/>
      <c r="C67" s="73" t="s">
        <v>137</v>
      </c>
      <c r="D67" s="88">
        <f>($D$64*0.25)</f>
        <v>3727475.5</v>
      </c>
      <c r="E67" s="88">
        <f>+($E$64*0.25)</f>
        <v>141751</v>
      </c>
      <c r="F67" s="88"/>
      <c r="G67" s="88"/>
      <c r="H67" s="88"/>
      <c r="I67"/>
      <c r="J67" s="75">
        <f>SUM(D67:H67)</f>
        <v>3869226.5</v>
      </c>
    </row>
    <row r="68" spans="2:10">
      <c r="B68" s="23"/>
      <c r="C68" s="25"/>
      <c r="D68" s="13"/>
      <c r="E68" s="10"/>
      <c r="F68" s="10"/>
      <c r="G68" s="10"/>
      <c r="H68" s="10"/>
      <c r="J68" s="15">
        <f t="shared" ref="J68:J69" si="11">SUM(D68:H68)</f>
        <v>0</v>
      </c>
    </row>
    <row r="69" spans="2:10">
      <c r="B69" s="24"/>
      <c r="C69" s="9" t="s">
        <v>21</v>
      </c>
      <c r="D69" s="16">
        <f>D67</f>
        <v>3727475.5</v>
      </c>
      <c r="E69" s="16">
        <f t="shared" ref="E69:H69" si="12">SUM(E67:E68)</f>
        <v>141751</v>
      </c>
      <c r="F69" s="16">
        <f t="shared" si="12"/>
        <v>0</v>
      </c>
      <c r="G69" s="16">
        <f t="shared" si="12"/>
        <v>0</v>
      </c>
      <c r="H69" s="16">
        <f t="shared" si="12"/>
        <v>0</v>
      </c>
      <c r="J69" s="16">
        <f t="shared" si="11"/>
        <v>3869226.5</v>
      </c>
    </row>
    <row r="70" spans="2:10" ht="15" thickBot="1">
      <c r="B70" s="6"/>
      <c r="D70"/>
      <c r="E70"/>
      <c r="H70"/>
      <c r="I70"/>
      <c r="J70" t="s">
        <v>20</v>
      </c>
    </row>
    <row r="71" spans="2:10" s="1" customFormat="1" ht="29.45" thickBot="1">
      <c r="B71" s="19" t="s">
        <v>22</v>
      </c>
      <c r="C71" s="19"/>
      <c r="D71" s="20">
        <f>SUM(D69,D64)</f>
        <v>18637377.5</v>
      </c>
      <c r="E71" s="20">
        <f t="shared" ref="E71:J71" si="13">SUM(E69,E64)</f>
        <v>708755</v>
      </c>
      <c r="F71" s="20">
        <f t="shared" si="13"/>
        <v>0</v>
      </c>
      <c r="G71" s="20">
        <f t="shared" si="13"/>
        <v>0</v>
      </c>
      <c r="H71" s="20">
        <f t="shared" si="13"/>
        <v>0</v>
      </c>
      <c r="I71" s="7">
        <f>SUM(I69,I64)</f>
        <v>0</v>
      </c>
      <c r="J71" s="20">
        <f t="shared" si="13"/>
        <v>19346132.5</v>
      </c>
    </row>
    <row r="72" spans="2:10">
      <c r="B72" s="6"/>
    </row>
    <row r="73" spans="2:10">
      <c r="B73" s="6"/>
    </row>
    <row r="74" spans="2:10">
      <c r="B74" s="6"/>
    </row>
    <row r="75" spans="2:10">
      <c r="B75" s="6"/>
    </row>
    <row r="76" spans="2:10">
      <c r="B76" s="6"/>
    </row>
    <row r="77" spans="2:10">
      <c r="B77" s="6"/>
    </row>
    <row r="78" spans="2:10">
      <c r="B78" s="6"/>
    </row>
    <row r="79" spans="2:10">
      <c r="B79" s="6"/>
    </row>
    <row r="80" spans="2:10">
      <c r="B80" s="6"/>
    </row>
    <row r="81" spans="2:2">
      <c r="B81" s="6"/>
    </row>
    <row r="82" spans="2:2">
      <c r="B82" s="6"/>
    </row>
    <row r="83" spans="2:2">
      <c r="B83" s="6"/>
    </row>
    <row r="84" spans="2:2">
      <c r="B84" s="6"/>
    </row>
    <row r="85" spans="2:2">
      <c r="B85" s="6"/>
    </row>
    <row r="86" spans="2:2">
      <c r="B86" s="6"/>
    </row>
  </sheetData>
  <pageMargins left="0.7" right="0.7" top="0.75" bottom="0.75" header="0.3" footer="0.3"/>
  <pageSetup scale="8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25" activePane="bottomRight" state="frozen"/>
      <selection pane="bottomRight" activeCell="P57" sqref="P57"/>
      <selection pane="bottomLeft" activeCell="R20" sqref="R20:W20"/>
      <selection pane="topRight" activeCell="R20" sqref="R20:W20"/>
    </sheetView>
  </sheetViews>
  <sheetFormatPr defaultColWidth="9.28515625" defaultRowHeight="14.45"/>
  <cols>
    <col min="1" max="1" width="3.28515625" customWidth="1"/>
    <col min="2" max="2" width="11.28515625" customWidth="1"/>
    <col min="3" max="3" width="46.42578125" customWidth="1"/>
    <col min="4" max="4" width="13.28515625" style="6" customWidth="1"/>
    <col min="5" max="5" width="13.28515625" style="2" customWidth="1"/>
    <col min="6" max="7" width="13.28515625" customWidth="1"/>
    <col min="8" max="8" width="12.7109375" style="2" customWidth="1"/>
    <col min="9" max="9" width="0.7109375" style="7" customWidth="1"/>
    <col min="10" max="10" width="14.5703125" customWidth="1"/>
    <col min="11" max="11" width="10.28515625" customWidth="1"/>
  </cols>
  <sheetData>
    <row r="2" spans="2:39" ht="23.45">
      <c r="B2" s="30" t="s">
        <v>32</v>
      </c>
    </row>
    <row r="3" spans="2:39">
      <c r="B3" s="65" t="s">
        <v>33</v>
      </c>
    </row>
    <row r="4" spans="2:39">
      <c r="B4" s="5"/>
    </row>
    <row r="5" spans="2:39" ht="18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>
      <c r="B42" s="23"/>
      <c r="C42" s="14" t="s">
        <v>42</v>
      </c>
      <c r="D42" s="13" t="s">
        <v>35</v>
      </c>
      <c r="E42" s="10"/>
      <c r="F42" s="10"/>
      <c r="G42" s="10"/>
      <c r="H42" s="10"/>
      <c r="J42" s="15"/>
    </row>
    <row r="43" spans="2:10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>
      <c r="B51" s="6"/>
      <c r="D51"/>
      <c r="E51"/>
      <c r="H51"/>
      <c r="I51"/>
      <c r="J51" t="s">
        <v>20</v>
      </c>
    </row>
    <row r="52" spans="2:10" ht="28.9">
      <c r="B52" s="70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>
      <c r="B56" s="6"/>
      <c r="D56"/>
      <c r="E56"/>
      <c r="H56"/>
      <c r="I56"/>
      <c r="J56" t="s">
        <v>20</v>
      </c>
    </row>
    <row r="57" spans="2:10" s="1" customFormat="1" ht="29.45" thickBot="1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>
      <c r="B58" s="6"/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A3" zoomScale="85" zoomScaleNormal="85" workbookViewId="0">
      <selection activeCell="N37" sqref="N37"/>
    </sheetView>
  </sheetViews>
  <sheetFormatPr defaultColWidth="9.28515625" defaultRowHeight="14.45"/>
  <cols>
    <col min="1" max="1" width="3.28515625" customWidth="1"/>
    <col min="2" max="2" width="12.28515625" customWidth="1"/>
    <col min="3" max="3" width="52.71093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28515625" customWidth="1"/>
  </cols>
  <sheetData>
    <row r="2" spans="2:39" ht="23.45">
      <c r="B2" s="30" t="s">
        <v>32</v>
      </c>
    </row>
    <row r="3" spans="2:39">
      <c r="B3" s="5"/>
    </row>
    <row r="4" spans="2:39">
      <c r="B4" s="5"/>
    </row>
    <row r="5" spans="2:39" ht="18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9">
      <c r="B8" s="23"/>
      <c r="C8" s="25" t="s">
        <v>138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28.9">
      <c r="B9" s="23"/>
      <c r="C9" s="25" t="s">
        <v>139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>
      <c r="B10" s="23"/>
      <c r="C10" s="27"/>
      <c r="D10" s="15"/>
      <c r="E10" s="11"/>
      <c r="F10" s="11"/>
      <c r="G10" s="11"/>
      <c r="H10" s="11"/>
      <c r="J10" s="15"/>
    </row>
    <row r="11" spans="2:39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>
      <c r="B13" s="23"/>
      <c r="C13" s="25" t="s">
        <v>140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>
      <c r="B18" s="23"/>
      <c r="C18" s="29" t="s">
        <v>141</v>
      </c>
      <c r="D18" s="15" t="s">
        <v>39</v>
      </c>
      <c r="E18" s="11" t="s">
        <v>39</v>
      </c>
      <c r="F18" s="11" t="s">
        <v>39</v>
      </c>
      <c r="G18" s="11"/>
      <c r="H18" s="11"/>
      <c r="J18" s="15"/>
    </row>
    <row r="19" spans="2:10">
      <c r="B19" s="23"/>
      <c r="C19" s="29" t="s">
        <v>142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>
      <c r="B20" s="23"/>
      <c r="C20" s="29" t="s">
        <v>143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>
      <c r="B21" s="23"/>
      <c r="C21" s="25" t="s">
        <v>144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>
      <c r="B22" s="23"/>
      <c r="C22" s="29" t="s">
        <v>145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>
      <c r="B23" s="23"/>
      <c r="C23" s="29" t="s">
        <v>146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>
      <c r="B24" s="23"/>
      <c r="C24" s="29" t="s">
        <v>147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>
      <c r="B25" s="23"/>
      <c r="C25" s="25" t="s">
        <v>148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>
      <c r="B27" s="23"/>
      <c r="C27" s="14" t="s">
        <v>38</v>
      </c>
      <c r="D27" s="15"/>
      <c r="E27" s="10"/>
      <c r="F27" s="10"/>
      <c r="G27" s="10"/>
      <c r="H27" s="10"/>
      <c r="J27" s="15" t="s">
        <v>20</v>
      </c>
    </row>
    <row r="28" spans="2:10">
      <c r="B28" s="23"/>
      <c r="C28" s="25" t="s">
        <v>149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>
      <c r="B29" s="23" t="s">
        <v>39</v>
      </c>
      <c r="C29" s="28" t="s">
        <v>39</v>
      </c>
      <c r="D29" s="13" t="s">
        <v>35</v>
      </c>
      <c r="E29" s="10"/>
      <c r="F29" s="10"/>
      <c r="G29" s="10"/>
      <c r="H29" s="10"/>
      <c r="J29" s="15">
        <f t="shared" ref="J29:J46" si="6">SUM(D29:H29)</f>
        <v>0</v>
      </c>
    </row>
    <row r="30" spans="2:10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>
      <c r="B31" s="23"/>
      <c r="C31" s="14" t="s">
        <v>40</v>
      </c>
      <c r="D31" s="13" t="s">
        <v>35</v>
      </c>
      <c r="E31" s="10"/>
      <c r="F31" s="10"/>
      <c r="G31" s="10"/>
      <c r="H31" s="10"/>
      <c r="J31" s="15"/>
    </row>
    <row r="32" spans="2:10">
      <c r="B32" s="23"/>
      <c r="C32" s="25" t="s">
        <v>150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>
      <c r="B35" s="23"/>
      <c r="C35" s="14" t="s">
        <v>41</v>
      </c>
      <c r="D35" s="13" t="s">
        <v>35</v>
      </c>
      <c r="E35" s="10"/>
      <c r="F35" s="10"/>
      <c r="G35" s="10"/>
      <c r="H35" s="10"/>
      <c r="J35" s="15"/>
    </row>
    <row r="36" spans="2:10" ht="57.6">
      <c r="B36" s="23"/>
      <c r="C36" s="25" t="s">
        <v>151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57.6">
      <c r="B37" s="23"/>
      <c r="C37" s="25" t="s">
        <v>152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57.6">
      <c r="B38" s="23"/>
      <c r="C38" s="25" t="s">
        <v>153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>
      <c r="B41" s="23"/>
      <c r="C41" s="14" t="s">
        <v>42</v>
      </c>
      <c r="D41" s="13" t="s">
        <v>35</v>
      </c>
      <c r="E41" s="10"/>
      <c r="F41" s="10"/>
      <c r="G41" s="10"/>
      <c r="H41" s="10"/>
      <c r="J41" s="15"/>
    </row>
    <row r="42" spans="2:10">
      <c r="B42" s="23"/>
      <c r="C42" s="25" t="s">
        <v>154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28.9">
      <c r="B43" s="23"/>
      <c r="C43" s="25" t="s">
        <v>155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>
      <c r="B47" s="6"/>
      <c r="D47"/>
      <c r="E47"/>
      <c r="H47"/>
      <c r="I47"/>
      <c r="J47" t="s">
        <v>20</v>
      </c>
    </row>
    <row r="48" spans="2:10">
      <c r="B48" s="22" t="s">
        <v>43</v>
      </c>
      <c r="C48" s="17" t="s">
        <v>43</v>
      </c>
      <c r="D48" s="18"/>
      <c r="E48" s="18"/>
      <c r="F48" s="18"/>
      <c r="G48" s="18"/>
      <c r="H48" s="18"/>
      <c r="I48"/>
      <c r="J48" s="18" t="s">
        <v>20</v>
      </c>
    </row>
    <row r="49" spans="2:10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" thickBot="1">
      <c r="B52" s="6"/>
      <c r="D52"/>
      <c r="E52"/>
      <c r="H52"/>
      <c r="I52"/>
      <c r="J52" t="s">
        <v>20</v>
      </c>
    </row>
    <row r="53" spans="2:10" s="1" customFormat="1" ht="29.45" thickBot="1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>
      <c r="B54" s="6"/>
    </row>
    <row r="55" spans="2:10">
      <c r="B55" s="6"/>
    </row>
    <row r="56" spans="2:10">
      <c r="B56" s="6"/>
    </row>
    <row r="57" spans="2:10">
      <c r="B57" s="6"/>
    </row>
    <row r="58" spans="2:10">
      <c r="B58" s="6"/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27" activePane="bottomRight" state="frozen"/>
      <selection pane="bottomRight" activeCell="P27" sqref="P27"/>
      <selection pane="bottomLeft" activeCell="R20" sqref="R20:W20"/>
      <selection pane="topRight" activeCell="R20" sqref="R20:W20"/>
    </sheetView>
  </sheetViews>
  <sheetFormatPr defaultColWidth="9.28515625" defaultRowHeight="14.45"/>
  <cols>
    <col min="1" max="1" width="3.28515625" customWidth="1"/>
    <col min="2" max="2" width="12.28515625" customWidth="1"/>
    <col min="3" max="3" width="52.7109375" customWidth="1"/>
    <col min="4" max="4" width="12.7109375" style="6" customWidth="1"/>
    <col min="5" max="5" width="12.42578125" style="2" customWidth="1"/>
    <col min="6" max="7" width="12.7109375" customWidth="1"/>
    <col min="8" max="8" width="13.42578125" style="2" customWidth="1"/>
    <col min="9" max="9" width="0.7109375" style="7" customWidth="1"/>
    <col min="10" max="10" width="14.42578125" customWidth="1"/>
    <col min="11" max="11" width="10.28515625" customWidth="1"/>
  </cols>
  <sheetData>
    <row r="2" spans="2:39" ht="23.45">
      <c r="B2" s="30" t="s">
        <v>32</v>
      </c>
    </row>
    <row r="3" spans="2:39">
      <c r="B3" s="5"/>
    </row>
    <row r="4" spans="2:39">
      <c r="B4" s="5"/>
    </row>
    <row r="5" spans="2:39" ht="18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9">
      <c r="B8" s="23"/>
      <c r="C8" s="25" t="s">
        <v>138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>
      <c r="B13" s="23"/>
      <c r="C13" s="25" t="s">
        <v>140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>
      <c r="B18" s="23"/>
      <c r="C18" s="25" t="s">
        <v>156</v>
      </c>
      <c r="D18" s="13"/>
      <c r="E18" s="10"/>
      <c r="F18" s="10"/>
      <c r="G18" s="10"/>
      <c r="H18" s="10"/>
      <c r="J18" s="15" t="s">
        <v>35</v>
      </c>
    </row>
    <row r="19" spans="2:10">
      <c r="B19" s="23"/>
      <c r="C19" s="29" t="s">
        <v>141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>
      <c r="B20" s="23"/>
      <c r="C20" s="29" t="s">
        <v>142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>
      <c r="B21" s="23"/>
      <c r="C21" s="29" t="s">
        <v>143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>
      <c r="B22" s="23"/>
      <c r="C22" s="25" t="s">
        <v>144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>
      <c r="B23" s="23"/>
      <c r="C23" s="29" t="s">
        <v>145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>
      <c r="B24" s="23"/>
      <c r="C24" s="29" t="s">
        <v>146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>
      <c r="B25" s="23"/>
      <c r="C25" s="29" t="s">
        <v>147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>
      <c r="B26" s="23"/>
      <c r="C26" s="25" t="s">
        <v>148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>
      <c r="B33" s="23"/>
      <c r="C33" s="25" t="s">
        <v>157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>
      <c r="B37" s="23"/>
      <c r="C37" s="13"/>
      <c r="D37" s="15"/>
      <c r="E37" s="15"/>
      <c r="F37" s="15"/>
      <c r="G37" s="15"/>
      <c r="H37" s="15"/>
      <c r="I37" s="35"/>
      <c r="J37" s="15"/>
    </row>
    <row r="38" spans="2:10">
      <c r="B38" s="23"/>
      <c r="C38" s="13"/>
      <c r="D38" s="15"/>
      <c r="E38" s="15"/>
      <c r="F38" s="15"/>
      <c r="G38" s="15"/>
      <c r="H38" s="15"/>
      <c r="I38" s="35"/>
      <c r="J38" s="15"/>
    </row>
    <row r="39" spans="2:10">
      <c r="B39" s="23"/>
      <c r="C39" s="13"/>
      <c r="D39" s="15"/>
      <c r="E39" s="15"/>
      <c r="F39" s="15"/>
      <c r="G39" s="15"/>
      <c r="H39" s="15"/>
      <c r="I39" s="35"/>
      <c r="J39" s="15"/>
    </row>
    <row r="40" spans="2:10">
      <c r="B40" s="23"/>
      <c r="C40" s="62"/>
      <c r="D40" s="15"/>
      <c r="E40" s="15"/>
      <c r="F40" s="15"/>
      <c r="G40" s="15"/>
      <c r="H40" s="15"/>
      <c r="I40" s="35"/>
      <c r="J40" s="15"/>
    </row>
    <row r="41" spans="2:10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43.15">
      <c r="B44" s="23"/>
      <c r="C44" s="25" t="s">
        <v>158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57.6">
      <c r="B45" s="23"/>
      <c r="C45" s="25" t="s">
        <v>159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86.45">
      <c r="B46" s="23"/>
      <c r="C46" s="25" t="s">
        <v>160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>
      <c r="B52" s="6"/>
      <c r="D52"/>
      <c r="E52"/>
      <c r="H52"/>
      <c r="I52"/>
      <c r="J52" t="s">
        <v>20</v>
      </c>
    </row>
    <row r="53" spans="2:10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>
      <c r="B57" s="6"/>
      <c r="D57"/>
      <c r="E57"/>
      <c r="H57"/>
      <c r="I57"/>
      <c r="J57" t="s">
        <v>20</v>
      </c>
    </row>
    <row r="58" spans="2:10" s="1" customFormat="1" ht="29.45" thickBot="1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  <row r="73" spans="2:2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7EAD748E7AC4B4D8AC0CD730DEC4DDD" ma:contentTypeVersion="6" ma:contentTypeDescription="Create a new document." ma:contentTypeScope="" ma:versionID="338877e863e718a2285249d8b0f882c5">
  <xsd:schema xmlns:xsd="http://www.w3.org/2001/XMLSchema" xmlns:xs="http://www.w3.org/2001/XMLSchema" xmlns:p="http://schemas.microsoft.com/office/2006/metadata/properties" xmlns:ns2="be3d1d3a-44f9-472f-bea8-19d875a0c14a" xmlns:ns3="860fbcc0-58d2-49d5-8ee3-9d2d9dcd3abd" targetNamespace="http://schemas.microsoft.com/office/2006/metadata/properties" ma:root="true" ma:fieldsID="4b87153e4d281d9f088fda035fc929e2" ns2:_="" ns3:_="">
    <xsd:import namespace="be3d1d3a-44f9-472f-bea8-19d875a0c14a"/>
    <xsd:import namespace="860fbcc0-58d2-49d5-8ee3-9d2d9dcd3a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3d1d3a-44f9-472f-bea8-19d875a0c1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0fbcc0-58d2-49d5-8ee3-9d2d9dcd3a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2572C9-94E8-4C6B-8BD4-9D0B9DF7E5AC}"/>
</file>

<file path=customXml/itemProps2.xml><?xml version="1.0" encoding="utf-8"?>
<ds:datastoreItem xmlns:ds="http://schemas.openxmlformats.org/officeDocument/2006/customXml" ds:itemID="{68222176-22B4-47AB-AB9E-BB248AC3A7F3}"/>
</file>

<file path=customXml/itemProps3.xml><?xml version="1.0" encoding="utf-8"?>
<ds:datastoreItem xmlns:ds="http://schemas.openxmlformats.org/officeDocument/2006/customXml" ds:itemID="{E61D5935-F179-4A89-95E0-C99AE243BFAE}"/>
</file>

<file path=customXml/itemProps4.xml><?xml version="1.0" encoding="utf-8"?>
<ds:datastoreItem xmlns:ds="http://schemas.openxmlformats.org/officeDocument/2006/customXml" ds:itemID="{4FABF434-30F9-4366-A224-E03BDFDB3C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Phillip Wright</cp:lastModifiedBy>
  <cp:revision>1</cp:revision>
  <dcterms:created xsi:type="dcterms:W3CDTF">2023-09-19T16:36:01Z</dcterms:created>
  <dcterms:modified xsi:type="dcterms:W3CDTF">2024-03-20T18:11:40Z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0x01010027EAD748E7AC4B4D8AC0CD730DEC4DDD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