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kyliemccord/Downloads/"/>
    </mc:Choice>
  </mc:AlternateContent>
  <xr:revisionPtr revIDLastSave="0" documentId="8_{6AB2A5E6-0073-B741-97CD-E16FEDD597AC}" xr6:coauthVersionLast="47" xr6:coauthVersionMax="47" xr10:uidLastSave="{00000000-0000-0000-0000-000000000000}"/>
  <bookViews>
    <workbookView xWindow="30220" yWindow="540" windowWidth="28800" windowHeight="20180" xr2:uid="{E1419EC9-E3BC-5041-B98A-85DFC2D211D6}"/>
  </bookViews>
  <sheets>
    <sheet name="EmissionsSummary" sheetId="24" r:id="rId1"/>
    <sheet name="EmissionsAll" sheetId="5" r:id="rId2"/>
    <sheet name="Biosolids" sheetId="21" r:id="rId3"/>
    <sheet name="Transportation" sheetId="18" r:id="rId4"/>
    <sheet name="Plant" sheetId="19" r:id="rId5"/>
    <sheet name="Construction" sheetId="22" r:id="rId6"/>
    <sheet name="LandfillCap" sheetId="23" r:id="rId7"/>
    <sheet name="Sludge" sheetId="4" r:id="rId8"/>
    <sheet name="GrowthFactors" sheetId="17" r:id="rId9"/>
    <sheet name="Coefficients" sheetId="3" r:id="rId10"/>
    <sheet name="Bibliography" sheetId="27" r:id="rId11"/>
  </sheets>
  <externalReferences>
    <externalReference r:id="rId12"/>
    <externalReference r:id="rId13"/>
  </externalReferences>
  <definedNames>
    <definedName name="_xlcn.WorksheetConnection_AFLEET_Tool_2017v16.xlsxIT_Technology1" hidden="1">#REF!</definedName>
    <definedName name="_xlcn.WorksheetConnection_AFLEET_Tool_2017v16.xlsxMOVES_Vehicles1" hidden="1">#REF!</definedName>
    <definedName name="_xlcn.WorksheetConnection_AFLEET_Tool_2017v16.xlsxProduct_Compatibility1" hidden="1">#REF!</definedName>
    <definedName name="_xlcn.WorksheetConnection_AFLEET_Tool_2017v16.xlsxProduct_Specs1" hidden="1">#REF!</definedName>
    <definedName name="_xlcn.WorksheetConnection_AFLEET_Tool_2017v16.xlsxVehicle_Duty_Class1" hidden="1">#REF!</definedName>
    <definedName name="_xlcn.WorksheetConnection_AFLEET_Tool_2017v16.xlsxVehicle_Vocations1" hidden="1">#REF!</definedName>
    <definedName name="Aerial_Lifts">#REF!</definedName>
    <definedName name="AFLEET_look_up_tables">#REF!</definedName>
    <definedName name="AFV_station_utilization">#REF!</definedName>
    <definedName name="Agricultural_Tractors">#REF!</definedName>
    <definedName name="Airport_Support_Equipment">#REF!</definedName>
    <definedName name="ALABAMA">#REF!</definedName>
    <definedName name="ALASKA">#REF!</definedName>
    <definedName name="alternative_emissions">#REF!</definedName>
    <definedName name="Annual_Vehicle_Mileage">#REF!</definedName>
    <definedName name="APU_Battery_Calculations">#REF!</definedName>
    <definedName name="ARIZONA">#REF!</definedName>
    <definedName name="ARKANSAS">#REF!</definedName>
    <definedName name="Average_Session_Power_List">#REF!</definedName>
    <definedName name="B100_gallon2GGE">#REF!</definedName>
    <definedName name="B20_gallon2GGE">#REF!</definedName>
    <definedName name="Battery_Types">#REF!</definedName>
    <definedName name="BD_blend_level">#REF!</definedName>
    <definedName name="Biodiesel_B100_Heavy_Duty">#REF!</definedName>
    <definedName name="Biodiesel_B100_Light_Duty">#REF!</definedName>
    <definedName name="Biodiesel_B20_Heavy_Duty">#REF!</definedName>
    <definedName name="Biodiesel_B20_Light_Duty">#REF!</definedName>
    <definedName name="Biomass_input">#REF!</definedName>
    <definedName name="Btu2hp_hr">#REF!</definedName>
    <definedName name="Calculated_Gasoline_LHV">#REF!</definedName>
    <definedName name="CALIFORNIA">#REF!</definedName>
    <definedName name="CFI_assumptions">#REF!</definedName>
    <definedName name="Chain_Saws">#REF!</definedName>
    <definedName name="Charger_lifetime">#REF!</definedName>
    <definedName name="Charger_TCO_Data">#REF!</definedName>
    <definedName name="Charger_TCO_Rate_Type_EV">#REF!</definedName>
    <definedName name="Charger_Type_List">#REF!</definedName>
    <definedName name="Charging_Efficiency">#REF!</definedName>
    <definedName name="Charging_Fueling_Infrastructure_Emissions_Data">#REF!</definedName>
    <definedName name="Charging_Fueling_Infrastructure_Emissions_Inputs">#REF!</definedName>
    <definedName name="Charging_strategy">#REF!</definedName>
    <definedName name="CNG_GGE2GGE">#REF!</definedName>
    <definedName name="CNG_Heavy_Duty">#REF!</definedName>
    <definedName name="CNG_Light_Duty">#REF!</definedName>
    <definedName name="CNG_station_type_list">#REF!</definedName>
    <definedName name="COLORADO">#REF!</definedName>
    <definedName name="Combination_Unit_Long_Haul_Truck">#REF!</definedName>
    <definedName name="Combination_Unit_Short_Haul_Truck">#REF!</definedName>
    <definedName name="Commercial_Turf_Equipment">#REF!</definedName>
    <definedName name="CommercialRateNames">#REF!</definedName>
    <definedName name="CommercialRateRateTypes">#REF!</definedName>
    <definedName name="CommercialRateStates">#REF!</definedName>
    <definedName name="CONNECTICUT">#REF!</definedName>
    <definedName name="Consumer_Price_Index">#REF!</definedName>
    <definedName name="county_name">#REF!</definedName>
    <definedName name="CPI_year">#REF!</definedName>
    <definedName name="Cranes">#REF!</definedName>
    <definedName name="Crawler_Tractor_Dozers">#REF!</definedName>
    <definedName name="CustomRateNames">#REF!</definedName>
    <definedName name="DCFC_utilization">#REF!</definedName>
    <definedName name="Default_Rated_Power_List">#REF!</definedName>
    <definedName name="DELAWARE">#REF!</definedName>
    <definedName name="Diesel_BD_blend_level">#REF!</definedName>
    <definedName name="diesel_gallon2DGE">#REF!</definedName>
    <definedName name="diesel_gallon2GGE">#REF!</definedName>
    <definedName name="Diesel_Heavy_Duty">#REF!</definedName>
    <definedName name="Diesel_HEV_Heavy_Duty">#REF!</definedName>
    <definedName name="Diesel_Hydraulic_Hybrid_Heavy_Duty">#REF!</definedName>
    <definedName name="Diesel_Light_Duty">#REF!</definedName>
    <definedName name="Diesel_RD_blend_level">#REF!</definedName>
    <definedName name="DISTRICT_OF_COLUMBIA">#REF!</definedName>
    <definedName name="E85_gallon2GGE">#REF!</definedName>
    <definedName name="Ethanol_E85_Heavy_Duty">#REF!</definedName>
    <definedName name="Ethanol_E85_Light_Duty">#REF!</definedName>
    <definedName name="EV_Charger_TCO___Summary">#REF!</definedName>
    <definedName name="EV_Charger_TCO_Inputs">#REF!</definedName>
    <definedName name="EV_Charger_Total_Cost_of_Ownership">#REF!</definedName>
    <definedName name="EV_Heavy_Duty">#REF!</definedName>
    <definedName name="EV_Light_Duty">#REF!</definedName>
    <definedName name="EV_Rate_1">#REF!</definedName>
    <definedName name="EV_Rate_2">#REF!</definedName>
    <definedName name="EV_Rate_3">#REF!</definedName>
    <definedName name="EV_Rate_Summary">#REF!</definedName>
    <definedName name="EV_type_LDV">#REF!</definedName>
    <definedName name="EV_type_list">#REF!</definedName>
    <definedName name="EV_Utility_Multi_Rate_Calculator">#REF!</definedName>
    <definedName name="EVSE_type_list">#REF!</definedName>
    <definedName name="Excavators">#REF!</definedName>
    <definedName name="Externality_Cost_Data">#REF!</definedName>
    <definedName name="Fixed_charges">#REF!</definedName>
    <definedName name="Fleet_DCFC__50_100_kW___Combination_Long_Haul_Truck">#REF!</definedName>
    <definedName name="Fleet_DCFC__50_100_kW___Combination_Short_Haul_Truck">#REF!</definedName>
    <definedName name="Fleet_DCFC__50_100_kW___Refuse_Truck">#REF!</definedName>
    <definedName name="Fleet_DCFC__50_100_kW___School_Bus">#REF!</definedName>
    <definedName name="Fleet_DCFC__50_100_kW___Single_Unit_Long_Haul_Truck">#REF!</definedName>
    <definedName name="Fleet_DCFC__50_100_kW___Single_Unit_Short_Haul_Truck">#REF!</definedName>
    <definedName name="Fleet_DCFC__50_100_kW___Transit_Bus">#REF!</definedName>
    <definedName name="FLORIDA">#REF!</definedName>
    <definedName name="Forklifts">#REF!</definedName>
    <definedName name="Fuel_and_DEF_Price">#REF!</definedName>
    <definedName name="Fuel_Cost_Data">#REF!</definedName>
    <definedName name="Fuel_Price_Sensitivity">#REF!</definedName>
    <definedName name="Fuel_Production_Options">#REF!</definedName>
    <definedName name="Fuel_Station_type">#REF!</definedName>
    <definedName name="Fuel_Types_Abbrev">#REF!</definedName>
    <definedName name="G.H2_FCV_Heavy_Duty">#REF!</definedName>
    <definedName name="G.H2_FCV_Light_Duty">#REF!</definedName>
    <definedName name="Gasoline_EREV_Light_Duty">#REF!</definedName>
    <definedName name="gasoline_gallon2DGE">#REF!</definedName>
    <definedName name="gasoline_gallon2GGE">#REF!</definedName>
    <definedName name="Gasoline_Heavy_Duty">#REF!</definedName>
    <definedName name="Gasoline_HEV_Light_Duty">#REF!</definedName>
    <definedName name="Gasoline_Light_Duty">#REF!</definedName>
    <definedName name="Gasoline_MPGGE_Charging_Calc">#REF!</definedName>
    <definedName name="Gasoline_PHEV_Light_Duty">#REF!</definedName>
    <definedName name="GEORGIA">#REF!</definedName>
    <definedName name="Golf_Carts">#REF!</definedName>
    <definedName name="gram2pound">#REF!</definedName>
    <definedName name="gram2short_ton">#REF!</definedName>
    <definedName name="greet_specs">#REF!</definedName>
    <definedName name="H2_kg2GGE">#REF!</definedName>
    <definedName name="HAWAII">#REF!</definedName>
    <definedName name="HDV_list">#REF!</definedName>
    <definedName name="HDV_ownership">#REF!</definedName>
    <definedName name="HDV_type">#REF!</definedName>
    <definedName name="Heavy_Duty_Vehicle_Information">#REF!</definedName>
    <definedName name="IDAHO">#REF!</definedName>
    <definedName name="Idle_Reduction_Inputs">#REF!</definedName>
    <definedName name="idling_data">#REF!</definedName>
    <definedName name="ILLINOIS">#REF!</definedName>
    <definedName name="INDIANA">#REF!</definedName>
    <definedName name="inflation">#REF!</definedName>
    <definedName name="Infrastructure_Cost_Data">#REF!</definedName>
    <definedName name="Infrastructure_inputs">#REF!</definedName>
    <definedName name="infrastructure_ownership">#REF!</definedName>
    <definedName name="Insurance_Damage_HDV">#REF!</definedName>
    <definedName name="Insurance_Damage_LDV">#REF!</definedName>
    <definedName name="Insurance_Damage_LU">#REF!</definedName>
    <definedName name="Insurance_Liability_HDV">#REF!</definedName>
    <definedName name="Insurance_Liability_LDV">#REF!</definedName>
    <definedName name="Insurance_Liability_LU">#REF!</definedName>
    <definedName name="IOWA">#REF!</definedName>
    <definedName name="IR_battery_type">#REF!</definedName>
    <definedName name="IR_HDV_type">#REF!</definedName>
    <definedName name="IR_LDV_type">#REF!</definedName>
    <definedName name="IR_Sheet_HDV_Inputs">#REF!</definedName>
    <definedName name="IR_Sheet_LDV_Inputs">#REF!</definedName>
    <definedName name="IR_Vehicle_Vocation_Selection">#REF!</definedName>
    <definedName name="KANSAS">#REF!</definedName>
    <definedName name="KENTUCKY">#REF!</definedName>
    <definedName name="Key_Inputs">#REF!</definedName>
    <definedName name="kWh2GGE">#REF!</definedName>
    <definedName name="L2_utilization">#REF!</definedName>
    <definedName name="Language">'[1]Main Data'!$C$6</definedName>
    <definedName name="large_equip_hp">#REF!</definedName>
    <definedName name="large_equip_type">#REF!</definedName>
    <definedName name="Lawn_Garden_Tractors">#REF!</definedName>
    <definedName name="Lawn_Mowers">#REF!</definedName>
    <definedName name="LDV_list">#REF!</definedName>
    <definedName name="LDV_ownership">#REF!</definedName>
    <definedName name="LDV_type">#REF!</definedName>
    <definedName name="Leafblowers_Vacuums">#REF!</definedName>
    <definedName name="License_Registration_Base_LU">#REF!</definedName>
    <definedName name="License_Registration_HD_AFV_LU">#REF!</definedName>
    <definedName name="License_Registration_LD_AFV_LU">#REF!</definedName>
    <definedName name="Light_Commercial_Truck">#REF!</definedName>
    <definedName name="Light_Duty_Vehicle_Information">#REF!</definedName>
    <definedName name="LNG_Diesel_Pilot_Ignition_Heavy_Duty">#REF!</definedName>
    <definedName name="LNG_gallon2GGE">#REF!</definedName>
    <definedName name="LNG_Heavy_Duty">#REF!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tion_costs">#REF!</definedName>
    <definedName name="location_stations">#REF!</definedName>
    <definedName name="LOUISIANA">#REF!</definedName>
    <definedName name="LPG_gallon2GGE">#REF!</definedName>
    <definedName name="LU_OffRd_Annual_Usage">#REF!</definedName>
    <definedName name="LU_OffRd_DEF">#REF!</definedName>
    <definedName name="LU_OffRd_Fuel_Types">#REF!</definedName>
    <definedName name="LU_OffRd_GGE_hr">#REF!</definedName>
    <definedName name="LU_OffRd_Lifetime_Avg_Load">#REF!</definedName>
    <definedName name="LU_OffRd_Lifetime_Full_Load">#REF!</definedName>
    <definedName name="LU_OffRd_Load_Factor">#REF!</definedName>
    <definedName name="LU_OffRd_Maintenance_Lifetime">#REF!</definedName>
    <definedName name="LU_OffRd_MOVES_Category">#REF!</definedName>
    <definedName name="LU_OffRd_Purchase_Price">#REF!</definedName>
    <definedName name="LU_OffRd_Rated_hp">#REF!</definedName>
    <definedName name="LU_OnRd_Fuel_Economy">#REF!</definedName>
    <definedName name="LU_OnRd_Fuel_Types">#REF!</definedName>
    <definedName name="LU_OnRd_Maintenance_Lifetime">#REF!</definedName>
    <definedName name="LU_OnRd_MOVES_Category">#REF!</definedName>
    <definedName name="LU_OnRd_Purchase_Price">#REF!</definedName>
    <definedName name="LU_OnRd_VMT">#REF!</definedName>
    <definedName name="MAINE">#REF!</definedName>
    <definedName name="Make_ready_lifetime">#REF!</definedName>
    <definedName name="Managed">#REF!</definedName>
    <definedName name="MARYLAND">#REF!</definedName>
    <definedName name="MASSACHUSETTS">#REF!</definedName>
    <definedName name="MICHIGAN">#REF!</definedName>
    <definedName name="MINNESOTA">#REF!</definedName>
    <definedName name="MISSISSIPPI">#REF!</definedName>
    <definedName name="MISSOURI">#REF!</definedName>
    <definedName name="MONTANA">#REF!</definedName>
    <definedName name="moves_list">#REF!</definedName>
    <definedName name="national_EF_fuel_types">#REF!</definedName>
    <definedName name="national_EF_lifetime_DF">#REF!</definedName>
    <definedName name="national_EF_pollutant_names">#REF!</definedName>
    <definedName name="national_EF_vehicle_types">#REF!</definedName>
    <definedName name="national_emissions">#REF!</definedName>
    <definedName name="NEBRASKA">#REF!</definedName>
    <definedName name="nerc_region">#REF!</definedName>
    <definedName name="nerc_region_state_only">#REF!</definedName>
    <definedName name="NEVADA">#REF!</definedName>
    <definedName name="NEW_HAMPSHIRE">#REF!</definedName>
    <definedName name="NEW_JERSEY">#REF!</definedName>
    <definedName name="NEW_MEXICO">#REF!</definedName>
    <definedName name="NEW_YORK">#REF!</definedName>
    <definedName name="nonroad_list">#REF!</definedName>
    <definedName name="NORTH_CAROLINA">#REF!</definedName>
    <definedName name="NORTH_DAKOTA">#REF!</definedName>
    <definedName name="Off_Road_Data">#REF!</definedName>
    <definedName name="Off_Road_EF_lifetime_DF">#REF!</definedName>
    <definedName name="Off_Road_Equip_Large_List">#REF!</definedName>
    <definedName name="Off_Road_Equip_Small_List">#REF!</definedName>
    <definedName name="Off_Road_Inputs">#REF!</definedName>
    <definedName name="Off_Road_Look_Up_Tables">#REF!</definedName>
    <definedName name="Off_Road_National_Emissions">#REF!</definedName>
    <definedName name="OHIO">#REF!</definedName>
    <definedName name="OKLAHOMA">#REF!</definedName>
    <definedName name="OREGON">#REF!</definedName>
    <definedName name="padd">#REF!</definedName>
    <definedName name="padd_private_cost">#REF!</definedName>
    <definedName name="padd_private_fuel">#REF!</definedName>
    <definedName name="padd_public_cost">#REF!</definedName>
    <definedName name="padd_public_fuel">#REF!</definedName>
    <definedName name="padd_states">#REF!</definedName>
    <definedName name="Passenger_Car">#REF!</definedName>
    <definedName name="Passenger_Truck">#REF!</definedName>
    <definedName name="PENNSYLVANIA">#REF!</definedName>
    <definedName name="Petroleum_GHGs_Air_Pollutant_Options">#REF!</definedName>
    <definedName name="PEV_MPGGE_Charging_Calc">#REF!</definedName>
    <definedName name="Primary_Vehicle_Location">#REF!</definedName>
    <definedName name="private_cost_gge">#REF!</definedName>
    <definedName name="private_fuel_gge">#REF!</definedName>
    <definedName name="private_national_gge">#REF!</definedName>
    <definedName name="private_stations">#REF!</definedName>
    <definedName name="private_stations_fuel">#REF!</definedName>
    <definedName name="Project">#REF!</definedName>
    <definedName name="Propane_Heavy_Duty">#REF!</definedName>
    <definedName name="Propane_Light_Duty">#REF!</definedName>
    <definedName name="public_cost_gge">#REF!</definedName>
    <definedName name="public_fuel_gge">#REF!</definedName>
    <definedName name="public_national_gge">#REF!</definedName>
    <definedName name="public_stations">#REF!</definedName>
    <definedName name="public_stations_fuel">#REF!</definedName>
    <definedName name="Publicly_Accessible_DCFC__100_300_kW___All_Vehicles">#REF!</definedName>
    <definedName name="Publicly_Accessible_DCFC__300__kW___All_Vehicles">#REF!</definedName>
    <definedName name="Publicly_Accessible_DCFC__50_100_kW___All_Vehicles">#REF!</definedName>
    <definedName name="Publicly_Accessible_Level_2___Light_Duty_Vehicle">#REF!</definedName>
    <definedName name="PUERTO_RICO">#REF!</definedName>
    <definedName name="Rate_ChargerTCO_Data_Validation">IF(#REF!="Custom",#REF!,INDIRECT(ADDRESS(ROW(INDEX(#REF!,MATCH(#REF!&amp;" "&amp;#REF!,#REF!,0)))+1,COLUMN(INDEX(#REF!,0,MATCH(#REF!,#REF!,0))),,,"Background Data")&amp;":"&amp;ADDRESS(ROW(INDEX(INDIRECT(ADDRESS(ROW(INDEX(#REF!,MATCH(#REF!&amp;" "&amp;#REF!,#REF!,0)))+1,COLUMN(INDEX(#REF!,0,MATCH(#REF!,#REF!,0))),,,"Background Data")&amp;":"&amp;ADDRESS(ROW(INDEX(#REF!,MATCH(#REF!&amp;" "&amp;#REF!,#REF!,0)))+150,COLUMN(INDEX(#REF!,0,MATCH(#REF!,#REF!,0))))),MATCH("",INDIRECT(ADDRESS(ROW(INDEX(#REF!,MATCH(#REF!&amp;" "&amp;#REF!,#REF!,0)))+1,COLUMN(INDEX(#REF!,0,MATCH(#REF!,#REF!,0))),,,"Background Data")&amp;":"&amp;ADDRESS(ROW(INDEX(#REF!,MATCH(#REF!&amp;" "&amp;#REF!,#REF!,0)))+150,COLUMN(INDEX(#REF!,0,MATCH(#REF!,#REF!,0))))),0)-1)),COLUMN(INDEX(#REF!,0,MATCH(#REF!,#REF!,0))))))</definedName>
    <definedName name="Rate_Data">#REF!</definedName>
    <definedName name="Rate_List_EV_Rate">IF(#REF!="Custom", CustomRateNames,INDIRECT(ADDRESS(ROW(INDEX(Charger_TCO_Rate_Type_EV,MATCH(#REF!,Charger_TCO_Rate_Type_EV,0)))+1,COLUMN(INDEX(State_Rates,0,MATCH(#REF!,State_Rates,0))),,,"Background Data")&amp;":"&amp;ADDRESS(ROW(INDEX(INDIRECT(ADDRESS(ROW(INDEX(Charger_TCO_Rate_Type_EV,MATCH(#REF!,Charger_TCO_Rate_Type_EV,0)))+1,COLUMN(INDEX(State_Rates,0,MATCH(#REF!,State_Rates,0))),,,"Background Data")&amp;":"&amp;ADDRESS(ROW(INDEX(Charger_TCO_Rate_Type_EV,MATCH(#REF!,Charger_TCO_Rate_Type_EV,0)))+200,COLUMN(INDEX(State_Rates,0,MATCH(#REF!,State_Rates,0))))),MATCH(TRUE,INDEX(INDEX(#REF!,MATCH(#REF!,#REF!,),MATCH(#REF!,#REF!,0)):INDEX(#REF!,MATCH(#REF!,#REF!,)+200,MATCH(#REF!,#REF!,0))="",0),0)-1)),COLUMN(INDEX(State_Rates,0,MATCH(#REF!,State_Rates,0))))))</definedName>
    <definedName name="Rate_List_Inputs">IF(#REF!="Custom", CustomRateNames,INDIRECT(ADDRESS(ROW(INDEX(Charger_TCO_Rate_Type_EV,MATCH(#REF!,Charger_TCO_Rate_Type_EV,0)))+1,COLUMN(INDEX(State_Rates,0,MATCH(#REF!,State_Rates,0))),,,"Background Data")&amp;":"&amp;ADDRESS(ROW(INDEX(INDIRECT(ADDRESS(ROW(INDEX(Charger_TCO_Rate_Type_EV,MATCH(#REF!,Charger_TCO_Rate_Type_EV,0)))+1,COLUMN(INDEX(State_Rates,0,MATCH(#REF!,State_Rates,0))),,,"Background Data")&amp;":"&amp;ADDRESS(ROW(INDEX(Charger_TCO_Rate_Type_EV,MATCH(#REF!,Charger_TCO_Rate_Type_EV,0)))+200,COLUMN(INDEX(State_Rates,0,MATCH(#REF!,State_Rates,0))))),MATCH(TRUE,INDEX(INDEX(#REF!,MATCH(#REF!,#REF!,),MATCH(#REF!,#REF!,0)):INDEX(#REF!,MATCH(#REF!,#REF!,)+200,MATCH(#REF!,#REF!,0))="",0),0)-1)),COLUMN(INDEX(State_Rates,0,MATCH(#REF!,State_Rates,0))))))</definedName>
    <definedName name="Rate_List_Multi_Rate">IF(#REF!="Custom", CustomRateNames,INDIRECT(ADDRESS(ROW(INDEX(Charger_TCO_Rate_Type_EV,MATCH(#REF!,Charger_TCO_Rate_Type_EV,0)))+1,COLUMN(INDEX(State_Rates,0,MATCH(#REF!,State_Rates,0))),,,"Background Data")&amp;":"&amp;ADDRESS(ROW(INDEX(INDIRECT(ADDRESS(ROW(INDEX(Charger_TCO_Rate_Type_EV,MATCH(#REF!,Charger_TCO_Rate_Type_EV,0)))+1,COLUMN(INDEX(State_Rates,0,MATCH(#REF!,State_Rates,0))),,,"Background Data")&amp;":"&amp;ADDRESS(ROW(INDEX(Charger_TCO_Rate_Type_EV,MATCH(#REF!,Charger_TCO_Rate_Type_EV,0)))+200,COLUMN(INDEX(State_Rates,0,MATCH(#REF!,State_Rates,0))))),MATCH(TRUE,INDEX(INDEX(#REF!,MATCH(#REF!,#REF!,),MATCH(#REF!,#REF!,0)):INDEX(#REF!,MATCH(#REF!,#REF!,)+200,MATCH(#REF!,#REF!,0))="",0),0)-1)),COLUMN(INDEX(State_Rates,0,MATCH(#REF!,State_Rates,0))))))</definedName>
    <definedName name="Rated_Power_List">#REF!</definedName>
    <definedName name="ratedv">IF(#REF!="Custom", CustomRateNames, IF(#REF!= "Commercial", CommercialRateNames, ResidentialRateNames))</definedName>
    <definedName name="RD_blend_level">#REF!</definedName>
    <definedName name="RD100_gallon2GGE">#REF!</definedName>
    <definedName name="RD20_gallon2GGE">#REF!</definedName>
    <definedName name="Refuse_Truck">#REF!</definedName>
    <definedName name="Renewable_Diesel_RD100_Heavy_Duty">#REF!</definedName>
    <definedName name="Renewable_Diesel_RD100_Light_Duty">#REF!</definedName>
    <definedName name="Renewable_Diesel_RD20_Heavy_Duty">#REF!</definedName>
    <definedName name="Renewable_Diesel_RD20_Light_Duty">#REF!</definedName>
    <definedName name="Residential_Level_1___Light_Duty_Vehicle">#REF!</definedName>
    <definedName name="Residential_Level_2___Light_Duty_Vehicle">#REF!</definedName>
    <definedName name="ResidentialRateNames">#REF!</definedName>
    <definedName name="ResidentialRateRateTypes">#REF!</definedName>
    <definedName name="ResidentialRateStates">#REF!</definedName>
    <definedName name="RHODE_ISLAND">#REF!</definedName>
    <definedName name="Rollers">#REF!</definedName>
    <definedName name="Rubber_Tire_Loaders">#REF!</definedName>
    <definedName name="School_Bus">#REF!</definedName>
    <definedName name="Shorepower_Cost">#REF!</definedName>
    <definedName name="Single_Unit_Long_Haul_Truck">#REF!</definedName>
    <definedName name="Single_Unit_Short_Haul_Truck">#REF!</definedName>
    <definedName name="Skid_Steer_Loaders">#REF!</definedName>
    <definedName name="small_equip_hp">#REF!</definedName>
    <definedName name="small_equip_type">#REF!</definedName>
    <definedName name="Snowblowers">#REF!</definedName>
    <definedName name="SOUTH_CAROLINA">#REF!</definedName>
    <definedName name="SOUTH_DAKOTA">#REF!</definedName>
    <definedName name="State_Dropdown_List">#REF!</definedName>
    <definedName name="state_emissions">#REF!</definedName>
    <definedName name="state_list">#REF!</definedName>
    <definedName name="state_name">#REF!</definedName>
    <definedName name="State_Rates">#REF!</definedName>
    <definedName name="Station_type_list">#REF!</definedName>
    <definedName name="Summer_demand_TOU">#REF!</definedName>
    <definedName name="Summer_energy_TOU">#REF!</definedName>
    <definedName name="Sweepers_Scrubbers">#REF!</definedName>
    <definedName name="TCO_Calc_Maintenance_increase_by_year">#REF!</definedName>
    <definedName name="TCO_HDV_Maintenance_Repair_mile_Year_1">#REF!</definedName>
    <definedName name="tco_heavy">#REF!</definedName>
    <definedName name="TCO_LDV_Maintenance_Repair_mile_Year_1">#REF!</definedName>
    <definedName name="tco_light">#REF!</definedName>
    <definedName name="tco_summary">#REF!</definedName>
    <definedName name="TENNESSEE">#REF!</definedName>
    <definedName name="Terminal_Tractors">#REF!</definedName>
    <definedName name="TEXAS">#REF!</definedName>
    <definedName name="Time_12hr_format">#REF!</definedName>
    <definedName name="Total_Cost_of_Ownership_Inputs">#REF!</definedName>
    <definedName name="Tractors_Loaders_Backhoes">#REF!</definedName>
    <definedName name="Transit_Bus">#REF!</definedName>
    <definedName name="Trimmers_Edgers_Brush_Cutter">#REF!</definedName>
    <definedName name="TSE_Cost">#REF!</definedName>
    <definedName name="Use_Type_List">#REF!</definedName>
    <definedName name="user_defined_mix">#REF!</definedName>
    <definedName name="User_input_charging_periods">#REF!</definedName>
    <definedName name="UTAH">#REF!</definedName>
    <definedName name="Vehicle_Cost_Data">#REF!</definedName>
    <definedName name="VERMONT">#REF!</definedName>
    <definedName name="VIRGIN_ISLANDS">#REF!</definedName>
    <definedName name="VIRGINIA">#REF!</definedName>
    <definedName name="vocation_selection_offroad">#REF!</definedName>
    <definedName name="vocation_selection_onroad">#REF!</definedName>
    <definedName name="WASHINGTON">#REF!</definedName>
    <definedName name="Weighted_PEV_MPGGE">#REF!</definedName>
    <definedName name="WEST_VIRGINIA">#REF!</definedName>
    <definedName name="Winter_demand_TOU">#REF!</definedName>
    <definedName name="Winter_energy_TOU">#REF!</definedName>
    <definedName name="WISCONSIN">#REF!</definedName>
    <definedName name="WYOMING">#REF!</definedName>
    <definedName name="x">'[2]Background Data'!$C$1919</definedName>
    <definedName name="Yes_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31" i="21" l="1"/>
  <c r="E30" i="21"/>
  <c r="E29" i="21"/>
  <c r="E28" i="21"/>
  <c r="F28" i="21" s="1"/>
  <c r="E27" i="21"/>
  <c r="E26" i="21"/>
  <c r="E25" i="21"/>
  <c r="E24" i="21"/>
  <c r="E23" i="21"/>
  <c r="E22" i="21"/>
  <c r="E21" i="21"/>
  <c r="E20" i="21"/>
  <c r="F20" i="21" s="1"/>
  <c r="E19" i="21"/>
  <c r="E18" i="21"/>
  <c r="E17" i="21"/>
  <c r="E16" i="21"/>
  <c r="E15" i="21"/>
  <c r="E14" i="21"/>
  <c r="E13" i="21"/>
  <c r="E12" i="21"/>
  <c r="E11" i="21"/>
  <c r="E10" i="21"/>
  <c r="E9" i="21"/>
  <c r="E8" i="21"/>
  <c r="F12" i="21"/>
  <c r="E7" i="21"/>
  <c r="E6" i="21"/>
  <c r="AA71" i="21"/>
  <c r="AA70" i="21"/>
  <c r="Z71" i="21"/>
  <c r="Y71" i="21"/>
  <c r="X71" i="21"/>
  <c r="W71" i="21"/>
  <c r="V71" i="21"/>
  <c r="U71" i="21"/>
  <c r="T71" i="21"/>
  <c r="S71" i="21"/>
  <c r="R71" i="21"/>
  <c r="Q71" i="21"/>
  <c r="Z70" i="21"/>
  <c r="Y70" i="21"/>
  <c r="X70" i="21"/>
  <c r="W70" i="21"/>
  <c r="V70" i="21"/>
  <c r="U70" i="21"/>
  <c r="T70" i="21"/>
  <c r="S70" i="21"/>
  <c r="R70" i="21"/>
  <c r="Q70" i="21"/>
  <c r="P71" i="21"/>
  <c r="P70" i="21"/>
  <c r="AV67" i="21"/>
  <c r="AU67" i="21"/>
  <c r="AT67" i="21"/>
  <c r="AS67" i="21"/>
  <c r="AR67" i="21"/>
  <c r="AQ67" i="21"/>
  <c r="AP67" i="21"/>
  <c r="AO67" i="21"/>
  <c r="AN67" i="21"/>
  <c r="AM67" i="21"/>
  <c r="AV66" i="21"/>
  <c r="AU66" i="21"/>
  <c r="AT66" i="21"/>
  <c r="AS66" i="21"/>
  <c r="AR66" i="21"/>
  <c r="AQ66" i="21"/>
  <c r="AP66" i="21"/>
  <c r="AO66" i="21"/>
  <c r="AN66" i="21"/>
  <c r="AM66" i="21"/>
  <c r="AL67" i="21"/>
  <c r="AL66" i="21"/>
  <c r="AK67" i="21"/>
  <c r="AJ67" i="21"/>
  <c r="AI67" i="21"/>
  <c r="AH67" i="21"/>
  <c r="AG67" i="21"/>
  <c r="AF67" i="21"/>
  <c r="AE67" i="21"/>
  <c r="AD67" i="21"/>
  <c r="AC67" i="21"/>
  <c r="AB67" i="21"/>
  <c r="AK66" i="21"/>
  <c r="AJ66" i="21"/>
  <c r="AI66" i="21"/>
  <c r="AH66" i="21"/>
  <c r="AG66" i="21"/>
  <c r="AF66" i="21"/>
  <c r="AE66" i="21"/>
  <c r="AD66" i="21"/>
  <c r="AC66" i="21"/>
  <c r="AB66" i="21"/>
  <c r="AA67" i="21"/>
  <c r="AA66" i="21"/>
  <c r="Z67" i="21"/>
  <c r="Y67" i="21"/>
  <c r="X67" i="21"/>
  <c r="W67" i="21"/>
  <c r="V67" i="21"/>
  <c r="U67" i="21"/>
  <c r="T67" i="21"/>
  <c r="S67" i="21"/>
  <c r="R67" i="21"/>
  <c r="Q67" i="21"/>
  <c r="Z66" i="21"/>
  <c r="Y66" i="21"/>
  <c r="X66" i="21"/>
  <c r="W66" i="21"/>
  <c r="V66" i="21"/>
  <c r="U66" i="21"/>
  <c r="T66" i="21"/>
  <c r="S66" i="21"/>
  <c r="R66" i="21"/>
  <c r="Q66" i="21"/>
  <c r="P67" i="21"/>
  <c r="P66" i="21"/>
  <c r="AV33" i="21"/>
  <c r="AU33" i="21"/>
  <c r="AT33" i="21"/>
  <c r="AS33" i="21"/>
  <c r="AR33" i="21"/>
  <c r="AQ33" i="21"/>
  <c r="AP33" i="21"/>
  <c r="AO33" i="21"/>
  <c r="AN33" i="21"/>
  <c r="AM33" i="21"/>
  <c r="AL33" i="21"/>
  <c r="AK33" i="21"/>
  <c r="AJ33" i="21"/>
  <c r="AI33" i="21"/>
  <c r="AH33" i="21"/>
  <c r="AG33" i="21"/>
  <c r="AF33" i="21"/>
  <c r="AE33" i="21"/>
  <c r="AD33" i="21"/>
  <c r="AC33" i="21"/>
  <c r="AB33" i="21"/>
  <c r="AA33" i="21"/>
  <c r="Z33" i="21"/>
  <c r="Y33" i="21"/>
  <c r="X33" i="21"/>
  <c r="W33" i="21"/>
  <c r="V33" i="21"/>
  <c r="U33" i="21"/>
  <c r="T33" i="21"/>
  <c r="S33" i="21"/>
  <c r="R33" i="21"/>
  <c r="Q33"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V32" i="21"/>
  <c r="U32" i="21"/>
  <c r="T32" i="21"/>
  <c r="S32" i="21"/>
  <c r="R32" i="21"/>
  <c r="Q32" i="21"/>
  <c r="P33" i="21"/>
  <c r="P32" i="21"/>
  <c r="G14" i="4"/>
  <c r="N30" i="17"/>
  <c r="N29" i="17"/>
  <c r="N28" i="17"/>
  <c r="N27" i="17"/>
  <c r="N26" i="17"/>
  <c r="N25" i="17"/>
  <c r="N24" i="17"/>
  <c r="N23" i="17"/>
  <c r="N22" i="17"/>
  <c r="N21" i="17"/>
  <c r="N20" i="17"/>
  <c r="N19" i="17"/>
  <c r="N18" i="17"/>
  <c r="N17" i="17"/>
  <c r="N16" i="17"/>
  <c r="N15" i="17"/>
  <c r="N14" i="17"/>
  <c r="N13" i="17"/>
  <c r="N12" i="17"/>
  <c r="N11" i="17"/>
  <c r="N10" i="17"/>
  <c r="N9" i="17"/>
  <c r="N8" i="17"/>
  <c r="N7" i="17"/>
  <c r="N6" i="17"/>
  <c r="N5" i="17"/>
  <c r="J31" i="21"/>
  <c r="I31" i="21"/>
  <c r="H31" i="21"/>
  <c r="J30" i="21"/>
  <c r="I30" i="21"/>
  <c r="H30" i="21"/>
  <c r="J29" i="21"/>
  <c r="I29" i="21"/>
  <c r="H29" i="21"/>
  <c r="J28" i="21"/>
  <c r="I28" i="21"/>
  <c r="H28" i="21"/>
  <c r="J27" i="21"/>
  <c r="I27" i="21"/>
  <c r="H27" i="21"/>
  <c r="J26" i="21"/>
  <c r="I26" i="21"/>
  <c r="H26" i="21"/>
  <c r="J25" i="21"/>
  <c r="I25" i="21"/>
  <c r="H25" i="21"/>
  <c r="J24" i="21"/>
  <c r="I24" i="21"/>
  <c r="H24" i="21"/>
  <c r="J23" i="21"/>
  <c r="I23" i="21"/>
  <c r="H23" i="21"/>
  <c r="J22" i="21"/>
  <c r="I22" i="21"/>
  <c r="H22" i="21"/>
  <c r="J21" i="21"/>
  <c r="I21" i="21"/>
  <c r="H21" i="21"/>
  <c r="K21" i="21" s="1"/>
  <c r="J20" i="21"/>
  <c r="I20" i="21"/>
  <c r="H20" i="21"/>
  <c r="J19" i="21"/>
  <c r="I19" i="21"/>
  <c r="H19" i="21"/>
  <c r="J18" i="21"/>
  <c r="I18" i="21"/>
  <c r="H18" i="21"/>
  <c r="J17" i="21"/>
  <c r="I17" i="21"/>
  <c r="H17" i="21"/>
  <c r="J16" i="21"/>
  <c r="I16" i="21"/>
  <c r="H16" i="21"/>
  <c r="J15" i="21"/>
  <c r="I15" i="21"/>
  <c r="H15" i="21"/>
  <c r="K15" i="21" s="1"/>
  <c r="J14" i="21"/>
  <c r="I14" i="21"/>
  <c r="H14" i="21"/>
  <c r="J13" i="21"/>
  <c r="I13" i="21"/>
  <c r="H13" i="21"/>
  <c r="K13" i="21" s="1"/>
  <c r="J12" i="21"/>
  <c r="I12" i="21"/>
  <c r="H12" i="21"/>
  <c r="J11" i="21"/>
  <c r="I11" i="21"/>
  <c r="H11" i="21"/>
  <c r="J10" i="21"/>
  <c r="I10" i="21"/>
  <c r="H10" i="21"/>
  <c r="J9" i="21"/>
  <c r="I9" i="21"/>
  <c r="H9" i="21"/>
  <c r="J8" i="21"/>
  <c r="I8" i="21"/>
  <c r="H8" i="21"/>
  <c r="J7" i="21"/>
  <c r="I7" i="21"/>
  <c r="H7" i="21"/>
  <c r="K7" i="21" s="1"/>
  <c r="J6" i="21"/>
  <c r="I6" i="21"/>
  <c r="H6" i="21"/>
  <c r="D7" i="21"/>
  <c r="D8" i="21"/>
  <c r="D9" i="21"/>
  <c r="D10" i="21"/>
  <c r="D11" i="21"/>
  <c r="D12" i="21"/>
  <c r="D13" i="21"/>
  <c r="D14" i="21"/>
  <c r="D15" i="21"/>
  <c r="D16" i="21"/>
  <c r="D17" i="21"/>
  <c r="D18" i="21"/>
  <c r="D19" i="21"/>
  <c r="D20" i="21"/>
  <c r="D21" i="21"/>
  <c r="D22" i="21"/>
  <c r="D23" i="21"/>
  <c r="D24" i="21"/>
  <c r="D25" i="21"/>
  <c r="D26" i="21"/>
  <c r="D27" i="21"/>
  <c r="D28" i="21"/>
  <c r="D29" i="21"/>
  <c r="D30" i="21"/>
  <c r="D31" i="21"/>
  <c r="D6" i="21"/>
  <c r="C31" i="21"/>
  <c r="C30" i="21"/>
  <c r="C29" i="21"/>
  <c r="C28" i="21"/>
  <c r="C27" i="21"/>
  <c r="C26" i="21"/>
  <c r="C25" i="21"/>
  <c r="C24" i="21"/>
  <c r="C23" i="21"/>
  <c r="C22" i="21"/>
  <c r="C21" i="21"/>
  <c r="C20" i="21"/>
  <c r="C19" i="21"/>
  <c r="C18" i="21"/>
  <c r="C17" i="21"/>
  <c r="C16" i="21"/>
  <c r="C15" i="21"/>
  <c r="C14" i="21"/>
  <c r="C13" i="21"/>
  <c r="C12" i="21"/>
  <c r="C11" i="21"/>
  <c r="C10" i="21"/>
  <c r="C9" i="21"/>
  <c r="C8" i="21"/>
  <c r="C7" i="21"/>
  <c r="C6" i="21"/>
  <c r="B31" i="21"/>
  <c r="B30" i="21"/>
  <c r="B29" i="21"/>
  <c r="B28" i="21"/>
  <c r="B27" i="21"/>
  <c r="B26" i="21"/>
  <c r="B25" i="21"/>
  <c r="B24" i="21"/>
  <c r="B23" i="21"/>
  <c r="B22" i="21"/>
  <c r="B21" i="21"/>
  <c r="B20" i="21"/>
  <c r="B19" i="21"/>
  <c r="B18" i="21"/>
  <c r="B17" i="21"/>
  <c r="B16" i="21"/>
  <c r="B15" i="21"/>
  <c r="B14" i="21"/>
  <c r="B13" i="21"/>
  <c r="B12" i="21"/>
  <c r="B11" i="21"/>
  <c r="B10" i="21"/>
  <c r="B9" i="21"/>
  <c r="B8" i="21"/>
  <c r="B7" i="21"/>
  <c r="B6" i="21"/>
  <c r="C21" i="22"/>
  <c r="C22" i="22" s="1"/>
  <c r="D37" i="19"/>
  <c r="E37" i="19"/>
  <c r="F37" i="19"/>
  <c r="G37" i="19"/>
  <c r="H37" i="19"/>
  <c r="I37" i="19"/>
  <c r="J37" i="19"/>
  <c r="K37" i="19"/>
  <c r="L37" i="19"/>
  <c r="M37" i="19"/>
  <c r="N37" i="19"/>
  <c r="O37" i="19"/>
  <c r="P37" i="19"/>
  <c r="Q37" i="19"/>
  <c r="R37" i="19"/>
  <c r="S37" i="19"/>
  <c r="T37" i="19"/>
  <c r="U37" i="19"/>
  <c r="V37" i="19"/>
  <c r="W37" i="19"/>
  <c r="X37" i="19"/>
  <c r="Y37" i="19"/>
  <c r="Z37" i="19"/>
  <c r="AA37" i="19"/>
  <c r="AB37" i="19"/>
  <c r="AC37" i="19"/>
  <c r="C37" i="19"/>
  <c r="F5" i="4"/>
  <c r="G3" i="4"/>
  <c r="C4" i="23"/>
  <c r="AE3" i="23"/>
  <c r="AF3" i="23" s="1"/>
  <c r="AG3" i="23" s="1"/>
  <c r="AH3" i="23" s="1"/>
  <c r="AI3" i="23" s="1"/>
  <c r="AJ3" i="23" s="1"/>
  <c r="AK3" i="23" s="1"/>
  <c r="AL3" i="23" s="1"/>
  <c r="AM3" i="23" s="1"/>
  <c r="AN3" i="23" s="1"/>
  <c r="AO3" i="23" s="1"/>
  <c r="AP3" i="23" s="1"/>
  <c r="S3" i="23"/>
  <c r="T3" i="23" s="1"/>
  <c r="U3" i="23" s="1"/>
  <c r="V3" i="23" s="1"/>
  <c r="W3" i="23" s="1"/>
  <c r="X3" i="23" s="1"/>
  <c r="Y3" i="23" s="1"/>
  <c r="Z3" i="23" s="1"/>
  <c r="AA3" i="23" s="1"/>
  <c r="AB3" i="23" s="1"/>
  <c r="AC3" i="23" s="1"/>
  <c r="N3" i="23"/>
  <c r="O3" i="23" s="1"/>
  <c r="P3" i="23" s="1"/>
  <c r="Q3" i="23" s="1"/>
  <c r="F17" i="21" l="1"/>
  <c r="F25" i="21"/>
  <c r="K23" i="21"/>
  <c r="K12" i="21"/>
  <c r="K20" i="21"/>
  <c r="K28" i="21"/>
  <c r="K31" i="21"/>
  <c r="AB19" i="5" s="1"/>
  <c r="K6" i="21"/>
  <c r="K9" i="21"/>
  <c r="F19" i="5" s="1"/>
  <c r="K14" i="21"/>
  <c r="K19" i="5" s="1"/>
  <c r="K17" i="21"/>
  <c r="N19" i="5" s="1"/>
  <c r="K22" i="21"/>
  <c r="S19" i="5" s="1"/>
  <c r="K25" i="21"/>
  <c r="V19" i="5" s="1"/>
  <c r="K30" i="21"/>
  <c r="AA19" i="5" s="1"/>
  <c r="K8" i="21"/>
  <c r="E19" i="5" s="1"/>
  <c r="K16" i="21"/>
  <c r="M19" i="5" s="1"/>
  <c r="K24" i="21"/>
  <c r="U19" i="5" s="1"/>
  <c r="K11" i="21"/>
  <c r="H19" i="5" s="1"/>
  <c r="K19" i="21"/>
  <c r="P19" i="5" s="1"/>
  <c r="K27" i="21"/>
  <c r="X19" i="5" s="1"/>
  <c r="K10" i="21"/>
  <c r="G19" i="5" s="1"/>
  <c r="K18" i="21"/>
  <c r="O19" i="5" s="1"/>
  <c r="K26" i="21"/>
  <c r="W19" i="5" s="1"/>
  <c r="K29" i="21"/>
  <c r="Z19" i="5" s="1"/>
  <c r="F21" i="21"/>
  <c r="R6" i="5" s="1"/>
  <c r="F22" i="21"/>
  <c r="S6" i="5" s="1"/>
  <c r="F29" i="21"/>
  <c r="Z6" i="5" s="1"/>
  <c r="F30" i="21"/>
  <c r="AA6" i="5" s="1"/>
  <c r="F13" i="21"/>
  <c r="J6" i="5" s="1"/>
  <c r="F14" i="21"/>
  <c r="K6" i="5" s="1"/>
  <c r="F7" i="21"/>
  <c r="D19" i="5" s="1"/>
  <c r="F15" i="21"/>
  <c r="L6" i="5" s="1"/>
  <c r="F23" i="21"/>
  <c r="T6" i="5" s="1"/>
  <c r="F31" i="21"/>
  <c r="AB6" i="5" s="1"/>
  <c r="F8" i="21"/>
  <c r="E6" i="5" s="1"/>
  <c r="F16" i="21"/>
  <c r="M6" i="5" s="1"/>
  <c r="F24" i="21"/>
  <c r="U6" i="5" s="1"/>
  <c r="F6" i="21"/>
  <c r="C19" i="5" s="1"/>
  <c r="F9" i="21"/>
  <c r="F6" i="5" s="1"/>
  <c r="F10" i="21"/>
  <c r="G6" i="5" s="1"/>
  <c r="F18" i="21"/>
  <c r="O6" i="5" s="1"/>
  <c r="F26" i="21"/>
  <c r="W6" i="5" s="1"/>
  <c r="F11" i="21"/>
  <c r="H6" i="5" s="1"/>
  <c r="F19" i="21"/>
  <c r="P6" i="5" s="1"/>
  <c r="F27" i="21"/>
  <c r="X6" i="5" s="1"/>
  <c r="V6" i="5"/>
  <c r="L19" i="5"/>
  <c r="T19" i="5"/>
  <c r="I19" i="5"/>
  <c r="Y19" i="5"/>
  <c r="J19" i="5"/>
  <c r="Q19" i="5"/>
  <c r="R19" i="5"/>
  <c r="N6" i="5"/>
  <c r="I6" i="5"/>
  <c r="Q6" i="5"/>
  <c r="Y6" i="5"/>
  <c r="C14" i="23"/>
  <c r="C16" i="23"/>
  <c r="C15" i="23"/>
  <c r="C17" i="23"/>
  <c r="D6" i="5" l="1"/>
  <c r="C6" i="5"/>
  <c r="C14" i="24"/>
  <c r="D14" i="24"/>
  <c r="C18" i="23"/>
  <c r="C4" i="24" l="1"/>
  <c r="D4" i="24"/>
  <c r="AD4" i="23"/>
  <c r="AC4" i="23"/>
  <c r="R4" i="23"/>
  <c r="N4" i="23"/>
  <c r="M4" i="23"/>
  <c r="B13" i="18"/>
  <c r="B26" i="18" s="1"/>
  <c r="C13" i="18"/>
  <c r="C26" i="18" s="1"/>
  <c r="D13" i="18"/>
  <c r="B14" i="18"/>
  <c r="B27" i="18" s="1"/>
  <c r="C14" i="18"/>
  <c r="C27" i="18" s="1"/>
  <c r="D14" i="18"/>
  <c r="M10" i="23" l="1"/>
  <c r="M14" i="23"/>
  <c r="M16" i="23"/>
  <c r="M8" i="23"/>
  <c r="M7" i="23"/>
  <c r="M9" i="23"/>
  <c r="M15" i="23"/>
  <c r="M17" i="23"/>
  <c r="N14" i="23"/>
  <c r="N16" i="23"/>
  <c r="N15" i="23"/>
  <c r="N17" i="23"/>
  <c r="N8" i="23"/>
  <c r="N10" i="23"/>
  <c r="N7" i="23"/>
  <c r="N9" i="23"/>
  <c r="R15" i="23"/>
  <c r="R17" i="23"/>
  <c r="R14" i="23"/>
  <c r="R16" i="23"/>
  <c r="R9" i="23"/>
  <c r="R7" i="23"/>
  <c r="R8" i="23"/>
  <c r="R10" i="23"/>
  <c r="AC10" i="23"/>
  <c r="AC14" i="23"/>
  <c r="AC16" i="23"/>
  <c r="AC8" i="23"/>
  <c r="AC15" i="23"/>
  <c r="AC17" i="23"/>
  <c r="AC7" i="23"/>
  <c r="AC9" i="23"/>
  <c r="AD14" i="23"/>
  <c r="AD16" i="23"/>
  <c r="AD15" i="23"/>
  <c r="AD17" i="23"/>
  <c r="AD8" i="23"/>
  <c r="AD10" i="23"/>
  <c r="AD7" i="23"/>
  <c r="AD9" i="23"/>
  <c r="V4" i="23"/>
  <c r="U4" i="23"/>
  <c r="AB4" i="23"/>
  <c r="T4" i="23"/>
  <c r="AA4" i="23"/>
  <c r="S4" i="23"/>
  <c r="Z4" i="23"/>
  <c r="Y4" i="23"/>
  <c r="X4" i="23"/>
  <c r="AE4" i="23"/>
  <c r="W4" i="23"/>
  <c r="D27" i="18"/>
  <c r="D26" i="18"/>
  <c r="Z15" i="23" l="1"/>
  <c r="Z17" i="23"/>
  <c r="Z14" i="23"/>
  <c r="Z16" i="23"/>
  <c r="Z7" i="23"/>
  <c r="Z9" i="23"/>
  <c r="Z10" i="23"/>
  <c r="Z8" i="23"/>
  <c r="AD11" i="23"/>
  <c r="R11" i="23"/>
  <c r="O7" i="5" s="1"/>
  <c r="AA7" i="23"/>
  <c r="AA9" i="23"/>
  <c r="AA8" i="23"/>
  <c r="AA10" i="23"/>
  <c r="AA14" i="23"/>
  <c r="AA16" i="23"/>
  <c r="AA17" i="23"/>
  <c r="AA15" i="23"/>
  <c r="W8" i="23"/>
  <c r="W10" i="23"/>
  <c r="W7" i="23"/>
  <c r="W9" i="23"/>
  <c r="W15" i="23"/>
  <c r="W17" i="23"/>
  <c r="W16" i="23"/>
  <c r="W14" i="23"/>
  <c r="AB16" i="23"/>
  <c r="AB7" i="23"/>
  <c r="AB8" i="23"/>
  <c r="AB10" i="23"/>
  <c r="AB14" i="23"/>
  <c r="AB17" i="23"/>
  <c r="AB9" i="23"/>
  <c r="AB15" i="23"/>
  <c r="M11" i="23"/>
  <c r="J7" i="5" s="1"/>
  <c r="AE8" i="23"/>
  <c r="AE10" i="23"/>
  <c r="AE7" i="23"/>
  <c r="AE9" i="23"/>
  <c r="AE15" i="23"/>
  <c r="AE17" i="23"/>
  <c r="AE14" i="23"/>
  <c r="AE16" i="23"/>
  <c r="U14" i="23"/>
  <c r="U16" i="23"/>
  <c r="U8" i="23"/>
  <c r="U10" i="23"/>
  <c r="U9" i="23"/>
  <c r="U7" i="23"/>
  <c r="U17" i="23"/>
  <c r="U15" i="23"/>
  <c r="AD18" i="23"/>
  <c r="AA20" i="5" s="1"/>
  <c r="R18" i="23"/>
  <c r="O20" i="5" s="1"/>
  <c r="N18" i="23"/>
  <c r="K20" i="5" s="1"/>
  <c r="X7" i="23"/>
  <c r="X9" i="23"/>
  <c r="X15" i="23"/>
  <c r="X17" i="23"/>
  <c r="X16" i="23"/>
  <c r="X8" i="23"/>
  <c r="X10" i="23"/>
  <c r="X14" i="23"/>
  <c r="V14" i="23"/>
  <c r="V16" i="23"/>
  <c r="V15" i="23"/>
  <c r="V17" i="23"/>
  <c r="V8" i="23"/>
  <c r="V10" i="23"/>
  <c r="V9" i="23"/>
  <c r="V7" i="23"/>
  <c r="AC18" i="23"/>
  <c r="Z20" i="5" s="1"/>
  <c r="M18" i="23"/>
  <c r="J20" i="5" s="1"/>
  <c r="S7" i="23"/>
  <c r="S9" i="23"/>
  <c r="S8" i="23"/>
  <c r="S10" i="23"/>
  <c r="S14" i="23"/>
  <c r="S16" i="23"/>
  <c r="S17" i="23"/>
  <c r="S15" i="23"/>
  <c r="N11" i="23"/>
  <c r="K7" i="5" s="1"/>
  <c r="T7" i="23"/>
  <c r="T9" i="23"/>
  <c r="T14" i="23"/>
  <c r="T8" i="23"/>
  <c r="T10" i="23"/>
  <c r="T16" i="23"/>
  <c r="T15" i="23"/>
  <c r="T17" i="23"/>
  <c r="AC11" i="23"/>
  <c r="Z7" i="5" s="1"/>
  <c r="Y9" i="23"/>
  <c r="Y15" i="23"/>
  <c r="Y17" i="23"/>
  <c r="Y7" i="23"/>
  <c r="Y10" i="23"/>
  <c r="Y14" i="23"/>
  <c r="Y16" i="23"/>
  <c r="Y8" i="23"/>
  <c r="AA7" i="5"/>
  <c r="O4" i="23"/>
  <c r="D39" i="18"/>
  <c r="D51" i="18"/>
  <c r="D52" i="18"/>
  <c r="D40" i="18"/>
  <c r="V11" i="23" l="1"/>
  <c r="S7" i="5" s="1"/>
  <c r="S18" i="23"/>
  <c r="P20" i="5" s="1"/>
  <c r="Z11" i="23"/>
  <c r="W7" i="5" s="1"/>
  <c r="AB18" i="23"/>
  <c r="Y20" i="5" s="1"/>
  <c r="AB11" i="23"/>
  <c r="Y7" i="5" s="1"/>
  <c r="T18" i="23"/>
  <c r="Q20" i="5" s="1"/>
  <c r="AE11" i="23"/>
  <c r="AB7" i="5" s="1"/>
  <c r="AA11" i="23"/>
  <c r="X7" i="5" s="1"/>
  <c r="AA18" i="23"/>
  <c r="X20" i="5" s="1"/>
  <c r="X11" i="23"/>
  <c r="U7" i="5" s="1"/>
  <c r="Y11" i="23"/>
  <c r="V7" i="5" s="1"/>
  <c r="U11" i="23"/>
  <c r="R7" i="5" s="1"/>
  <c r="T11" i="23"/>
  <c r="Q7" i="5" s="1"/>
  <c r="O8" i="23"/>
  <c r="O10" i="23"/>
  <c r="O7" i="23"/>
  <c r="O9" i="23"/>
  <c r="O15" i="23"/>
  <c r="O17" i="23"/>
  <c r="O16" i="23"/>
  <c r="O14" i="23"/>
  <c r="Y18" i="23"/>
  <c r="V20" i="5" s="1"/>
  <c r="U18" i="23"/>
  <c r="R20" i="5" s="1"/>
  <c r="W11" i="23"/>
  <c r="T7" i="5" s="1"/>
  <c r="Z18" i="23"/>
  <c r="W20" i="5" s="1"/>
  <c r="AE18" i="23"/>
  <c r="AB20" i="5" s="1"/>
  <c r="W18" i="23"/>
  <c r="T20" i="5" s="1"/>
  <c r="S11" i="23"/>
  <c r="P7" i="5" s="1"/>
  <c r="V18" i="23"/>
  <c r="S20" i="5" s="1"/>
  <c r="X18" i="23"/>
  <c r="U20" i="5" s="1"/>
  <c r="Q4" i="23"/>
  <c r="P4" i="23"/>
  <c r="D64" i="18"/>
  <c r="D63" i="18"/>
  <c r="P8" i="23" l="1"/>
  <c r="P15" i="23"/>
  <c r="P17" i="23"/>
  <c r="P7" i="23"/>
  <c r="P9" i="23"/>
  <c r="P16" i="23"/>
  <c r="P10" i="23"/>
  <c r="P14" i="23"/>
  <c r="O11" i="23"/>
  <c r="L7" i="5" s="1"/>
  <c r="Q7" i="23"/>
  <c r="Q15" i="23"/>
  <c r="Q17" i="23"/>
  <c r="Q9" i="23"/>
  <c r="Q10" i="23"/>
  <c r="Q14" i="23"/>
  <c r="Q16" i="23"/>
  <c r="Q8" i="23"/>
  <c r="O18" i="23"/>
  <c r="L20" i="5" s="1"/>
  <c r="C39" i="3"/>
  <c r="C122" i="3" s="1"/>
  <c r="C129" i="3" s="1"/>
  <c r="C130" i="3" s="1"/>
  <c r="C111" i="3"/>
  <c r="C114" i="3"/>
  <c r="C113" i="3" s="1"/>
  <c r="C119" i="3"/>
  <c r="D34" i="19" l="1"/>
  <c r="L34" i="19"/>
  <c r="T34" i="19"/>
  <c r="AB34" i="19"/>
  <c r="E34" i="19"/>
  <c r="M34" i="19"/>
  <c r="U34" i="19"/>
  <c r="AC34" i="19"/>
  <c r="F34" i="19"/>
  <c r="N34" i="19"/>
  <c r="V34" i="19"/>
  <c r="G34" i="19"/>
  <c r="O34" i="19"/>
  <c r="W34" i="19"/>
  <c r="H34" i="19"/>
  <c r="P34" i="19"/>
  <c r="X34" i="19"/>
  <c r="Y34" i="19"/>
  <c r="J34" i="19"/>
  <c r="Z34" i="19"/>
  <c r="S34" i="19"/>
  <c r="AA34" i="19"/>
  <c r="I34" i="19"/>
  <c r="Q34" i="19"/>
  <c r="R34" i="19"/>
  <c r="K34" i="19"/>
  <c r="P11" i="23"/>
  <c r="M7" i="5" s="1"/>
  <c r="Q18" i="23"/>
  <c r="N20" i="5" s="1"/>
  <c r="Q11" i="23"/>
  <c r="N7" i="5" s="1"/>
  <c r="P18" i="23"/>
  <c r="M20" i="5" s="1"/>
  <c r="C34" i="19"/>
  <c r="C115" i="3"/>
  <c r="C116" i="3" s="1"/>
  <c r="C117" i="3" l="1"/>
  <c r="C118" i="3" s="1"/>
  <c r="C120" i="3" s="1"/>
  <c r="D9" i="22" l="1"/>
  <c r="D10" i="22" s="1"/>
  <c r="C5" i="22"/>
  <c r="E15" i="5"/>
  <c r="F15" i="5"/>
  <c r="G15" i="5"/>
  <c r="H15" i="5"/>
  <c r="I15" i="5"/>
  <c r="J15" i="5"/>
  <c r="K15" i="5"/>
  <c r="L15" i="5"/>
  <c r="M15" i="5"/>
  <c r="N15" i="5"/>
  <c r="O15" i="5"/>
  <c r="P15" i="5"/>
  <c r="Q15" i="5"/>
  <c r="R15" i="5"/>
  <c r="S15" i="5"/>
  <c r="T15" i="5"/>
  <c r="U15" i="5"/>
  <c r="V15" i="5"/>
  <c r="W15" i="5"/>
  <c r="X15" i="5"/>
  <c r="Y15" i="5"/>
  <c r="Z15" i="5"/>
  <c r="AA15" i="5"/>
  <c r="AB15" i="5"/>
  <c r="D10" i="24" l="1"/>
  <c r="C10" i="24"/>
  <c r="C9" i="22"/>
  <c r="C10" i="22" s="1"/>
  <c r="C13" i="22" s="1"/>
  <c r="G11" i="4"/>
  <c r="F11" i="4" s="1"/>
  <c r="J11" i="4" s="1"/>
  <c r="K11" i="4" s="1"/>
  <c r="G10" i="4"/>
  <c r="H10" i="4" s="1"/>
  <c r="F10" i="4"/>
  <c r="J10" i="4" s="1"/>
  <c r="G9" i="4"/>
  <c r="H9" i="4" s="1"/>
  <c r="E9" i="4"/>
  <c r="I7" i="4"/>
  <c r="G7" i="4"/>
  <c r="H7" i="4" s="1"/>
  <c r="E7" i="4"/>
  <c r="G8" i="4"/>
  <c r="H8" i="4" s="1"/>
  <c r="F9" i="4" l="1"/>
  <c r="J9" i="4" s="1"/>
  <c r="K9" i="4" s="1"/>
  <c r="F7" i="4"/>
  <c r="J7" i="4"/>
  <c r="K7" i="4" s="1"/>
  <c r="K10" i="4"/>
  <c r="C14" i="22"/>
  <c r="C15" i="22" s="1"/>
  <c r="C16" i="22" s="1"/>
  <c r="C18" i="22"/>
  <c r="C19" i="22" s="1"/>
  <c r="H11" i="4"/>
  <c r="F8" i="4"/>
  <c r="J8" i="4" s="1"/>
  <c r="K8" i="4" s="1"/>
  <c r="C24" i="22" l="1"/>
  <c r="B5" i="18"/>
  <c r="B18" i="18" s="1"/>
  <c r="C5" i="18"/>
  <c r="C18" i="18" s="1"/>
  <c r="B6" i="18"/>
  <c r="B19" i="18" s="1"/>
  <c r="C6" i="18"/>
  <c r="C19" i="18" s="1"/>
  <c r="B7" i="18"/>
  <c r="B20" i="18" s="1"/>
  <c r="C7" i="18"/>
  <c r="C20" i="18" s="1"/>
  <c r="B8" i="18"/>
  <c r="B21" i="18" s="1"/>
  <c r="C8" i="18"/>
  <c r="C21" i="18" s="1"/>
  <c r="B9" i="18"/>
  <c r="B22" i="18" s="1"/>
  <c r="C9" i="18"/>
  <c r="C22" i="18" s="1"/>
  <c r="B10" i="18"/>
  <c r="B23" i="18" s="1"/>
  <c r="C10" i="18"/>
  <c r="C23" i="18" s="1"/>
  <c r="B11" i="18"/>
  <c r="B24" i="18" s="1"/>
  <c r="C11" i="18"/>
  <c r="C24" i="18" s="1"/>
  <c r="B12" i="18"/>
  <c r="B25" i="18" s="1"/>
  <c r="C12" i="18"/>
  <c r="C25" i="18" s="1"/>
  <c r="C4" i="18"/>
  <c r="C17" i="18" s="1"/>
  <c r="B4" i="18"/>
  <c r="B17" i="18" s="1"/>
  <c r="D7" i="18"/>
  <c r="D8" i="18"/>
  <c r="D9" i="18"/>
  <c r="D10" i="18"/>
  <c r="D11" i="18"/>
  <c r="D12" i="18"/>
  <c r="D2" i="5"/>
  <c r="D13" i="5" l="1"/>
  <c r="C13" i="5"/>
  <c r="E2" i="5"/>
  <c r="D21" i="18"/>
  <c r="D46" i="18" s="1"/>
  <c r="D20" i="18"/>
  <c r="D23" i="18"/>
  <c r="D48" i="18" s="1"/>
  <c r="D22" i="18"/>
  <c r="D35" i="18" s="1"/>
  <c r="D25" i="18"/>
  <c r="D38" i="18" s="1"/>
  <c r="D24" i="18"/>
  <c r="D49" i="18" s="1"/>
  <c r="F2" i="5"/>
  <c r="C8" i="24" l="1"/>
  <c r="D8" i="24"/>
  <c r="D34" i="18"/>
  <c r="D33" i="18"/>
  <c r="D36" i="18"/>
  <c r="D37" i="18"/>
  <c r="D50" i="18"/>
  <c r="D47" i="18"/>
  <c r="G2" i="5"/>
  <c r="D4" i="18"/>
  <c r="H3" i="4"/>
  <c r="D17" i="18" l="1"/>
  <c r="D30" i="18" s="1"/>
  <c r="H2" i="5"/>
  <c r="D58" i="18"/>
  <c r="D55" i="18" l="1"/>
  <c r="D43" i="18"/>
  <c r="I2" i="5"/>
  <c r="C40" i="3"/>
  <c r="C41" i="3"/>
  <c r="C42" i="3"/>
  <c r="C123" i="3" l="1"/>
  <c r="C128" i="3" s="1"/>
  <c r="C125" i="3"/>
  <c r="C127" i="3" s="1"/>
  <c r="C124" i="3"/>
  <c r="J2" i="5"/>
  <c r="D61" i="18"/>
  <c r="D60" i="18"/>
  <c r="D62" i="18"/>
  <c r="D59" i="18"/>
  <c r="K2" i="5" l="1"/>
  <c r="L2" i="5" l="1"/>
  <c r="M2" i="5" l="1"/>
  <c r="N2" i="5" l="1"/>
  <c r="O2" i="5" l="1"/>
  <c r="P2" i="5" l="1"/>
  <c r="Q2" i="5" l="1"/>
  <c r="R2" i="5" l="1"/>
  <c r="S2" i="5" l="1"/>
  <c r="T2" i="5" l="1"/>
  <c r="U2" i="5" l="1"/>
  <c r="V2" i="5" l="1"/>
  <c r="W2" i="5" l="1"/>
  <c r="X2" i="5" l="1"/>
  <c r="Y2" i="5" l="1"/>
  <c r="Z2" i="5" l="1"/>
  <c r="AA2" i="5" l="1"/>
  <c r="AB2" i="5" l="1"/>
  <c r="J5" i="4" l="1"/>
  <c r="K5" i="4" s="1"/>
  <c r="G5" i="4"/>
  <c r="D6" i="18" s="1"/>
  <c r="D19" i="18" s="1"/>
  <c r="J4" i="4"/>
  <c r="K4" i="4" s="1"/>
  <c r="G4" i="4"/>
  <c r="J3" i="4"/>
  <c r="K3" i="4" s="1"/>
  <c r="C4" i="17" l="1"/>
  <c r="D5" i="18"/>
  <c r="D32" i="18"/>
  <c r="D57" i="18" s="1"/>
  <c r="D45" i="18"/>
  <c r="H5" i="4"/>
  <c r="H4" i="4"/>
  <c r="D18" i="18" l="1"/>
  <c r="C3" i="19"/>
  <c r="N4" i="17"/>
  <c r="O12" i="17"/>
  <c r="O20" i="17"/>
  <c r="O28" i="17"/>
  <c r="O29" i="17"/>
  <c r="O26" i="17"/>
  <c r="O19" i="17"/>
  <c r="O13" i="17"/>
  <c r="O21" i="17"/>
  <c r="O6" i="17"/>
  <c r="O14" i="17"/>
  <c r="O22" i="17"/>
  <c r="O30" i="17"/>
  <c r="O15" i="17"/>
  <c r="O23" i="17"/>
  <c r="O5" i="17"/>
  <c r="O24" i="17"/>
  <c r="O17" i="17"/>
  <c r="O25" i="17"/>
  <c r="O18" i="17"/>
  <c r="O27" i="17"/>
  <c r="O7" i="17"/>
  <c r="O8" i="17"/>
  <c r="O16" i="17"/>
  <c r="O9" i="17"/>
  <c r="O10" i="17"/>
  <c r="O11" i="17"/>
  <c r="G14" i="18" l="1"/>
  <c r="G27" i="18" s="1"/>
  <c r="G13" i="18"/>
  <c r="G26" i="18" s="1"/>
  <c r="G12" i="18"/>
  <c r="G25" i="18" s="1"/>
  <c r="G11" i="18"/>
  <c r="G24" i="18" s="1"/>
  <c r="G9" i="18"/>
  <c r="G22" i="18" s="1"/>
  <c r="G10" i="18"/>
  <c r="G23" i="18" s="1"/>
  <c r="G7" i="18"/>
  <c r="G20" i="18" s="1"/>
  <c r="G5" i="18"/>
  <c r="G18" i="18" s="1"/>
  <c r="G44" i="18" s="1"/>
  <c r="G6" i="18"/>
  <c r="G19" i="18" s="1"/>
  <c r="G45" i="18" s="1"/>
  <c r="G8" i="18"/>
  <c r="G21" i="18" s="1"/>
  <c r="G4" i="18"/>
  <c r="Z13" i="18"/>
  <c r="Z26" i="18" s="1"/>
  <c r="Z14" i="18"/>
  <c r="Z27" i="18" s="1"/>
  <c r="Z9" i="18"/>
  <c r="Z22" i="18" s="1"/>
  <c r="Z12" i="18"/>
  <c r="Z25" i="18" s="1"/>
  <c r="Z7" i="18"/>
  <c r="Z20" i="18" s="1"/>
  <c r="Z10" i="18"/>
  <c r="Z23" i="18" s="1"/>
  <c r="Z5" i="18"/>
  <c r="Z18" i="18" s="1"/>
  <c r="Z44" i="18" s="1"/>
  <c r="Z11" i="18"/>
  <c r="Z24" i="18" s="1"/>
  <c r="Z6" i="18"/>
  <c r="Z19" i="18" s="1"/>
  <c r="Z32" i="18" s="1"/>
  <c r="Z8" i="18"/>
  <c r="Z21" i="18" s="1"/>
  <c r="Z4" i="18"/>
  <c r="AA14" i="18"/>
  <c r="AA27" i="18" s="1"/>
  <c r="AA13" i="18"/>
  <c r="AA26" i="18" s="1"/>
  <c r="AA12" i="18"/>
  <c r="AA25" i="18" s="1"/>
  <c r="AA8" i="18"/>
  <c r="AA21" i="18" s="1"/>
  <c r="AA10" i="18"/>
  <c r="AA23" i="18" s="1"/>
  <c r="AA9" i="18"/>
  <c r="AA22" i="18" s="1"/>
  <c r="AA5" i="18"/>
  <c r="AA18" i="18" s="1"/>
  <c r="AA44" i="18" s="1"/>
  <c r="AA11" i="18"/>
  <c r="AA24" i="18" s="1"/>
  <c r="AA7" i="18"/>
  <c r="AA20" i="18" s="1"/>
  <c r="AA6" i="18"/>
  <c r="AA19" i="18" s="1"/>
  <c r="AA4" i="18"/>
  <c r="AD14" i="18"/>
  <c r="AD27" i="18" s="1"/>
  <c r="AD13" i="18"/>
  <c r="AD26" i="18" s="1"/>
  <c r="AD8" i="18"/>
  <c r="AD21" i="18" s="1"/>
  <c r="AD10" i="18"/>
  <c r="AD23" i="18" s="1"/>
  <c r="AD5" i="18"/>
  <c r="AD18" i="18" s="1"/>
  <c r="AD31" i="18" s="1"/>
  <c r="AD12" i="18"/>
  <c r="AD25" i="18" s="1"/>
  <c r="AD11" i="18"/>
  <c r="AD24" i="18" s="1"/>
  <c r="AD9" i="18"/>
  <c r="AD22" i="18" s="1"/>
  <c r="AD6" i="18"/>
  <c r="AD19" i="18" s="1"/>
  <c r="AD45" i="18" s="1"/>
  <c r="AD7" i="18"/>
  <c r="AD20" i="18" s="1"/>
  <c r="AD4" i="18"/>
  <c r="V14" i="18"/>
  <c r="V27" i="18" s="1"/>
  <c r="V13" i="18"/>
  <c r="V26" i="18" s="1"/>
  <c r="V6" i="18"/>
  <c r="V19" i="18" s="1"/>
  <c r="V32" i="18" s="1"/>
  <c r="V11" i="18"/>
  <c r="V24" i="18" s="1"/>
  <c r="V9" i="18"/>
  <c r="V22" i="18" s="1"/>
  <c r="V5" i="18"/>
  <c r="V18" i="18" s="1"/>
  <c r="V44" i="18" s="1"/>
  <c r="V12" i="18"/>
  <c r="V25" i="18" s="1"/>
  <c r="V7" i="18"/>
  <c r="V20" i="18" s="1"/>
  <c r="V10" i="18"/>
  <c r="V23" i="18" s="1"/>
  <c r="V8" i="18"/>
  <c r="V21" i="18" s="1"/>
  <c r="V4" i="18"/>
  <c r="Y14" i="18"/>
  <c r="Y27" i="18" s="1"/>
  <c r="Y13" i="18"/>
  <c r="Y26" i="18" s="1"/>
  <c r="Y12" i="18"/>
  <c r="Y25" i="18" s="1"/>
  <c r="Y7" i="18"/>
  <c r="Y20" i="18" s="1"/>
  <c r="Y10" i="18"/>
  <c r="Y23" i="18" s="1"/>
  <c r="Y6" i="18"/>
  <c r="Y19" i="18" s="1"/>
  <c r="Y45" i="18" s="1"/>
  <c r="Y8" i="18"/>
  <c r="Y21" i="18" s="1"/>
  <c r="Y9" i="18"/>
  <c r="Y22" i="18" s="1"/>
  <c r="Y5" i="18"/>
  <c r="Y18" i="18" s="1"/>
  <c r="Y44" i="18" s="1"/>
  <c r="Y11" i="18"/>
  <c r="Y24" i="18" s="1"/>
  <c r="Y4" i="18"/>
  <c r="N13" i="18"/>
  <c r="N26" i="18" s="1"/>
  <c r="N14" i="18"/>
  <c r="N27" i="18" s="1"/>
  <c r="N7" i="18"/>
  <c r="N20" i="18" s="1"/>
  <c r="N11" i="18"/>
  <c r="N24" i="18" s="1"/>
  <c r="N6" i="18"/>
  <c r="N19" i="18" s="1"/>
  <c r="N32" i="18" s="1"/>
  <c r="N12" i="18"/>
  <c r="N25" i="18" s="1"/>
  <c r="N9" i="18"/>
  <c r="N22" i="18" s="1"/>
  <c r="N8" i="18"/>
  <c r="N21" i="18" s="1"/>
  <c r="N10" i="18"/>
  <c r="N23" i="18" s="1"/>
  <c r="N5" i="18"/>
  <c r="N18" i="18" s="1"/>
  <c r="N31" i="18" s="1"/>
  <c r="N4" i="18"/>
  <c r="Q14" i="18"/>
  <c r="Q27" i="18" s="1"/>
  <c r="Q13" i="18"/>
  <c r="Q26" i="18" s="1"/>
  <c r="Q5" i="18"/>
  <c r="Q18" i="18" s="1"/>
  <c r="Q31" i="18" s="1"/>
  <c r="Q7" i="18"/>
  <c r="Q20" i="18" s="1"/>
  <c r="Q9" i="18"/>
  <c r="Q22" i="18" s="1"/>
  <c r="Q6" i="18"/>
  <c r="Q19" i="18" s="1"/>
  <c r="Q45" i="18" s="1"/>
  <c r="Q12" i="18"/>
  <c r="Q25" i="18" s="1"/>
  <c r="Q8" i="18"/>
  <c r="Q21" i="18" s="1"/>
  <c r="Q11" i="18"/>
  <c r="Q24" i="18" s="1"/>
  <c r="Q10" i="18"/>
  <c r="Q23" i="18" s="1"/>
  <c r="Q4" i="18"/>
  <c r="U13" i="18"/>
  <c r="U26" i="18" s="1"/>
  <c r="U14" i="18"/>
  <c r="U27" i="18" s="1"/>
  <c r="U12" i="18"/>
  <c r="U25" i="18" s="1"/>
  <c r="U8" i="18"/>
  <c r="U21" i="18" s="1"/>
  <c r="U11" i="18"/>
  <c r="U24" i="18" s="1"/>
  <c r="U7" i="18"/>
  <c r="U20" i="18" s="1"/>
  <c r="U9" i="18"/>
  <c r="U22" i="18" s="1"/>
  <c r="U10" i="18"/>
  <c r="U23" i="18" s="1"/>
  <c r="U6" i="18"/>
  <c r="U19" i="18" s="1"/>
  <c r="U45" i="18" s="1"/>
  <c r="U5" i="18"/>
  <c r="U18" i="18" s="1"/>
  <c r="U44" i="18" s="1"/>
  <c r="U4" i="18"/>
  <c r="P14" i="18"/>
  <c r="P27" i="18" s="1"/>
  <c r="P13" i="18"/>
  <c r="P26" i="18" s="1"/>
  <c r="P7" i="18"/>
  <c r="P20" i="18" s="1"/>
  <c r="P11" i="18"/>
  <c r="P24" i="18" s="1"/>
  <c r="P6" i="18"/>
  <c r="P19" i="18" s="1"/>
  <c r="P45" i="18" s="1"/>
  <c r="P8" i="18"/>
  <c r="P21" i="18" s="1"/>
  <c r="P12" i="18"/>
  <c r="P25" i="18" s="1"/>
  <c r="P10" i="18"/>
  <c r="P23" i="18" s="1"/>
  <c r="P5" i="18"/>
  <c r="P18" i="18" s="1"/>
  <c r="P44" i="18" s="1"/>
  <c r="P9" i="18"/>
  <c r="P22" i="18" s="1"/>
  <c r="P4" i="18"/>
  <c r="M14" i="18"/>
  <c r="M27" i="18" s="1"/>
  <c r="M13" i="18"/>
  <c r="M26" i="18" s="1"/>
  <c r="M6" i="18"/>
  <c r="M19" i="18" s="1"/>
  <c r="M32" i="18" s="1"/>
  <c r="M8" i="18"/>
  <c r="M21" i="18" s="1"/>
  <c r="M11" i="18"/>
  <c r="M24" i="18" s="1"/>
  <c r="M10" i="18"/>
  <c r="M23" i="18" s="1"/>
  <c r="M7" i="18"/>
  <c r="M20" i="18" s="1"/>
  <c r="M9" i="18"/>
  <c r="M22" i="18" s="1"/>
  <c r="M5" i="18"/>
  <c r="M18" i="18" s="1"/>
  <c r="M44" i="18" s="1"/>
  <c r="M12" i="18"/>
  <c r="M25" i="18" s="1"/>
  <c r="M4" i="18"/>
  <c r="O14" i="18"/>
  <c r="O27" i="18" s="1"/>
  <c r="O13" i="18"/>
  <c r="O26" i="18" s="1"/>
  <c r="O12" i="18"/>
  <c r="O25" i="18" s="1"/>
  <c r="O11" i="18"/>
  <c r="O24" i="18" s="1"/>
  <c r="O8" i="18"/>
  <c r="O21" i="18" s="1"/>
  <c r="O5" i="18"/>
  <c r="O18" i="18" s="1"/>
  <c r="O44" i="18" s="1"/>
  <c r="O10" i="18"/>
  <c r="O23" i="18" s="1"/>
  <c r="O6" i="18"/>
  <c r="O19" i="18" s="1"/>
  <c r="O45" i="18" s="1"/>
  <c r="O7" i="18"/>
  <c r="O20" i="18" s="1"/>
  <c r="O9" i="18"/>
  <c r="O22" i="18" s="1"/>
  <c r="O4" i="18"/>
  <c r="AC14" i="18"/>
  <c r="AC27" i="18" s="1"/>
  <c r="AC13" i="18"/>
  <c r="AC26" i="18" s="1"/>
  <c r="AC10" i="18"/>
  <c r="AC23" i="18" s="1"/>
  <c r="AC12" i="18"/>
  <c r="AC25" i="18" s="1"/>
  <c r="AC7" i="18"/>
  <c r="AC20" i="18" s="1"/>
  <c r="AC9" i="18"/>
  <c r="AC22" i="18" s="1"/>
  <c r="AC6" i="18"/>
  <c r="AC19" i="18" s="1"/>
  <c r="AC45" i="18" s="1"/>
  <c r="AC11" i="18"/>
  <c r="AC24" i="18" s="1"/>
  <c r="AC5" i="18"/>
  <c r="AC18" i="18" s="1"/>
  <c r="AC31" i="18" s="1"/>
  <c r="AC8" i="18"/>
  <c r="AC21" i="18" s="1"/>
  <c r="AC4" i="18"/>
  <c r="R13" i="18"/>
  <c r="R26" i="18" s="1"/>
  <c r="R14" i="18"/>
  <c r="R27" i="18" s="1"/>
  <c r="R7" i="18"/>
  <c r="R20" i="18" s="1"/>
  <c r="R10" i="18"/>
  <c r="R23" i="18" s="1"/>
  <c r="R6" i="18"/>
  <c r="R19" i="18" s="1"/>
  <c r="R45" i="18" s="1"/>
  <c r="R9" i="18"/>
  <c r="R22" i="18" s="1"/>
  <c r="R12" i="18"/>
  <c r="R25" i="18" s="1"/>
  <c r="R11" i="18"/>
  <c r="R24" i="18" s="1"/>
  <c r="R8" i="18"/>
  <c r="R21" i="18" s="1"/>
  <c r="R5" i="18"/>
  <c r="R18" i="18" s="1"/>
  <c r="R31" i="18" s="1"/>
  <c r="R4" i="18"/>
  <c r="AB14" i="18"/>
  <c r="AB27" i="18" s="1"/>
  <c r="AB13" i="18"/>
  <c r="AB26" i="18" s="1"/>
  <c r="AB9" i="18"/>
  <c r="AB22" i="18" s="1"/>
  <c r="AB5" i="18"/>
  <c r="AB18" i="18" s="1"/>
  <c r="AB44" i="18" s="1"/>
  <c r="AB12" i="18"/>
  <c r="AB25" i="18" s="1"/>
  <c r="AB8" i="18"/>
  <c r="AB21" i="18" s="1"/>
  <c r="AB11" i="18"/>
  <c r="AB24" i="18" s="1"/>
  <c r="AB10" i="18"/>
  <c r="AB23" i="18" s="1"/>
  <c r="AB7" i="18"/>
  <c r="AB20" i="18" s="1"/>
  <c r="AB6" i="18"/>
  <c r="AB19" i="18" s="1"/>
  <c r="AB32" i="18" s="1"/>
  <c r="AB4" i="18"/>
  <c r="K13" i="18"/>
  <c r="K26" i="18" s="1"/>
  <c r="K14" i="18"/>
  <c r="K27" i="18" s="1"/>
  <c r="K6" i="18"/>
  <c r="K19" i="18" s="1"/>
  <c r="K32" i="18" s="1"/>
  <c r="K8" i="18"/>
  <c r="K21" i="18" s="1"/>
  <c r="K11" i="18"/>
  <c r="K24" i="18" s="1"/>
  <c r="K7" i="18"/>
  <c r="K20" i="18" s="1"/>
  <c r="K5" i="18"/>
  <c r="K18" i="18" s="1"/>
  <c r="K31" i="18" s="1"/>
  <c r="K9" i="18"/>
  <c r="K22" i="18" s="1"/>
  <c r="K12" i="18"/>
  <c r="K25" i="18" s="1"/>
  <c r="K10" i="18"/>
  <c r="K23" i="18" s="1"/>
  <c r="K4" i="18"/>
  <c r="T14" i="18"/>
  <c r="T27" i="18" s="1"/>
  <c r="T13" i="18"/>
  <c r="T26" i="18" s="1"/>
  <c r="T6" i="18"/>
  <c r="T19" i="18" s="1"/>
  <c r="T32" i="18" s="1"/>
  <c r="T9" i="18"/>
  <c r="T22" i="18" s="1"/>
  <c r="T5" i="18"/>
  <c r="T18" i="18" s="1"/>
  <c r="T44" i="18" s="1"/>
  <c r="T12" i="18"/>
  <c r="T25" i="18" s="1"/>
  <c r="T10" i="18"/>
  <c r="T23" i="18" s="1"/>
  <c r="T8" i="18"/>
  <c r="T21" i="18" s="1"/>
  <c r="T11" i="18"/>
  <c r="T24" i="18" s="1"/>
  <c r="T7" i="18"/>
  <c r="T20" i="18" s="1"/>
  <c r="T4" i="18"/>
  <c r="J13" i="18"/>
  <c r="J26" i="18" s="1"/>
  <c r="J14" i="18"/>
  <c r="J27" i="18" s="1"/>
  <c r="J8" i="18"/>
  <c r="J21" i="18" s="1"/>
  <c r="J12" i="18"/>
  <c r="J25" i="18" s="1"/>
  <c r="J5" i="18"/>
  <c r="J18" i="18" s="1"/>
  <c r="J44" i="18" s="1"/>
  <c r="J11" i="18"/>
  <c r="J24" i="18" s="1"/>
  <c r="J9" i="18"/>
  <c r="J22" i="18" s="1"/>
  <c r="J7" i="18"/>
  <c r="J20" i="18" s="1"/>
  <c r="J10" i="18"/>
  <c r="J23" i="18" s="1"/>
  <c r="J6" i="18"/>
  <c r="J19" i="18" s="1"/>
  <c r="J32" i="18" s="1"/>
  <c r="J4" i="18"/>
  <c r="F14" i="18"/>
  <c r="F27" i="18" s="1"/>
  <c r="F13" i="18"/>
  <c r="F26" i="18" s="1"/>
  <c r="F9" i="18"/>
  <c r="F22" i="18" s="1"/>
  <c r="F5" i="18"/>
  <c r="F18" i="18" s="1"/>
  <c r="F31" i="18" s="1"/>
  <c r="F10" i="18"/>
  <c r="F23" i="18" s="1"/>
  <c r="F6" i="18"/>
  <c r="F19" i="18" s="1"/>
  <c r="F32" i="18" s="1"/>
  <c r="F57" i="18" s="1"/>
  <c r="F12" i="18"/>
  <c r="F25" i="18" s="1"/>
  <c r="F11" i="18"/>
  <c r="F24" i="18" s="1"/>
  <c r="F8" i="18"/>
  <c r="F21" i="18" s="1"/>
  <c r="F7" i="18"/>
  <c r="F20" i="18" s="1"/>
  <c r="F4" i="18"/>
  <c r="L14" i="18"/>
  <c r="L27" i="18" s="1"/>
  <c r="L13" i="18"/>
  <c r="L26" i="18" s="1"/>
  <c r="L9" i="18"/>
  <c r="L22" i="18" s="1"/>
  <c r="L11" i="18"/>
  <c r="L24" i="18" s="1"/>
  <c r="L5" i="18"/>
  <c r="L18" i="18" s="1"/>
  <c r="L31" i="18" s="1"/>
  <c r="L10" i="18"/>
  <c r="L23" i="18" s="1"/>
  <c r="L8" i="18"/>
  <c r="L21" i="18" s="1"/>
  <c r="L7" i="18"/>
  <c r="L20" i="18" s="1"/>
  <c r="L12" i="18"/>
  <c r="L25" i="18" s="1"/>
  <c r="L6" i="18"/>
  <c r="L19" i="18" s="1"/>
  <c r="L45" i="18" s="1"/>
  <c r="L4" i="18"/>
  <c r="I14" i="18"/>
  <c r="I27" i="18" s="1"/>
  <c r="I13" i="18"/>
  <c r="I26" i="18" s="1"/>
  <c r="I11" i="18"/>
  <c r="I24" i="18" s="1"/>
  <c r="I7" i="18"/>
  <c r="I20" i="18" s="1"/>
  <c r="I10" i="18"/>
  <c r="I23" i="18" s="1"/>
  <c r="I12" i="18"/>
  <c r="I25" i="18" s="1"/>
  <c r="I9" i="18"/>
  <c r="I22" i="18" s="1"/>
  <c r="I5" i="18"/>
  <c r="I18" i="18" s="1"/>
  <c r="I31" i="18" s="1"/>
  <c r="I8" i="18"/>
  <c r="I21" i="18" s="1"/>
  <c r="I6" i="18"/>
  <c r="I19" i="18" s="1"/>
  <c r="I45" i="18" s="1"/>
  <c r="I4" i="18"/>
  <c r="X13" i="18"/>
  <c r="X26" i="18" s="1"/>
  <c r="X14" i="18"/>
  <c r="X27" i="18" s="1"/>
  <c r="X11" i="18"/>
  <c r="X24" i="18" s="1"/>
  <c r="X8" i="18"/>
  <c r="X21" i="18" s="1"/>
  <c r="X7" i="18"/>
  <c r="X20" i="18" s="1"/>
  <c r="X9" i="18"/>
  <c r="X22" i="18" s="1"/>
  <c r="X5" i="18"/>
  <c r="X18" i="18" s="1"/>
  <c r="X31" i="18" s="1"/>
  <c r="X10" i="18"/>
  <c r="X23" i="18" s="1"/>
  <c r="X6" i="18"/>
  <c r="X19" i="18" s="1"/>
  <c r="X45" i="18" s="1"/>
  <c r="X12" i="18"/>
  <c r="X25" i="18" s="1"/>
  <c r="X4" i="18"/>
  <c r="E13" i="18"/>
  <c r="E26" i="18" s="1"/>
  <c r="E14" i="18"/>
  <c r="E27" i="18" s="1"/>
  <c r="E8" i="18"/>
  <c r="E21" i="18" s="1"/>
  <c r="E7" i="18"/>
  <c r="E20" i="18" s="1"/>
  <c r="E6" i="18"/>
  <c r="E19" i="18" s="1"/>
  <c r="E45" i="18" s="1"/>
  <c r="E9" i="18"/>
  <c r="E22" i="18" s="1"/>
  <c r="E5" i="18"/>
  <c r="E18" i="18" s="1"/>
  <c r="E31" i="18" s="1"/>
  <c r="E11" i="18"/>
  <c r="E24" i="18" s="1"/>
  <c r="E10" i="18"/>
  <c r="E23" i="18" s="1"/>
  <c r="E12" i="18"/>
  <c r="E25" i="18" s="1"/>
  <c r="E4" i="18"/>
  <c r="C11" i="19"/>
  <c r="C35" i="19" s="1"/>
  <c r="C8" i="19"/>
  <c r="C4" i="19"/>
  <c r="C27" i="19" s="1"/>
  <c r="C28" i="19" s="1"/>
  <c r="C30" i="19"/>
  <c r="C31" i="19" s="1"/>
  <c r="C32" i="19" s="1"/>
  <c r="H13" i="18"/>
  <c r="H26" i="18" s="1"/>
  <c r="H14" i="18"/>
  <c r="H27" i="18" s="1"/>
  <c r="H9" i="18"/>
  <c r="H22" i="18" s="1"/>
  <c r="H5" i="18"/>
  <c r="H18" i="18" s="1"/>
  <c r="H44" i="18" s="1"/>
  <c r="H7" i="18"/>
  <c r="H20" i="18" s="1"/>
  <c r="H6" i="18"/>
  <c r="H19" i="18" s="1"/>
  <c r="H45" i="18" s="1"/>
  <c r="H12" i="18"/>
  <c r="H25" i="18" s="1"/>
  <c r="H11" i="18"/>
  <c r="H24" i="18" s="1"/>
  <c r="H10" i="18"/>
  <c r="H23" i="18" s="1"/>
  <c r="H8" i="18"/>
  <c r="H21" i="18" s="1"/>
  <c r="H4" i="18"/>
  <c r="W14" i="18"/>
  <c r="W27" i="18" s="1"/>
  <c r="W13" i="18"/>
  <c r="W26" i="18" s="1"/>
  <c r="W8" i="18"/>
  <c r="W21" i="18" s="1"/>
  <c r="W12" i="18"/>
  <c r="W25" i="18" s="1"/>
  <c r="W10" i="18"/>
  <c r="W23" i="18" s="1"/>
  <c r="W6" i="18"/>
  <c r="W19" i="18" s="1"/>
  <c r="W45" i="18" s="1"/>
  <c r="W7" i="18"/>
  <c r="W20" i="18" s="1"/>
  <c r="W5" i="18"/>
  <c r="W18" i="18" s="1"/>
  <c r="W31" i="18" s="1"/>
  <c r="W9" i="18"/>
  <c r="W22" i="18" s="1"/>
  <c r="W11" i="18"/>
  <c r="W24" i="18" s="1"/>
  <c r="W4" i="18"/>
  <c r="S13" i="18"/>
  <c r="S26" i="18" s="1"/>
  <c r="S14" i="18"/>
  <c r="S27" i="18" s="1"/>
  <c r="S5" i="18"/>
  <c r="S18" i="18" s="1"/>
  <c r="S44" i="18" s="1"/>
  <c r="S12" i="18"/>
  <c r="S25" i="18" s="1"/>
  <c r="S6" i="18"/>
  <c r="S19" i="18" s="1"/>
  <c r="S32" i="18" s="1"/>
  <c r="S7" i="18"/>
  <c r="S20" i="18" s="1"/>
  <c r="S10" i="18"/>
  <c r="S23" i="18" s="1"/>
  <c r="S11" i="18"/>
  <c r="S24" i="18" s="1"/>
  <c r="S8" i="18"/>
  <c r="S21" i="18" s="1"/>
  <c r="S9" i="18"/>
  <c r="S22" i="18" s="1"/>
  <c r="S4" i="18"/>
  <c r="D44" i="18"/>
  <c r="D31" i="18"/>
  <c r="F45" i="18"/>
  <c r="J31" i="18"/>
  <c r="R44" i="18"/>
  <c r="AA32" i="18"/>
  <c r="AA45" i="18"/>
  <c r="Z45" i="18" l="1"/>
  <c r="X32" i="18"/>
  <c r="P31" i="18"/>
  <c r="K44" i="18"/>
  <c r="AB45" i="18"/>
  <c r="AD44" i="18"/>
  <c r="AA31" i="18"/>
  <c r="E32" i="18"/>
  <c r="N45" i="18"/>
  <c r="N57" i="18" s="1"/>
  <c r="H31" i="18"/>
  <c r="J45" i="18"/>
  <c r="AB31" i="18"/>
  <c r="T45" i="18"/>
  <c r="T57" i="18" s="1"/>
  <c r="G31" i="18"/>
  <c r="U32" i="18"/>
  <c r="G32" i="18"/>
  <c r="U31" i="18"/>
  <c r="AC44" i="18"/>
  <c r="AC56" i="18" s="1"/>
  <c r="O32" i="18"/>
  <c r="Q32" i="18"/>
  <c r="I32" i="18"/>
  <c r="AC57" i="18"/>
  <c r="O56" i="18"/>
  <c r="M56" i="18"/>
  <c r="Y56" i="18"/>
  <c r="W32" i="18"/>
  <c r="V45" i="18"/>
  <c r="V57" i="18" s="1"/>
  <c r="Y32" i="18"/>
  <c r="O57" i="18"/>
  <c r="Y57" i="18"/>
  <c r="P57" i="18"/>
  <c r="Z56" i="18"/>
  <c r="S56" i="18"/>
  <c r="V56" i="18"/>
  <c r="G56" i="18"/>
  <c r="H57" i="18"/>
  <c r="R32" i="18"/>
  <c r="O31" i="18"/>
  <c r="U57" i="18"/>
  <c r="X44" i="18"/>
  <c r="X56" i="18" s="1"/>
  <c r="L57" i="18"/>
  <c r="AD57" i="18"/>
  <c r="J57" i="18"/>
  <c r="T31" i="18"/>
  <c r="P32" i="18"/>
  <c r="E44" i="18"/>
  <c r="Z31" i="18"/>
  <c r="AB56" i="18"/>
  <c r="H40" i="18"/>
  <c r="H52" i="18"/>
  <c r="H64" i="18" s="1"/>
  <c r="F33" i="18"/>
  <c r="T36" i="18"/>
  <c r="T48" i="18"/>
  <c r="T60" i="18" s="1"/>
  <c r="P51" i="18"/>
  <c r="P63" i="18" s="1"/>
  <c r="P39" i="18"/>
  <c r="E52" i="18"/>
  <c r="E40" i="18"/>
  <c r="E64" i="18" s="1"/>
  <c r="H3" i="19"/>
  <c r="I17" i="18"/>
  <c r="L50" i="18"/>
  <c r="L62" i="18" s="1"/>
  <c r="L38" i="18"/>
  <c r="F46" i="18"/>
  <c r="F34" i="18"/>
  <c r="F58" i="18" s="1"/>
  <c r="J33" i="18"/>
  <c r="T17" i="18"/>
  <c r="S3" i="19"/>
  <c r="K50" i="18"/>
  <c r="K62" i="18" s="1"/>
  <c r="K38" i="18"/>
  <c r="AB33" i="18"/>
  <c r="O49" i="18"/>
  <c r="O61" i="18" s="1"/>
  <c r="O37" i="18"/>
  <c r="M39" i="18"/>
  <c r="M51" i="18"/>
  <c r="M63" i="18" s="1"/>
  <c r="L33" i="18"/>
  <c r="F40" i="18"/>
  <c r="F64" i="18" s="1"/>
  <c r="F52" i="18"/>
  <c r="T47" i="18"/>
  <c r="T59" i="18" s="1"/>
  <c r="T35" i="18"/>
  <c r="AB36" i="18"/>
  <c r="AB48" i="18"/>
  <c r="AB60" i="18" s="1"/>
  <c r="AC34" i="18"/>
  <c r="AC46" i="18"/>
  <c r="AC58" i="18" s="1"/>
  <c r="O50" i="18"/>
  <c r="O62" i="18" s="1"/>
  <c r="O38" i="18"/>
  <c r="P49" i="18"/>
  <c r="P61" i="18" s="1"/>
  <c r="P37" i="18"/>
  <c r="N34" i="18"/>
  <c r="N46" i="18"/>
  <c r="N58" i="18" s="1"/>
  <c r="Y34" i="18"/>
  <c r="Y46" i="18"/>
  <c r="Y58" i="18" s="1"/>
  <c r="V37" i="18"/>
  <c r="V49" i="18"/>
  <c r="V61" i="18" s="1"/>
  <c r="AD34" i="18"/>
  <c r="AD46" i="18"/>
  <c r="AD58" i="18" s="1"/>
  <c r="AA40" i="18"/>
  <c r="AA52" i="18"/>
  <c r="AA64" i="18" s="1"/>
  <c r="Z48" i="18"/>
  <c r="Z60" i="18" s="1"/>
  <c r="Z36" i="18"/>
  <c r="G49" i="18"/>
  <c r="G61" i="18" s="1"/>
  <c r="G37" i="18"/>
  <c r="AC32" i="18"/>
  <c r="W3" i="19"/>
  <c r="X17" i="18"/>
  <c r="I33" i="18"/>
  <c r="L46" i="18"/>
  <c r="L58" i="18" s="1"/>
  <c r="L34" i="18"/>
  <c r="L51" i="18"/>
  <c r="L63" i="18" s="1"/>
  <c r="L39" i="18"/>
  <c r="I3" i="19"/>
  <c r="J17" i="18"/>
  <c r="J49" i="18"/>
  <c r="J61" i="18" s="1"/>
  <c r="J37" i="18"/>
  <c r="T49" i="18"/>
  <c r="T61" i="18" s="1"/>
  <c r="T37" i="18"/>
  <c r="K47" i="18"/>
  <c r="K59" i="18" s="1"/>
  <c r="K35" i="18"/>
  <c r="K40" i="18"/>
  <c r="K52" i="18"/>
  <c r="K64" i="18" s="1"/>
  <c r="AB49" i="18"/>
  <c r="AB61" i="18" s="1"/>
  <c r="AB37" i="18"/>
  <c r="Q3" i="19"/>
  <c r="R17" i="18"/>
  <c r="AC50" i="18"/>
  <c r="AC62" i="18" s="1"/>
  <c r="AC38" i="18"/>
  <c r="O51" i="18"/>
  <c r="O63" i="18" s="1"/>
  <c r="O39" i="18"/>
  <c r="O3" i="19"/>
  <c r="P17" i="18"/>
  <c r="Q50" i="18"/>
  <c r="Q62" i="18" s="1"/>
  <c r="Q38" i="18"/>
  <c r="Q51" i="18"/>
  <c r="Q63" i="18" s="1"/>
  <c r="Q39" i="18"/>
  <c r="X3" i="19"/>
  <c r="Y17" i="18"/>
  <c r="V36" i="18"/>
  <c r="V48" i="18"/>
  <c r="V60" i="18" s="1"/>
  <c r="AD37" i="18"/>
  <c r="AD49" i="18"/>
  <c r="AD61" i="18" s="1"/>
  <c r="AD39" i="18"/>
  <c r="AD51" i="18"/>
  <c r="AD63" i="18" s="1"/>
  <c r="AA37" i="18"/>
  <c r="AA49" i="18"/>
  <c r="AA61" i="18" s="1"/>
  <c r="Y3" i="19"/>
  <c r="Z17" i="18"/>
  <c r="Z33" i="18"/>
  <c r="L32" i="18"/>
  <c r="M31" i="18"/>
  <c r="Q44" i="18"/>
  <c r="Q56" i="18" s="1"/>
  <c r="V31" i="18"/>
  <c r="J56" i="18"/>
  <c r="I44" i="18"/>
  <c r="I56" i="18" s="1"/>
  <c r="S37" i="18"/>
  <c r="S49" i="18"/>
  <c r="S61" i="18" s="1"/>
  <c r="S51" i="18"/>
  <c r="S63" i="18" s="1"/>
  <c r="S39" i="18"/>
  <c r="W48" i="18"/>
  <c r="W60" i="18" s="1"/>
  <c r="W36" i="18"/>
  <c r="H33" i="18"/>
  <c r="E47" i="18"/>
  <c r="E35" i="18"/>
  <c r="E59" i="18" s="1"/>
  <c r="X33" i="18"/>
  <c r="I37" i="18"/>
  <c r="I49" i="18"/>
  <c r="I61" i="18" s="1"/>
  <c r="L52" i="18"/>
  <c r="L64" i="18" s="1"/>
  <c r="L40" i="18"/>
  <c r="F38" i="18"/>
  <c r="F62" i="18" s="1"/>
  <c r="F50" i="18"/>
  <c r="K51" i="18"/>
  <c r="K63" i="18" s="1"/>
  <c r="K39" i="18"/>
  <c r="AB34" i="18"/>
  <c r="AB46" i="18"/>
  <c r="AB58" i="18" s="1"/>
  <c r="AC36" i="18"/>
  <c r="AC48" i="18"/>
  <c r="AC60" i="18" s="1"/>
  <c r="O52" i="18"/>
  <c r="O64" i="18" s="1"/>
  <c r="O40" i="18"/>
  <c r="P47" i="18"/>
  <c r="P59" i="18" s="1"/>
  <c r="P35" i="18"/>
  <c r="U36" i="18"/>
  <c r="U48" i="18"/>
  <c r="U60" i="18" s="1"/>
  <c r="U38" i="18"/>
  <c r="U50" i="18"/>
  <c r="U62" i="18" s="1"/>
  <c r="Q40" i="18"/>
  <c r="Q52" i="18"/>
  <c r="Q64" i="18" s="1"/>
  <c r="N35" i="18"/>
  <c r="N47" i="18"/>
  <c r="N59" i="18" s="1"/>
  <c r="Y48" i="18"/>
  <c r="Y60" i="18" s="1"/>
  <c r="Y36" i="18"/>
  <c r="V33" i="18"/>
  <c r="AD38" i="18"/>
  <c r="AD50" i="18"/>
  <c r="AD62" i="18" s="1"/>
  <c r="AD40" i="18"/>
  <c r="AD52" i="18"/>
  <c r="AD64" i="18" s="1"/>
  <c r="Z38" i="18"/>
  <c r="Z50" i="18"/>
  <c r="Z62" i="18" s="1"/>
  <c r="G50" i="18"/>
  <c r="G62" i="18" s="1"/>
  <c r="G38" i="18"/>
  <c r="E46" i="18"/>
  <c r="E34" i="18"/>
  <c r="E58" i="18" s="1"/>
  <c r="X52" i="18"/>
  <c r="X64" i="18" s="1"/>
  <c r="X40" i="18"/>
  <c r="J3" i="19"/>
  <c r="K17" i="18"/>
  <c r="K37" i="18"/>
  <c r="K49" i="18"/>
  <c r="K61" i="18" s="1"/>
  <c r="R50" i="18"/>
  <c r="R62" i="18" s="1"/>
  <c r="R38" i="18"/>
  <c r="N3" i="19"/>
  <c r="O17" i="18"/>
  <c r="M46" i="18"/>
  <c r="M58" i="18" s="1"/>
  <c r="M34" i="18"/>
  <c r="U33" i="18"/>
  <c r="P3" i="19"/>
  <c r="Q17" i="18"/>
  <c r="AD48" i="18"/>
  <c r="AD60" i="18" s="1"/>
  <c r="AD36" i="18"/>
  <c r="AA46" i="18"/>
  <c r="AA58" i="18" s="1"/>
  <c r="AA34" i="18"/>
  <c r="Z40" i="18"/>
  <c r="Z52" i="18"/>
  <c r="Z64" i="18" s="1"/>
  <c r="T56" i="18"/>
  <c r="K56" i="18"/>
  <c r="R57" i="18"/>
  <c r="Q57" i="18"/>
  <c r="W46" i="18"/>
  <c r="W58" i="18" s="1"/>
  <c r="W34" i="18"/>
  <c r="H51" i="18"/>
  <c r="H63" i="18" s="1"/>
  <c r="H39" i="18"/>
  <c r="X39" i="18"/>
  <c r="X51" i="18"/>
  <c r="X63" i="18" s="1"/>
  <c r="T38" i="18"/>
  <c r="T50" i="18"/>
  <c r="T62" i="18" s="1"/>
  <c r="K46" i="18"/>
  <c r="K58" i="18" s="1"/>
  <c r="K34" i="18"/>
  <c r="AB47" i="18"/>
  <c r="AB59" i="18" s="1"/>
  <c r="AB35" i="18"/>
  <c r="R51" i="18"/>
  <c r="R63" i="18" s="1"/>
  <c r="R39" i="18"/>
  <c r="O35" i="18"/>
  <c r="O47" i="18"/>
  <c r="O59" i="18" s="1"/>
  <c r="M35" i="18"/>
  <c r="M47" i="18"/>
  <c r="M59" i="18" s="1"/>
  <c r="P46" i="18"/>
  <c r="P58" i="18" s="1"/>
  <c r="P34" i="18"/>
  <c r="U49" i="18"/>
  <c r="U61" i="18" s="1"/>
  <c r="U37" i="18"/>
  <c r="N33" i="18"/>
  <c r="Y40" i="18"/>
  <c r="Y52" i="18"/>
  <c r="Y64" i="18" s="1"/>
  <c r="AD33" i="18"/>
  <c r="AA50" i="18"/>
  <c r="AA62" i="18" s="1"/>
  <c r="AA38" i="18"/>
  <c r="Z37" i="18"/>
  <c r="Z49" i="18"/>
  <c r="Z61" i="18" s="1"/>
  <c r="G35" i="18"/>
  <c r="G47" i="18"/>
  <c r="G59" i="18" s="1"/>
  <c r="W44" i="18"/>
  <c r="W56" i="18" s="1"/>
  <c r="U56" i="18"/>
  <c r="Y31" i="18"/>
  <c r="M45" i="18"/>
  <c r="M57" i="18" s="1"/>
  <c r="S45" i="18"/>
  <c r="S57" i="18" s="1"/>
  <c r="S46" i="18"/>
  <c r="S58" i="18" s="1"/>
  <c r="S34" i="18"/>
  <c r="S50" i="18"/>
  <c r="S62" i="18" s="1"/>
  <c r="S38" i="18"/>
  <c r="W33" i="18"/>
  <c r="W39" i="18"/>
  <c r="W51" i="18"/>
  <c r="W63" i="18" s="1"/>
  <c r="H50" i="18"/>
  <c r="H62" i="18" s="1"/>
  <c r="H38" i="18"/>
  <c r="E49" i="18"/>
  <c r="E37" i="18"/>
  <c r="E61" i="18" s="1"/>
  <c r="I50" i="18"/>
  <c r="I62" i="18" s="1"/>
  <c r="I38" i="18"/>
  <c r="L37" i="18"/>
  <c r="L49" i="18"/>
  <c r="L61" i="18" s="1"/>
  <c r="F39" i="18"/>
  <c r="F63" i="18" s="1"/>
  <c r="F51" i="18"/>
  <c r="AB39" i="18"/>
  <c r="AB51" i="18"/>
  <c r="AB63" i="18" s="1"/>
  <c r="AB3" i="19"/>
  <c r="AC17" i="18"/>
  <c r="O33" i="18"/>
  <c r="M33" i="18"/>
  <c r="T3" i="19"/>
  <c r="U17" i="18"/>
  <c r="Q37" i="18"/>
  <c r="Q49" i="18"/>
  <c r="Q61" i="18" s="1"/>
  <c r="Q33" i="18"/>
  <c r="N40" i="18"/>
  <c r="N52" i="18"/>
  <c r="N64" i="18" s="1"/>
  <c r="Y47" i="18"/>
  <c r="Y59" i="18" s="1"/>
  <c r="Y35" i="18"/>
  <c r="U3" i="19"/>
  <c r="V17" i="18"/>
  <c r="V35" i="18"/>
  <c r="V47" i="18"/>
  <c r="V59" i="18" s="1"/>
  <c r="AA51" i="18"/>
  <c r="AA63" i="18" s="1"/>
  <c r="AA39" i="18"/>
  <c r="F3" i="19"/>
  <c r="G17" i="18"/>
  <c r="X57" i="18"/>
  <c r="G57" i="18"/>
  <c r="W57" i="18"/>
  <c r="I57" i="18"/>
  <c r="W52" i="18"/>
  <c r="W64" i="18" s="1"/>
  <c r="W40" i="18"/>
  <c r="L35" i="18"/>
  <c r="L47" i="18"/>
  <c r="L59" i="18" s="1"/>
  <c r="J47" i="18"/>
  <c r="J59" i="18" s="1"/>
  <c r="J35" i="18"/>
  <c r="AB52" i="18"/>
  <c r="AB64" i="18" s="1"/>
  <c r="AB40" i="18"/>
  <c r="AC33" i="18"/>
  <c r="Q34" i="18"/>
  <c r="Q46" i="18"/>
  <c r="Q58" i="18" s="1"/>
  <c r="U46" i="18"/>
  <c r="U58" i="18" s="1"/>
  <c r="U34" i="18"/>
  <c r="X50" i="18"/>
  <c r="X62" i="18" s="1"/>
  <c r="X38" i="18"/>
  <c r="I34" i="18"/>
  <c r="I46" i="18"/>
  <c r="I58" i="18" s="1"/>
  <c r="H32" i="18"/>
  <c r="AA57" i="18"/>
  <c r="F44" i="18"/>
  <c r="AD32" i="18"/>
  <c r="K45" i="18"/>
  <c r="K57" i="18" s="1"/>
  <c r="N44" i="18"/>
  <c r="N56" i="18" s="1"/>
  <c r="S31" i="18"/>
  <c r="L44" i="18"/>
  <c r="L56" i="18" s="1"/>
  <c r="D92" i="18"/>
  <c r="D90" i="18"/>
  <c r="D96" i="18"/>
  <c r="D94" i="18"/>
  <c r="D95" i="18"/>
  <c r="D93" i="18"/>
  <c r="D91" i="18"/>
  <c r="D89" i="18"/>
  <c r="S36" i="18"/>
  <c r="S48" i="18"/>
  <c r="S60" i="18" s="1"/>
  <c r="V3" i="19"/>
  <c r="W17" i="18"/>
  <c r="H34" i="18"/>
  <c r="H46" i="18"/>
  <c r="H58" i="18" s="1"/>
  <c r="E17" i="18"/>
  <c r="D3" i="19"/>
  <c r="X46" i="18"/>
  <c r="X58" i="18" s="1"/>
  <c r="X34" i="18"/>
  <c r="I39" i="18"/>
  <c r="I51" i="18"/>
  <c r="I63" i="18" s="1"/>
  <c r="E3" i="19"/>
  <c r="F17" i="18"/>
  <c r="J38" i="18"/>
  <c r="J50" i="18"/>
  <c r="J62" i="18" s="1"/>
  <c r="T34" i="18"/>
  <c r="T46" i="18"/>
  <c r="T58" i="18" s="1"/>
  <c r="T39" i="18"/>
  <c r="T51" i="18"/>
  <c r="T63" i="18" s="1"/>
  <c r="AA3" i="19"/>
  <c r="AB17" i="18"/>
  <c r="AB38" i="18"/>
  <c r="AB50" i="18"/>
  <c r="AB62" i="18" s="1"/>
  <c r="R34" i="18"/>
  <c r="R46" i="18"/>
  <c r="R58" i="18" s="1"/>
  <c r="R48" i="18"/>
  <c r="R60" i="18" s="1"/>
  <c r="R36" i="18"/>
  <c r="AC37" i="18"/>
  <c r="AC49" i="18"/>
  <c r="AC61" i="18" s="1"/>
  <c r="AC39" i="18"/>
  <c r="AC51" i="18"/>
  <c r="AC63" i="18" s="1"/>
  <c r="L3" i="19"/>
  <c r="M17" i="18"/>
  <c r="M48" i="18"/>
  <c r="M60" i="18" s="1"/>
  <c r="M36" i="18"/>
  <c r="U35" i="18"/>
  <c r="U47" i="18"/>
  <c r="U59" i="18" s="1"/>
  <c r="U52" i="18"/>
  <c r="U64" i="18" s="1"/>
  <c r="U40" i="18"/>
  <c r="M3" i="19"/>
  <c r="N17" i="18"/>
  <c r="N50" i="18"/>
  <c r="N62" i="18" s="1"/>
  <c r="N38" i="18"/>
  <c r="Y49" i="18"/>
  <c r="Y61" i="18" s="1"/>
  <c r="Y37" i="18"/>
  <c r="Y33" i="18"/>
  <c r="V50" i="18"/>
  <c r="V62" i="18" s="1"/>
  <c r="V38" i="18"/>
  <c r="V51" i="18"/>
  <c r="V63" i="18" s="1"/>
  <c r="V39" i="18"/>
  <c r="Z3" i="19"/>
  <c r="AA17" i="18"/>
  <c r="AA47" i="18"/>
  <c r="AA59" i="18" s="1"/>
  <c r="AA35" i="18"/>
  <c r="Z46" i="18"/>
  <c r="Z58" i="18" s="1"/>
  <c r="Z34" i="18"/>
  <c r="G33" i="18"/>
  <c r="G51" i="18"/>
  <c r="G63" i="18" s="1"/>
  <c r="G39" i="18"/>
  <c r="R3" i="19"/>
  <c r="S17" i="18"/>
  <c r="W35" i="18"/>
  <c r="W47" i="18"/>
  <c r="W59" i="18" s="1"/>
  <c r="H48" i="18"/>
  <c r="H60" i="18" s="1"/>
  <c r="H36" i="18"/>
  <c r="E36" i="18"/>
  <c r="E60" i="18" s="1"/>
  <c r="E48" i="18"/>
  <c r="X36" i="18"/>
  <c r="X48" i="18"/>
  <c r="X60" i="18" s="1"/>
  <c r="K3" i="19"/>
  <c r="L17" i="18"/>
  <c r="J40" i="18"/>
  <c r="J52" i="18"/>
  <c r="J64" i="18" s="1"/>
  <c r="R40" i="18"/>
  <c r="R52" i="18"/>
  <c r="R64" i="18" s="1"/>
  <c r="P50" i="18"/>
  <c r="P62" i="18" s="1"/>
  <c r="P38" i="18"/>
  <c r="Q47" i="18"/>
  <c r="Q59" i="18" s="1"/>
  <c r="Q35" i="18"/>
  <c r="N49" i="18"/>
  <c r="N61" i="18" s="1"/>
  <c r="N37" i="18"/>
  <c r="Y39" i="18"/>
  <c r="Y51" i="18"/>
  <c r="Y63" i="18" s="1"/>
  <c r="AD17" i="18"/>
  <c r="AC3" i="19"/>
  <c r="AA56" i="18"/>
  <c r="H56" i="18"/>
  <c r="R56" i="18"/>
  <c r="S47" i="18"/>
  <c r="S59" i="18" s="1"/>
  <c r="S35" i="18"/>
  <c r="H49" i="18"/>
  <c r="H61" i="18" s="1"/>
  <c r="H37" i="18"/>
  <c r="I35" i="18"/>
  <c r="I47" i="18"/>
  <c r="I59" i="18" s="1"/>
  <c r="F35" i="18"/>
  <c r="F59" i="18" s="1"/>
  <c r="F47" i="18"/>
  <c r="J51" i="18"/>
  <c r="J63" i="18" s="1"/>
  <c r="J39" i="18"/>
  <c r="K48" i="18"/>
  <c r="K60" i="18" s="1"/>
  <c r="K36" i="18"/>
  <c r="R47" i="18"/>
  <c r="R59" i="18" s="1"/>
  <c r="R35" i="18"/>
  <c r="AC47" i="18"/>
  <c r="AC59" i="18" s="1"/>
  <c r="AC35" i="18"/>
  <c r="O34" i="18"/>
  <c r="O46" i="18"/>
  <c r="O58" i="18" s="1"/>
  <c r="P52" i="18"/>
  <c r="P64" i="18" s="1"/>
  <c r="P40" i="18"/>
  <c r="Q48" i="18"/>
  <c r="Q60" i="18" s="1"/>
  <c r="Q36" i="18"/>
  <c r="N48" i="18"/>
  <c r="N60" i="18" s="1"/>
  <c r="N36" i="18"/>
  <c r="Z51" i="18"/>
  <c r="Z63" i="18" s="1"/>
  <c r="Z39" i="18"/>
  <c r="E51" i="18"/>
  <c r="E39" i="18"/>
  <c r="E63" i="18" s="1"/>
  <c r="I48" i="18"/>
  <c r="I60" i="18" s="1"/>
  <c r="I36" i="18"/>
  <c r="F37" i="18"/>
  <c r="F61" i="18" s="1"/>
  <c r="F49" i="18"/>
  <c r="T33" i="18"/>
  <c r="M52" i="18"/>
  <c r="M64" i="18" s="1"/>
  <c r="M40" i="18"/>
  <c r="N39" i="18"/>
  <c r="N51" i="18"/>
  <c r="N63" i="18" s="1"/>
  <c r="V34" i="18"/>
  <c r="V46" i="18"/>
  <c r="V58" i="18" s="1"/>
  <c r="AD47" i="18"/>
  <c r="AD59" i="18" s="1"/>
  <c r="AD35" i="18"/>
  <c r="AA33" i="18"/>
  <c r="G46" i="18"/>
  <c r="G58" i="18" s="1"/>
  <c r="G34" i="18"/>
  <c r="Z57" i="18"/>
  <c r="S40" i="18"/>
  <c r="S52" i="18"/>
  <c r="S64" i="18" s="1"/>
  <c r="G3" i="19"/>
  <c r="H17" i="18"/>
  <c r="X35" i="18"/>
  <c r="X47" i="18"/>
  <c r="X59" i="18" s="1"/>
  <c r="P56" i="18"/>
  <c r="AB57" i="18"/>
  <c r="AD56" i="18"/>
  <c r="S33" i="18"/>
  <c r="W37" i="18"/>
  <c r="W49" i="18"/>
  <c r="W61" i="18" s="1"/>
  <c r="W38" i="18"/>
  <c r="W50" i="18"/>
  <c r="W62" i="18" s="1"/>
  <c r="H47" i="18"/>
  <c r="H59" i="18" s="1"/>
  <c r="H35" i="18"/>
  <c r="E38" i="18"/>
  <c r="E62" i="18" s="1"/>
  <c r="E50" i="18"/>
  <c r="E33" i="18"/>
  <c r="X49" i="18"/>
  <c r="X61" i="18" s="1"/>
  <c r="X37" i="18"/>
  <c r="I40" i="18"/>
  <c r="I52" i="18"/>
  <c r="I64" i="18" s="1"/>
  <c r="L36" i="18"/>
  <c r="L48" i="18"/>
  <c r="L60" i="18" s="1"/>
  <c r="F36" i="18"/>
  <c r="F60" i="18" s="1"/>
  <c r="F48" i="18"/>
  <c r="J36" i="18"/>
  <c r="J48" i="18"/>
  <c r="J60" i="18" s="1"/>
  <c r="J34" i="18"/>
  <c r="J46" i="18"/>
  <c r="J58" i="18" s="1"/>
  <c r="T52" i="18"/>
  <c r="T64" i="18" s="1"/>
  <c r="T40" i="18"/>
  <c r="K33" i="18"/>
  <c r="R49" i="18"/>
  <c r="R61" i="18" s="1"/>
  <c r="R37" i="18"/>
  <c r="R33" i="18"/>
  <c r="AC52" i="18"/>
  <c r="AC64" i="18" s="1"/>
  <c r="AC40" i="18"/>
  <c r="O36" i="18"/>
  <c r="O48" i="18"/>
  <c r="O60" i="18" s="1"/>
  <c r="M38" i="18"/>
  <c r="M50" i="18"/>
  <c r="M62" i="18" s="1"/>
  <c r="M49" i="18"/>
  <c r="M61" i="18" s="1"/>
  <c r="M37" i="18"/>
  <c r="P48" i="18"/>
  <c r="P60" i="18" s="1"/>
  <c r="P36" i="18"/>
  <c r="P33" i="18"/>
  <c r="U39" i="18"/>
  <c r="U51" i="18"/>
  <c r="U63" i="18" s="1"/>
  <c r="Y50" i="18"/>
  <c r="Y62" i="18" s="1"/>
  <c r="Y38" i="18"/>
  <c r="V40" i="18"/>
  <c r="V52" i="18"/>
  <c r="V64" i="18" s="1"/>
  <c r="AA48" i="18"/>
  <c r="AA60" i="18" s="1"/>
  <c r="AA36" i="18"/>
  <c r="Z47" i="18"/>
  <c r="Z59" i="18" s="1"/>
  <c r="Z35" i="18"/>
  <c r="G48" i="18"/>
  <c r="G60" i="18" s="1"/>
  <c r="G36" i="18"/>
  <c r="G52" i="18"/>
  <c r="G64" i="18" s="1"/>
  <c r="G40" i="18"/>
  <c r="F56" i="18"/>
  <c r="E56" i="18"/>
  <c r="E57" i="18"/>
  <c r="D56" i="18"/>
  <c r="C5" i="19"/>
  <c r="M30" i="18" l="1"/>
  <c r="M43" i="18"/>
  <c r="M55" i="18" s="1"/>
  <c r="AC43" i="18"/>
  <c r="AC55" i="18" s="1"/>
  <c r="AC30" i="18"/>
  <c r="K43" i="18"/>
  <c r="K55" i="18" s="1"/>
  <c r="K30" i="18"/>
  <c r="H30" i="18"/>
  <c r="H43" i="18"/>
  <c r="H55" i="18" s="1"/>
  <c r="AB11" i="19"/>
  <c r="AB35" i="19" s="1"/>
  <c r="AB30" i="19"/>
  <c r="AB31" i="19" s="1"/>
  <c r="AB32" i="19" s="1"/>
  <c r="AA18" i="5" s="1"/>
  <c r="AB4" i="19"/>
  <c r="AB8" i="19"/>
  <c r="G11" i="19"/>
  <c r="G35" i="19" s="1"/>
  <c r="G30" i="19"/>
  <c r="G31" i="19" s="1"/>
  <c r="G32" i="19" s="1"/>
  <c r="F18" i="5" s="1"/>
  <c r="G4" i="19"/>
  <c r="G8" i="19"/>
  <c r="AA43" i="18"/>
  <c r="AA55" i="18" s="1"/>
  <c r="AA30" i="18"/>
  <c r="U30" i="18"/>
  <c r="U43" i="18"/>
  <c r="U55" i="18" s="1"/>
  <c r="O30" i="18"/>
  <c r="O43" i="18"/>
  <c r="O55" i="18" s="1"/>
  <c r="N30" i="19"/>
  <c r="N31" i="19" s="1"/>
  <c r="N32" i="19" s="1"/>
  <c r="M18" i="5" s="1"/>
  <c r="N4" i="19"/>
  <c r="N8" i="19"/>
  <c r="N11" i="19"/>
  <c r="N35" i="19" s="1"/>
  <c r="Z43" i="18"/>
  <c r="Z55" i="18" s="1"/>
  <c r="Z30" i="18"/>
  <c r="J30" i="18"/>
  <c r="J43" i="18"/>
  <c r="J55" i="18" s="1"/>
  <c r="D4" i="19"/>
  <c r="D11" i="19"/>
  <c r="D35" i="19" s="1"/>
  <c r="D30" i="19"/>
  <c r="D31" i="19" s="1"/>
  <c r="D32" i="19" s="1"/>
  <c r="D8" i="19"/>
  <c r="Q30" i="19"/>
  <c r="Q31" i="19" s="1"/>
  <c r="Q32" i="19" s="1"/>
  <c r="P18" i="5" s="1"/>
  <c r="Q4" i="19"/>
  <c r="Q8" i="19"/>
  <c r="Q11" i="19"/>
  <c r="Q35" i="19" s="1"/>
  <c r="L11" i="19"/>
  <c r="L35" i="19" s="1"/>
  <c r="L30" i="19"/>
  <c r="L31" i="19" s="1"/>
  <c r="L32" i="19" s="1"/>
  <c r="K18" i="5" s="1"/>
  <c r="L8" i="19"/>
  <c r="L4" i="19"/>
  <c r="E43" i="18"/>
  <c r="E30" i="18"/>
  <c r="J8" i="19"/>
  <c r="J11" i="19"/>
  <c r="J35" i="19" s="1"/>
  <c r="J30" i="19"/>
  <c r="J31" i="19" s="1"/>
  <c r="J32" i="19" s="1"/>
  <c r="I18" i="5" s="1"/>
  <c r="J4" i="19"/>
  <c r="Z30" i="19"/>
  <c r="Z31" i="19" s="1"/>
  <c r="Z32" i="19" s="1"/>
  <c r="Y18" i="5" s="1"/>
  <c r="Z4" i="19"/>
  <c r="Z11" i="19"/>
  <c r="Z35" i="19" s="1"/>
  <c r="Z8" i="19"/>
  <c r="T11" i="19"/>
  <c r="T35" i="19" s="1"/>
  <c r="T30" i="19"/>
  <c r="T31" i="19" s="1"/>
  <c r="T32" i="19" s="1"/>
  <c r="S18" i="5" s="1"/>
  <c r="T4" i="19"/>
  <c r="T8" i="19"/>
  <c r="L30" i="18"/>
  <c r="L43" i="18"/>
  <c r="L55" i="18" s="1"/>
  <c r="G43" i="18"/>
  <c r="G55" i="18" s="1"/>
  <c r="G30" i="18"/>
  <c r="Q43" i="18"/>
  <c r="Q55" i="18" s="1"/>
  <c r="Q30" i="18"/>
  <c r="Y11" i="19"/>
  <c r="Y35" i="19" s="1"/>
  <c r="Y8" i="19"/>
  <c r="Y30" i="19"/>
  <c r="Y31" i="19" s="1"/>
  <c r="Y32" i="19" s="1"/>
  <c r="X18" i="5" s="1"/>
  <c r="Y4" i="19"/>
  <c r="I8" i="19"/>
  <c r="I11" i="19"/>
  <c r="I35" i="19" s="1"/>
  <c r="I30" i="19"/>
  <c r="I31" i="19" s="1"/>
  <c r="I32" i="19" s="1"/>
  <c r="H18" i="5" s="1"/>
  <c r="I4" i="19"/>
  <c r="AD43" i="18"/>
  <c r="AD55" i="18" s="1"/>
  <c r="AD30" i="18"/>
  <c r="K11" i="19"/>
  <c r="K35" i="19" s="1"/>
  <c r="K30" i="19"/>
  <c r="K31" i="19" s="1"/>
  <c r="K32" i="19" s="1"/>
  <c r="J18" i="5" s="1"/>
  <c r="K4" i="19"/>
  <c r="K8" i="19"/>
  <c r="F4" i="19"/>
  <c r="F8" i="19"/>
  <c r="F11" i="19"/>
  <c r="F35" i="19" s="1"/>
  <c r="F30" i="19"/>
  <c r="F31" i="19" s="1"/>
  <c r="F32" i="19" s="1"/>
  <c r="E18" i="5" s="1"/>
  <c r="P4" i="19"/>
  <c r="P8" i="19"/>
  <c r="P11" i="19"/>
  <c r="P35" i="19" s="1"/>
  <c r="P30" i="19"/>
  <c r="P31" i="19" s="1"/>
  <c r="P32" i="19" s="1"/>
  <c r="O18" i="5" s="1"/>
  <c r="Y30" i="18"/>
  <c r="Y43" i="18"/>
  <c r="Y55" i="18" s="1"/>
  <c r="P43" i="18"/>
  <c r="P55" i="18" s="1"/>
  <c r="P30" i="18"/>
  <c r="X43" i="18"/>
  <c r="X55" i="18" s="1"/>
  <c r="X30" i="18"/>
  <c r="AC8" i="19"/>
  <c r="AC11" i="19"/>
  <c r="AC35" i="19" s="1"/>
  <c r="AC30" i="19"/>
  <c r="AC31" i="19" s="1"/>
  <c r="AC32" i="19" s="1"/>
  <c r="AB18" i="5" s="1"/>
  <c r="AC4" i="19"/>
  <c r="N43" i="18"/>
  <c r="N55" i="18" s="1"/>
  <c r="N30" i="18"/>
  <c r="AB43" i="18"/>
  <c r="AB55" i="18" s="1"/>
  <c r="AB30" i="18"/>
  <c r="F30" i="18"/>
  <c r="F43" i="18"/>
  <c r="W43" i="18"/>
  <c r="W55" i="18" s="1"/>
  <c r="W30" i="18"/>
  <c r="V43" i="18"/>
  <c r="V55" i="18" s="1"/>
  <c r="V30" i="18"/>
  <c r="X4" i="19"/>
  <c r="X8" i="19"/>
  <c r="X11" i="19"/>
  <c r="X35" i="19" s="1"/>
  <c r="X30" i="19"/>
  <c r="X31" i="19" s="1"/>
  <c r="X32" i="19" s="1"/>
  <c r="W18" i="5" s="1"/>
  <c r="O30" i="19"/>
  <c r="O31" i="19" s="1"/>
  <c r="O32" i="19" s="1"/>
  <c r="N18" i="5" s="1"/>
  <c r="O11" i="19"/>
  <c r="O35" i="19" s="1"/>
  <c r="O4" i="19"/>
  <c r="O8" i="19"/>
  <c r="W11" i="19"/>
  <c r="W35" i="19" s="1"/>
  <c r="W30" i="19"/>
  <c r="W31" i="19" s="1"/>
  <c r="W32" i="19" s="1"/>
  <c r="V18" i="5" s="1"/>
  <c r="W4" i="19"/>
  <c r="W8" i="19"/>
  <c r="S30" i="19"/>
  <c r="S31" i="19" s="1"/>
  <c r="S32" i="19" s="1"/>
  <c r="R18" i="5" s="1"/>
  <c r="S4" i="19"/>
  <c r="S11" i="19"/>
  <c r="S35" i="19" s="1"/>
  <c r="S8" i="19"/>
  <c r="I30" i="18"/>
  <c r="I43" i="18"/>
  <c r="I55" i="18" s="1"/>
  <c r="S30" i="18"/>
  <c r="S43" i="18"/>
  <c r="S55" i="18" s="1"/>
  <c r="R30" i="19"/>
  <c r="R31" i="19" s="1"/>
  <c r="R32" i="19" s="1"/>
  <c r="Q18" i="5" s="1"/>
  <c r="R4" i="19"/>
  <c r="R8" i="19"/>
  <c r="R11" i="19"/>
  <c r="R35" i="19" s="1"/>
  <c r="M8" i="19"/>
  <c r="M11" i="19"/>
  <c r="M35" i="19" s="1"/>
  <c r="M30" i="19"/>
  <c r="M31" i="19" s="1"/>
  <c r="M32" i="19" s="1"/>
  <c r="L18" i="5" s="1"/>
  <c r="M4" i="19"/>
  <c r="AA11" i="19"/>
  <c r="AA35" i="19" s="1"/>
  <c r="AA30" i="19"/>
  <c r="AA31" i="19" s="1"/>
  <c r="AA32" i="19" s="1"/>
  <c r="Z18" i="5" s="1"/>
  <c r="AA4" i="19"/>
  <c r="AA8" i="19"/>
  <c r="E11" i="19"/>
  <c r="E35" i="19" s="1"/>
  <c r="E4" i="19"/>
  <c r="E8" i="19"/>
  <c r="E30" i="19"/>
  <c r="E31" i="19" s="1"/>
  <c r="E32" i="19" s="1"/>
  <c r="V8" i="19"/>
  <c r="V11" i="19"/>
  <c r="V35" i="19" s="1"/>
  <c r="V4" i="19"/>
  <c r="V30" i="19"/>
  <c r="V31" i="19" s="1"/>
  <c r="V32" i="19" s="1"/>
  <c r="U18" i="5" s="1"/>
  <c r="U4" i="19"/>
  <c r="U30" i="19"/>
  <c r="U31" i="19" s="1"/>
  <c r="U32" i="19" s="1"/>
  <c r="T18" i="5" s="1"/>
  <c r="U8" i="19"/>
  <c r="U11" i="19"/>
  <c r="U35" i="19" s="1"/>
  <c r="R43" i="18"/>
  <c r="R55" i="18" s="1"/>
  <c r="R30" i="18"/>
  <c r="T43" i="18"/>
  <c r="T55" i="18" s="1"/>
  <c r="T30" i="18"/>
  <c r="H4" i="19"/>
  <c r="H8" i="19"/>
  <c r="H11" i="19"/>
  <c r="H35" i="19" s="1"/>
  <c r="H30" i="19"/>
  <c r="H31" i="19" s="1"/>
  <c r="H32" i="19" s="1"/>
  <c r="G18" i="5" s="1"/>
  <c r="C9" i="19"/>
  <c r="C15" i="19"/>
  <c r="C6" i="19"/>
  <c r="D102" i="18"/>
  <c r="D113" i="18" s="1"/>
  <c r="D106" i="18"/>
  <c r="D117" i="18" s="1"/>
  <c r="D105" i="18"/>
  <c r="D116" i="18" s="1"/>
  <c r="D107" i="18"/>
  <c r="D118" i="18" s="1"/>
  <c r="D103" i="18"/>
  <c r="D114" i="18" s="1"/>
  <c r="D101" i="18"/>
  <c r="D112" i="18" s="1"/>
  <c r="D100" i="18"/>
  <c r="D111" i="18" s="1"/>
  <c r="D104" i="18"/>
  <c r="D115" i="18" s="1"/>
  <c r="D67" i="18"/>
  <c r="D70" i="18"/>
  <c r="C13" i="24" l="1"/>
  <c r="D13" i="24"/>
  <c r="O5" i="19"/>
  <c r="O27" i="19"/>
  <c r="O28" i="19" s="1"/>
  <c r="V107" i="18"/>
  <c r="V106" i="18"/>
  <c r="V104" i="18"/>
  <c r="V105" i="18"/>
  <c r="V70" i="18"/>
  <c r="V76" i="18" s="1"/>
  <c r="V82" i="18" s="1"/>
  <c r="T12" i="5" s="1"/>
  <c r="V67" i="18"/>
  <c r="V73" i="18" s="1"/>
  <c r="V79" i="18" s="1"/>
  <c r="T5" i="5" s="1"/>
  <c r="T8" i="5" s="1"/>
  <c r="V100" i="18"/>
  <c r="V102" i="18"/>
  <c r="V101" i="18"/>
  <c r="V103" i="18"/>
  <c r="N107" i="18"/>
  <c r="N104" i="18"/>
  <c r="N106" i="18"/>
  <c r="N105" i="18"/>
  <c r="N67" i="18"/>
  <c r="N73" i="18" s="1"/>
  <c r="N79" i="18" s="1"/>
  <c r="L5" i="5" s="1"/>
  <c r="L8" i="5" s="1"/>
  <c r="N102" i="18"/>
  <c r="N103" i="18"/>
  <c r="N101" i="18"/>
  <c r="N70" i="18"/>
  <c r="N76" i="18" s="1"/>
  <c r="N82" i="18" s="1"/>
  <c r="L12" i="5" s="1"/>
  <c r="N100" i="18"/>
  <c r="P106" i="18"/>
  <c r="P103" i="18"/>
  <c r="P70" i="18"/>
  <c r="P101" i="18"/>
  <c r="P105" i="18"/>
  <c r="P67" i="18"/>
  <c r="P73" i="18" s="1"/>
  <c r="P79" i="18" s="1"/>
  <c r="N5" i="5" s="1"/>
  <c r="N8" i="5" s="1"/>
  <c r="P102" i="18"/>
  <c r="P100" i="18"/>
  <c r="P107" i="18"/>
  <c r="P104" i="18"/>
  <c r="AD101" i="18"/>
  <c r="AD107" i="18"/>
  <c r="AD102" i="18"/>
  <c r="AD105" i="18"/>
  <c r="AD106" i="18"/>
  <c r="AD103" i="18"/>
  <c r="AD70" i="18"/>
  <c r="AD76" i="18" s="1"/>
  <c r="AD82" i="18" s="1"/>
  <c r="AB12" i="5" s="1"/>
  <c r="AD104" i="18"/>
  <c r="AD100" i="18"/>
  <c r="AD67" i="18"/>
  <c r="AD73" i="18" s="1"/>
  <c r="AD79" i="18" s="1"/>
  <c r="AB5" i="5" s="1"/>
  <c r="AB8" i="5" s="1"/>
  <c r="T27" i="19"/>
  <c r="T28" i="19" s="1"/>
  <c r="T5" i="19"/>
  <c r="D5" i="19"/>
  <c r="D27" i="19"/>
  <c r="D28" i="19" s="1"/>
  <c r="G5" i="19"/>
  <c r="G27" i="19"/>
  <c r="G28" i="19" s="1"/>
  <c r="H93" i="18"/>
  <c r="H95" i="18"/>
  <c r="H90" i="18"/>
  <c r="H89" i="18"/>
  <c r="H94" i="18"/>
  <c r="H92" i="18"/>
  <c r="H91" i="18"/>
  <c r="H96" i="18"/>
  <c r="J107" i="18"/>
  <c r="J104" i="18"/>
  <c r="J101" i="18"/>
  <c r="J106" i="18"/>
  <c r="J105" i="18"/>
  <c r="J70" i="18"/>
  <c r="J76" i="18" s="1"/>
  <c r="J82" i="18" s="1"/>
  <c r="H12" i="5" s="1"/>
  <c r="J102" i="18"/>
  <c r="J103" i="18"/>
  <c r="J67" i="18"/>
  <c r="J73" i="18" s="1"/>
  <c r="J79" i="18" s="1"/>
  <c r="H5" i="5" s="1"/>
  <c r="J100" i="18"/>
  <c r="O103" i="18"/>
  <c r="O67" i="18"/>
  <c r="O73" i="18" s="1"/>
  <c r="O79" i="18" s="1"/>
  <c r="M5" i="5" s="1"/>
  <c r="M8" i="5" s="1"/>
  <c r="O104" i="18"/>
  <c r="O70" i="18"/>
  <c r="O76" i="18" s="1"/>
  <c r="O82" i="18" s="1"/>
  <c r="M12" i="5" s="1"/>
  <c r="O101" i="18"/>
  <c r="O102" i="18"/>
  <c r="O105" i="18"/>
  <c r="O107" i="18"/>
  <c r="O106" i="18"/>
  <c r="O100" i="18"/>
  <c r="K93" i="18"/>
  <c r="K94" i="18"/>
  <c r="K89" i="18"/>
  <c r="K96" i="18"/>
  <c r="K95" i="18"/>
  <c r="K92" i="18"/>
  <c r="K91" i="18"/>
  <c r="K90" i="18"/>
  <c r="J94" i="18"/>
  <c r="J91" i="18"/>
  <c r="J90" i="18"/>
  <c r="J93" i="18"/>
  <c r="J92" i="18"/>
  <c r="J96" i="18"/>
  <c r="J89" i="18"/>
  <c r="J95" i="18"/>
  <c r="O91" i="18"/>
  <c r="O92" i="18"/>
  <c r="O96" i="18"/>
  <c r="O94" i="18"/>
  <c r="O89" i="18"/>
  <c r="O95" i="18"/>
  <c r="O90" i="18"/>
  <c r="O93" i="18"/>
  <c r="K106" i="18"/>
  <c r="K100" i="18"/>
  <c r="K101" i="18"/>
  <c r="K67" i="18"/>
  <c r="K73" i="18" s="1"/>
  <c r="K79" i="18" s="1"/>
  <c r="I5" i="5" s="1"/>
  <c r="K104" i="18"/>
  <c r="K70" i="18"/>
  <c r="K103" i="18"/>
  <c r="K105" i="18"/>
  <c r="K107" i="18"/>
  <c r="K102" i="18"/>
  <c r="R107" i="18"/>
  <c r="R103" i="18"/>
  <c r="R67" i="18"/>
  <c r="R73" i="18" s="1"/>
  <c r="R79" i="18" s="1"/>
  <c r="P5" i="5" s="1"/>
  <c r="P8" i="5" s="1"/>
  <c r="R105" i="18"/>
  <c r="R102" i="18"/>
  <c r="R70" i="18"/>
  <c r="R76" i="18" s="1"/>
  <c r="R82" i="18" s="1"/>
  <c r="P12" i="5" s="1"/>
  <c r="R104" i="18"/>
  <c r="R106" i="18"/>
  <c r="R101" i="18"/>
  <c r="R100" i="18"/>
  <c r="W103" i="18"/>
  <c r="W100" i="18"/>
  <c r="W102" i="18"/>
  <c r="W105" i="18"/>
  <c r="W107" i="18"/>
  <c r="W70" i="18"/>
  <c r="W76" i="18" s="1"/>
  <c r="W82" i="18" s="1"/>
  <c r="U12" i="5" s="1"/>
  <c r="W104" i="18"/>
  <c r="W67" i="18"/>
  <c r="W73" i="18" s="1"/>
  <c r="W79" i="18" s="1"/>
  <c r="U5" i="5" s="1"/>
  <c r="U8" i="5" s="1"/>
  <c r="W101" i="18"/>
  <c r="W106" i="18"/>
  <c r="Y91" i="18"/>
  <c r="Y90" i="18"/>
  <c r="Y89" i="18"/>
  <c r="Y93" i="18"/>
  <c r="Y94" i="18"/>
  <c r="Y95" i="18"/>
  <c r="Y96" i="18"/>
  <c r="Y92" i="18"/>
  <c r="F27" i="19"/>
  <c r="F28" i="19" s="1"/>
  <c r="F5" i="19"/>
  <c r="Q105" i="18"/>
  <c r="Q67" i="18"/>
  <c r="Q73" i="18" s="1"/>
  <c r="Q79" i="18" s="1"/>
  <c r="O5" i="5" s="1"/>
  <c r="O8" i="5" s="1"/>
  <c r="Q101" i="18"/>
  <c r="Q107" i="18"/>
  <c r="Q70" i="18"/>
  <c r="Q104" i="18"/>
  <c r="Q102" i="18"/>
  <c r="Q103" i="18"/>
  <c r="Q100" i="18"/>
  <c r="Q106" i="18"/>
  <c r="M5" i="19"/>
  <c r="M27" i="19"/>
  <c r="M28" i="19" s="1"/>
  <c r="S106" i="18"/>
  <c r="S67" i="18"/>
  <c r="S73" i="18" s="1"/>
  <c r="S79" i="18" s="1"/>
  <c r="Q5" i="5" s="1"/>
  <c r="Q8" i="5" s="1"/>
  <c r="S104" i="18"/>
  <c r="S103" i="18"/>
  <c r="S70" i="18"/>
  <c r="S76" i="18" s="1"/>
  <c r="S82" i="18" s="1"/>
  <c r="Q12" i="5" s="1"/>
  <c r="S102" i="18"/>
  <c r="S100" i="18"/>
  <c r="S105" i="18"/>
  <c r="S101" i="18"/>
  <c r="S107" i="18"/>
  <c r="G92" i="18"/>
  <c r="G93" i="18"/>
  <c r="G91" i="18"/>
  <c r="G90" i="18"/>
  <c r="G94" i="18"/>
  <c r="G96" i="18"/>
  <c r="G95" i="18"/>
  <c r="G89" i="18"/>
  <c r="E55" i="18"/>
  <c r="E95" i="18"/>
  <c r="E90" i="18"/>
  <c r="E91" i="18"/>
  <c r="E96" i="18"/>
  <c r="E89" i="18"/>
  <c r="E93" i="18"/>
  <c r="E94" i="18"/>
  <c r="E92" i="18"/>
  <c r="Q27" i="19"/>
  <c r="Q28" i="19" s="1"/>
  <c r="Q5" i="19"/>
  <c r="Z93" i="18"/>
  <c r="Z96" i="18"/>
  <c r="Z94" i="18"/>
  <c r="Z92" i="18"/>
  <c r="Z91" i="18"/>
  <c r="Z89" i="18"/>
  <c r="Z95" i="18"/>
  <c r="Z90" i="18"/>
  <c r="U104" i="18"/>
  <c r="U107" i="18"/>
  <c r="U106" i="18"/>
  <c r="U101" i="18"/>
  <c r="U70" i="18"/>
  <c r="U67" i="18"/>
  <c r="U73" i="18" s="1"/>
  <c r="U79" i="18" s="1"/>
  <c r="S5" i="5" s="1"/>
  <c r="S8" i="5" s="1"/>
  <c r="U105" i="18"/>
  <c r="U100" i="18"/>
  <c r="U103" i="18"/>
  <c r="U102" i="18"/>
  <c r="AC89" i="18"/>
  <c r="AC92" i="18"/>
  <c r="AC91" i="18"/>
  <c r="AC96" i="18"/>
  <c r="AC90" i="18"/>
  <c r="AC93" i="18"/>
  <c r="AC94" i="18"/>
  <c r="AC95" i="18"/>
  <c r="K27" i="19"/>
  <c r="K28" i="19" s="1"/>
  <c r="K5" i="19"/>
  <c r="G103" i="18"/>
  <c r="G102" i="18"/>
  <c r="G107" i="18"/>
  <c r="G104" i="18"/>
  <c r="G70" i="18"/>
  <c r="G76" i="18" s="1"/>
  <c r="G82" i="18" s="1"/>
  <c r="E12" i="5" s="1"/>
  <c r="G100" i="18"/>
  <c r="G105" i="18"/>
  <c r="G106" i="18"/>
  <c r="G67" i="18"/>
  <c r="G73" i="18" s="1"/>
  <c r="G79" i="18" s="1"/>
  <c r="E5" i="5" s="1"/>
  <c r="G101" i="18"/>
  <c r="Z100" i="18"/>
  <c r="Z70" i="18"/>
  <c r="Z76" i="18" s="1"/>
  <c r="Z82" i="18" s="1"/>
  <c r="X12" i="5" s="1"/>
  <c r="Z105" i="18"/>
  <c r="Z67" i="18"/>
  <c r="Z73" i="18" s="1"/>
  <c r="Z79" i="18" s="1"/>
  <c r="X5" i="5" s="1"/>
  <c r="X8" i="5" s="1"/>
  <c r="Z107" i="18"/>
  <c r="Z106" i="18"/>
  <c r="Z102" i="18"/>
  <c r="Z113" i="18" s="1"/>
  <c r="Z103" i="18"/>
  <c r="Z101" i="18"/>
  <c r="Z104" i="18"/>
  <c r="U91" i="18"/>
  <c r="U90" i="18"/>
  <c r="U95" i="18"/>
  <c r="U89" i="18"/>
  <c r="U92" i="18"/>
  <c r="U94" i="18"/>
  <c r="U93" i="18"/>
  <c r="U96" i="18"/>
  <c r="AB5" i="19"/>
  <c r="AB27" i="19"/>
  <c r="AB28" i="19" s="1"/>
  <c r="AC103" i="18"/>
  <c r="AC70" i="18"/>
  <c r="AC107" i="18"/>
  <c r="AC67" i="18"/>
  <c r="AC73" i="18" s="1"/>
  <c r="AC79" i="18" s="1"/>
  <c r="AA5" i="5" s="1"/>
  <c r="AA8" i="5" s="1"/>
  <c r="AC102" i="18"/>
  <c r="AC104" i="18"/>
  <c r="AC101" i="18"/>
  <c r="AC105" i="18"/>
  <c r="AC106" i="18"/>
  <c r="AC100" i="18"/>
  <c r="T105" i="18"/>
  <c r="T100" i="18"/>
  <c r="T101" i="18"/>
  <c r="T106" i="18"/>
  <c r="T107" i="18"/>
  <c r="T102" i="18"/>
  <c r="T104" i="18"/>
  <c r="T103" i="18"/>
  <c r="T70" i="18"/>
  <c r="T76" i="18" s="1"/>
  <c r="T82" i="18" s="1"/>
  <c r="R12" i="5" s="1"/>
  <c r="T67" i="18"/>
  <c r="T73" i="18" s="1"/>
  <c r="T79" i="18" s="1"/>
  <c r="R5" i="5" s="1"/>
  <c r="R8" i="5" s="1"/>
  <c r="V27" i="19"/>
  <c r="V28" i="19" s="1"/>
  <c r="V5" i="19"/>
  <c r="R89" i="18"/>
  <c r="R94" i="18"/>
  <c r="R92" i="18"/>
  <c r="R96" i="18"/>
  <c r="R95" i="18"/>
  <c r="R93" i="18"/>
  <c r="R91" i="18"/>
  <c r="R90" i="18"/>
  <c r="R5" i="19"/>
  <c r="R27" i="19"/>
  <c r="R28" i="19" s="1"/>
  <c r="AC27" i="19"/>
  <c r="AC28" i="19" s="1"/>
  <c r="AC5" i="19"/>
  <c r="Y105" i="18"/>
  <c r="Y103" i="18"/>
  <c r="Y114" i="18" s="1"/>
  <c r="Y100" i="18"/>
  <c r="Y106" i="18"/>
  <c r="Y101" i="18"/>
  <c r="Y70" i="18"/>
  <c r="Y76" i="18" s="1"/>
  <c r="Y82" i="18" s="1"/>
  <c r="W12" i="5" s="1"/>
  <c r="Y102" i="18"/>
  <c r="Y67" i="18"/>
  <c r="Y73" i="18" s="1"/>
  <c r="Y79" i="18" s="1"/>
  <c r="W5" i="5" s="1"/>
  <c r="W8" i="5" s="1"/>
  <c r="Y107" i="18"/>
  <c r="Y104" i="18"/>
  <c r="I5" i="19"/>
  <c r="I27" i="19"/>
  <c r="I28" i="19" s="1"/>
  <c r="Q96" i="18"/>
  <c r="Q90" i="18"/>
  <c r="Q93" i="18"/>
  <c r="Q95" i="18"/>
  <c r="Q92" i="18"/>
  <c r="Q89" i="18"/>
  <c r="Q91" i="18"/>
  <c r="Q94" i="18"/>
  <c r="S93" i="18"/>
  <c r="S95" i="18"/>
  <c r="S89" i="18"/>
  <c r="S91" i="18"/>
  <c r="S92" i="18"/>
  <c r="S90" i="18"/>
  <c r="S94" i="18"/>
  <c r="S96" i="18"/>
  <c r="W5" i="19"/>
  <c r="W27" i="19"/>
  <c r="W28" i="19" s="1"/>
  <c r="F55" i="18"/>
  <c r="F93" i="18"/>
  <c r="F94" i="18"/>
  <c r="F89" i="18"/>
  <c r="F96" i="18"/>
  <c r="F91" i="18"/>
  <c r="F90" i="18"/>
  <c r="F92" i="18"/>
  <c r="F95" i="18"/>
  <c r="E27" i="19"/>
  <c r="E28" i="19" s="1"/>
  <c r="E5" i="19"/>
  <c r="I103" i="18"/>
  <c r="I101" i="18"/>
  <c r="I102" i="18"/>
  <c r="I106" i="18"/>
  <c r="I104" i="18"/>
  <c r="I100" i="18"/>
  <c r="I107" i="18"/>
  <c r="I105" i="18"/>
  <c r="I67" i="18"/>
  <c r="I73" i="18" s="1"/>
  <c r="I79" i="18" s="1"/>
  <c r="G5" i="5" s="1"/>
  <c r="I70" i="18"/>
  <c r="I76" i="18" s="1"/>
  <c r="I82" i="18" s="1"/>
  <c r="G12" i="5" s="1"/>
  <c r="AB95" i="18"/>
  <c r="AB92" i="18"/>
  <c r="AB93" i="18"/>
  <c r="AB94" i="18"/>
  <c r="AB96" i="18"/>
  <c r="AB89" i="18"/>
  <c r="AB90" i="18"/>
  <c r="AB91" i="18"/>
  <c r="X92" i="18"/>
  <c r="X89" i="18"/>
  <c r="X95" i="18"/>
  <c r="X96" i="18"/>
  <c r="X90" i="18"/>
  <c r="X94" i="18"/>
  <c r="X93" i="18"/>
  <c r="X91" i="18"/>
  <c r="Y27" i="19"/>
  <c r="Y28" i="19" s="1"/>
  <c r="Y5" i="19"/>
  <c r="L102" i="18"/>
  <c r="L105" i="18"/>
  <c r="L104" i="18"/>
  <c r="L106" i="18"/>
  <c r="L107" i="18"/>
  <c r="L103" i="18"/>
  <c r="L70" i="18"/>
  <c r="L76" i="18" s="1"/>
  <c r="L82" i="18" s="1"/>
  <c r="J12" i="5" s="1"/>
  <c r="L100" i="18"/>
  <c r="L101" i="18"/>
  <c r="L67" i="18"/>
  <c r="L73" i="18" s="1"/>
  <c r="L79" i="18" s="1"/>
  <c r="J5" i="5" s="1"/>
  <c r="J8" i="5" s="1"/>
  <c r="Z5" i="19"/>
  <c r="Z27" i="19"/>
  <c r="Z28" i="19" s="1"/>
  <c r="L5" i="19"/>
  <c r="L27" i="19"/>
  <c r="L28" i="19" s="1"/>
  <c r="AA96" i="18"/>
  <c r="AA95" i="18"/>
  <c r="AA94" i="18"/>
  <c r="AA93" i="18"/>
  <c r="AA92" i="18"/>
  <c r="AA90" i="18"/>
  <c r="AA91" i="18"/>
  <c r="AA89" i="18"/>
  <c r="M105" i="18"/>
  <c r="M70" i="18"/>
  <c r="M76" i="18" s="1"/>
  <c r="M82" i="18" s="1"/>
  <c r="K12" i="5" s="1"/>
  <c r="M104" i="18"/>
  <c r="M103" i="18"/>
  <c r="M67" i="18"/>
  <c r="M73" i="18" s="1"/>
  <c r="M79" i="18" s="1"/>
  <c r="K5" i="5" s="1"/>
  <c r="K8" i="5" s="1"/>
  <c r="M106" i="18"/>
  <c r="M100" i="18"/>
  <c r="M101" i="18"/>
  <c r="M102" i="18"/>
  <c r="M107" i="18"/>
  <c r="AA27" i="19"/>
  <c r="AA28" i="19" s="1"/>
  <c r="AA5" i="19"/>
  <c r="S5" i="19"/>
  <c r="S27" i="19"/>
  <c r="S28" i="19" s="1"/>
  <c r="W94" i="18"/>
  <c r="W96" i="18"/>
  <c r="W90" i="18"/>
  <c r="W89" i="18"/>
  <c r="W95" i="18"/>
  <c r="W91" i="18"/>
  <c r="W92" i="18"/>
  <c r="W93" i="18"/>
  <c r="H27" i="19"/>
  <c r="H28" i="19" s="1"/>
  <c r="H5" i="19"/>
  <c r="U5" i="19"/>
  <c r="U27" i="19"/>
  <c r="U28" i="19" s="1"/>
  <c r="I94" i="18"/>
  <c r="I93" i="18"/>
  <c r="I90" i="18"/>
  <c r="I91" i="18"/>
  <c r="I95" i="18"/>
  <c r="I96" i="18"/>
  <c r="I92" i="18"/>
  <c r="I89" i="18"/>
  <c r="X5" i="19"/>
  <c r="X27" i="19"/>
  <c r="X28" i="19" s="1"/>
  <c r="AB106" i="18"/>
  <c r="AB104" i="18"/>
  <c r="AB70" i="18"/>
  <c r="AB76" i="18" s="1"/>
  <c r="AB82" i="18" s="1"/>
  <c r="Z12" i="5" s="1"/>
  <c r="AB105" i="18"/>
  <c r="AB107" i="18"/>
  <c r="AB67" i="18"/>
  <c r="AB73" i="18" s="1"/>
  <c r="AB79" i="18" s="1"/>
  <c r="Z5" i="5" s="1"/>
  <c r="Z8" i="5" s="1"/>
  <c r="AB102" i="18"/>
  <c r="AB103" i="18"/>
  <c r="AB101" i="18"/>
  <c r="AB100" i="18"/>
  <c r="AB111" i="18" s="1"/>
  <c r="X105" i="18"/>
  <c r="X106" i="18"/>
  <c r="X104" i="18"/>
  <c r="X103" i="18"/>
  <c r="X101" i="18"/>
  <c r="X100" i="18"/>
  <c r="X107" i="18"/>
  <c r="X67" i="18"/>
  <c r="X73" i="18" s="1"/>
  <c r="X79" i="18" s="1"/>
  <c r="V5" i="5" s="1"/>
  <c r="V8" i="5" s="1"/>
  <c r="X102" i="18"/>
  <c r="X70" i="18"/>
  <c r="X76" i="18" s="1"/>
  <c r="X82" i="18" s="1"/>
  <c r="V12" i="5" s="1"/>
  <c r="P27" i="19"/>
  <c r="P28" i="19" s="1"/>
  <c r="P5" i="19"/>
  <c r="L93" i="18"/>
  <c r="L91" i="18"/>
  <c r="L96" i="18"/>
  <c r="L90" i="18"/>
  <c r="L95" i="18"/>
  <c r="L89" i="18"/>
  <c r="L94" i="18"/>
  <c r="L92" i="18"/>
  <c r="AA102" i="18"/>
  <c r="AA103" i="18"/>
  <c r="AA100" i="18"/>
  <c r="AA106" i="18"/>
  <c r="AA107" i="18"/>
  <c r="AA104" i="18"/>
  <c r="AA67" i="18"/>
  <c r="AA73" i="18" s="1"/>
  <c r="AA79" i="18" s="1"/>
  <c r="Y5" i="5" s="1"/>
  <c r="Y8" i="5" s="1"/>
  <c r="AA105" i="18"/>
  <c r="AA70" i="18"/>
  <c r="AA76" i="18" s="1"/>
  <c r="AA82" i="18" s="1"/>
  <c r="Y12" i="5" s="1"/>
  <c r="AA101" i="18"/>
  <c r="M91" i="18"/>
  <c r="M95" i="18"/>
  <c r="M89" i="18"/>
  <c r="M96" i="18"/>
  <c r="M93" i="18"/>
  <c r="M90" i="18"/>
  <c r="M94" i="18"/>
  <c r="M92" i="18"/>
  <c r="T94" i="18"/>
  <c r="T89" i="18"/>
  <c r="T92" i="18"/>
  <c r="T96" i="18"/>
  <c r="T93" i="18"/>
  <c r="T90" i="18"/>
  <c r="T95" i="18"/>
  <c r="T91" i="18"/>
  <c r="V96" i="18"/>
  <c r="V91" i="18"/>
  <c r="V90" i="18"/>
  <c r="V94" i="18"/>
  <c r="V95" i="18"/>
  <c r="V93" i="18"/>
  <c r="V92" i="18"/>
  <c r="V89" i="18"/>
  <c r="N91" i="18"/>
  <c r="N93" i="18"/>
  <c r="N95" i="18"/>
  <c r="N96" i="18"/>
  <c r="N89" i="18"/>
  <c r="N90" i="18"/>
  <c r="N94" i="18"/>
  <c r="N92" i="18"/>
  <c r="P90" i="18"/>
  <c r="P95" i="18"/>
  <c r="P89" i="18"/>
  <c r="P94" i="18"/>
  <c r="P91" i="18"/>
  <c r="P93" i="18"/>
  <c r="P96" i="18"/>
  <c r="P92" i="18"/>
  <c r="AD95" i="18"/>
  <c r="AD94" i="18"/>
  <c r="AD91" i="18"/>
  <c r="AD90" i="18"/>
  <c r="AD93" i="18"/>
  <c r="AD92" i="18"/>
  <c r="AD96" i="18"/>
  <c r="AD89" i="18"/>
  <c r="J5" i="19"/>
  <c r="J27" i="19"/>
  <c r="J28" i="19" s="1"/>
  <c r="N27" i="19"/>
  <c r="N28" i="19" s="1"/>
  <c r="N5" i="19"/>
  <c r="H103" i="18"/>
  <c r="H67" i="18"/>
  <c r="H73" i="18" s="1"/>
  <c r="H79" i="18" s="1"/>
  <c r="F5" i="5" s="1"/>
  <c r="H102" i="18"/>
  <c r="H113" i="18" s="1"/>
  <c r="H70" i="18"/>
  <c r="H76" i="18" s="1"/>
  <c r="H82" i="18" s="1"/>
  <c r="F12" i="5" s="1"/>
  <c r="H106" i="18"/>
  <c r="H101" i="18"/>
  <c r="H107" i="18"/>
  <c r="H105" i="18"/>
  <c r="H100" i="18"/>
  <c r="H104" i="18"/>
  <c r="H115" i="18" s="1"/>
  <c r="C24" i="19"/>
  <c r="C25" i="19" s="1"/>
  <c r="E17" i="5" s="1"/>
  <c r="C10" i="19"/>
  <c r="C12" i="19" s="1"/>
  <c r="C13" i="19" s="1"/>
  <c r="C16" i="19"/>
  <c r="C18" i="19" s="1"/>
  <c r="C20" i="19" s="1"/>
  <c r="D73" i="18"/>
  <c r="D79" i="18" s="1"/>
  <c r="D76" i="18"/>
  <c r="D82" i="18" s="1"/>
  <c r="U76" i="18"/>
  <c r="U82" i="18" s="1"/>
  <c r="S12" i="5" s="1"/>
  <c r="K76" i="18"/>
  <c r="K82" i="18" s="1"/>
  <c r="I12" i="5" s="1"/>
  <c r="Q76" i="18"/>
  <c r="Q82" i="18" s="1"/>
  <c r="O12" i="5" s="1"/>
  <c r="P76" i="18"/>
  <c r="P82" i="18" s="1"/>
  <c r="N12" i="5" s="1"/>
  <c r="AC76" i="18"/>
  <c r="AC82" i="18" s="1"/>
  <c r="AA12" i="5" s="1"/>
  <c r="AC115" i="18" l="1"/>
  <c r="Y118" i="18"/>
  <c r="X114" i="18"/>
  <c r="AC117" i="18"/>
  <c r="Z118" i="18"/>
  <c r="G116" i="18"/>
  <c r="K114" i="18"/>
  <c r="O117" i="18"/>
  <c r="AC113" i="18"/>
  <c r="Z111" i="18"/>
  <c r="U116" i="18"/>
  <c r="W116" i="18"/>
  <c r="S113" i="18"/>
  <c r="N111" i="18"/>
  <c r="Q117" i="18"/>
  <c r="O111" i="18"/>
  <c r="I112" i="18"/>
  <c r="S114" i="18"/>
  <c r="Q114" i="18"/>
  <c r="L118" i="18"/>
  <c r="Z114" i="18"/>
  <c r="G117" i="18"/>
  <c r="AA114" i="18"/>
  <c r="AC114" i="18"/>
  <c r="X112" i="18"/>
  <c r="U114" i="18"/>
  <c r="I117" i="18"/>
  <c r="R117" i="18"/>
  <c r="K113" i="18"/>
  <c r="H111" i="18"/>
  <c r="H117" i="18"/>
  <c r="H112" i="18"/>
  <c r="X111" i="18"/>
  <c r="AB114" i="18"/>
  <c r="L116" i="18"/>
  <c r="Y113" i="18"/>
  <c r="G111" i="18"/>
  <c r="AA112" i="18"/>
  <c r="AA113" i="18"/>
  <c r="AB113" i="18"/>
  <c r="M115" i="18"/>
  <c r="L112" i="18"/>
  <c r="AG92" i="18"/>
  <c r="AC116" i="18"/>
  <c r="U113" i="18"/>
  <c r="U118" i="18"/>
  <c r="W115" i="18"/>
  <c r="R112" i="18"/>
  <c r="R118" i="18"/>
  <c r="K112" i="18"/>
  <c r="O112" i="18"/>
  <c r="J113" i="18"/>
  <c r="P117" i="18"/>
  <c r="N117" i="18"/>
  <c r="V116" i="18"/>
  <c r="M118" i="18"/>
  <c r="L111" i="18"/>
  <c r="Y112" i="18"/>
  <c r="T118" i="18"/>
  <c r="AC112" i="18"/>
  <c r="U115" i="18"/>
  <c r="P111" i="18"/>
  <c r="N115" i="18"/>
  <c r="X115" i="18"/>
  <c r="AB118" i="18"/>
  <c r="M113" i="18"/>
  <c r="I113" i="18"/>
  <c r="G115" i="18"/>
  <c r="U111" i="18"/>
  <c r="Q111" i="18"/>
  <c r="W118" i="18"/>
  <c r="R115" i="18"/>
  <c r="K117" i="18"/>
  <c r="O115" i="18"/>
  <c r="AD117" i="18"/>
  <c r="N118" i="18"/>
  <c r="AD116" i="18"/>
  <c r="X116" i="18"/>
  <c r="T111" i="18"/>
  <c r="T116" i="18"/>
  <c r="I111" i="18"/>
  <c r="AG95" i="18"/>
  <c r="T115" i="18"/>
  <c r="AF89" i="18"/>
  <c r="S116" i="18"/>
  <c r="Q118" i="18"/>
  <c r="R111" i="18"/>
  <c r="O113" i="18"/>
  <c r="J114" i="18"/>
  <c r="AD115" i="18"/>
  <c r="P115" i="18"/>
  <c r="N116" i="18"/>
  <c r="M114" i="18"/>
  <c r="F70" i="18"/>
  <c r="F76" i="18" s="1"/>
  <c r="F82" i="18" s="1"/>
  <c r="D12" i="5" s="1"/>
  <c r="F100" i="18"/>
  <c r="F107" i="18"/>
  <c r="F102" i="18"/>
  <c r="F103" i="18"/>
  <c r="F105" i="18"/>
  <c r="F67" i="18"/>
  <c r="F73" i="18" s="1"/>
  <c r="F79" i="18" s="1"/>
  <c r="D5" i="5" s="1"/>
  <c r="F106" i="18"/>
  <c r="F104" i="18"/>
  <c r="F101" i="18"/>
  <c r="K111" i="18"/>
  <c r="U6" i="19"/>
  <c r="U15" i="19"/>
  <c r="U9" i="19"/>
  <c r="M116" i="18"/>
  <c r="Y117" i="18"/>
  <c r="V6" i="19"/>
  <c r="V9" i="19"/>
  <c r="V15" i="19"/>
  <c r="Q9" i="19"/>
  <c r="Q15" i="19"/>
  <c r="Q6" i="19"/>
  <c r="Q116" i="18"/>
  <c r="K118" i="18"/>
  <c r="D9" i="19"/>
  <c r="D6" i="19"/>
  <c r="D15" i="19"/>
  <c r="P113" i="18"/>
  <c r="V115" i="18"/>
  <c r="N6" i="19"/>
  <c r="N15" i="19"/>
  <c r="N9" i="19"/>
  <c r="AA115" i="18"/>
  <c r="X117" i="18"/>
  <c r="AB116" i="18"/>
  <c r="I15" i="19"/>
  <c r="I6" i="19"/>
  <c r="I9" i="19"/>
  <c r="Z112" i="18"/>
  <c r="AF95" i="18"/>
  <c r="T15" i="19"/>
  <c r="T6" i="19"/>
  <c r="T9" i="19"/>
  <c r="V114" i="18"/>
  <c r="M111" i="18"/>
  <c r="AG89" i="18"/>
  <c r="Y115" i="18"/>
  <c r="G112" i="18"/>
  <c r="G113" i="18"/>
  <c r="AF92" i="18"/>
  <c r="E100" i="18"/>
  <c r="E102" i="18"/>
  <c r="E70" i="18"/>
  <c r="E76" i="18" s="1"/>
  <c r="E82" i="18" s="1"/>
  <c r="C12" i="5" s="1"/>
  <c r="E107" i="18"/>
  <c r="E106" i="18"/>
  <c r="E103" i="18"/>
  <c r="E67" i="18"/>
  <c r="E73" i="18" s="1"/>
  <c r="E79" i="18" s="1"/>
  <c r="C5" i="5" s="1"/>
  <c r="E104" i="18"/>
  <c r="E105" i="18"/>
  <c r="E101" i="18"/>
  <c r="S115" i="18"/>
  <c r="Q113" i="18"/>
  <c r="W113" i="18"/>
  <c r="R113" i="18"/>
  <c r="O114" i="18"/>
  <c r="J112" i="18"/>
  <c r="AD113" i="18"/>
  <c r="P116" i="18"/>
  <c r="N114" i="18"/>
  <c r="V112" i="18"/>
  <c r="V118" i="18"/>
  <c r="U117" i="18"/>
  <c r="R114" i="18"/>
  <c r="X15" i="19"/>
  <c r="X9" i="19"/>
  <c r="X6" i="19"/>
  <c r="L113" i="18"/>
  <c r="I115" i="18"/>
  <c r="M6" i="19"/>
  <c r="M15" i="19"/>
  <c r="M9" i="19"/>
  <c r="P118" i="18"/>
  <c r="AA116" i="18"/>
  <c r="P15" i="19"/>
  <c r="P6" i="19"/>
  <c r="P9" i="19"/>
  <c r="AG90" i="18"/>
  <c r="R9" i="19"/>
  <c r="R15" i="19"/>
  <c r="R6" i="19"/>
  <c r="AB6" i="19"/>
  <c r="AB15" i="19"/>
  <c r="AB9" i="19"/>
  <c r="Z116" i="18"/>
  <c r="AF91" i="18"/>
  <c r="AD114" i="18"/>
  <c r="H114" i="18"/>
  <c r="AG91" i="18"/>
  <c r="T117" i="18"/>
  <c r="Z115" i="18"/>
  <c r="AF90" i="18"/>
  <c r="J116" i="18"/>
  <c r="H116" i="18"/>
  <c r="H9" i="19"/>
  <c r="H15" i="19"/>
  <c r="H6" i="19"/>
  <c r="M112" i="18"/>
  <c r="L114" i="18"/>
  <c r="AG96" i="18"/>
  <c r="Y111" i="18"/>
  <c r="T112" i="18"/>
  <c r="G118" i="18"/>
  <c r="F6" i="19"/>
  <c r="F15" i="19"/>
  <c r="F9" i="19"/>
  <c r="K116" i="18"/>
  <c r="J117" i="18"/>
  <c r="N112" i="18"/>
  <c r="V117" i="18"/>
  <c r="H118" i="18"/>
  <c r="AA118" i="18"/>
  <c r="X113" i="18"/>
  <c r="L9" i="19"/>
  <c r="L15" i="19"/>
  <c r="L6" i="19"/>
  <c r="I114" i="18"/>
  <c r="AA117" i="18"/>
  <c r="AB115" i="18"/>
  <c r="M117" i="18"/>
  <c r="L117" i="18"/>
  <c r="I116" i="18"/>
  <c r="E9" i="19"/>
  <c r="E15" i="19"/>
  <c r="E6" i="19"/>
  <c r="AG94" i="18"/>
  <c r="Y116" i="18"/>
  <c r="AC118" i="18"/>
  <c r="G114" i="18"/>
  <c r="AF94" i="18"/>
  <c r="S118" i="18"/>
  <c r="Q115" i="18"/>
  <c r="W117" i="18"/>
  <c r="W111" i="18"/>
  <c r="R116" i="18"/>
  <c r="O118" i="18"/>
  <c r="J111" i="18"/>
  <c r="J115" i="18"/>
  <c r="AD118" i="18"/>
  <c r="P112" i="18"/>
  <c r="N113" i="18"/>
  <c r="V113" i="18"/>
  <c r="AA9" i="19"/>
  <c r="AA15" i="19"/>
  <c r="AA6" i="19"/>
  <c r="P114" i="18"/>
  <c r="T113" i="18"/>
  <c r="AF96" i="18"/>
  <c r="S111" i="18"/>
  <c r="Q112" i="18"/>
  <c r="G6" i="19"/>
  <c r="G9" i="19"/>
  <c r="G15" i="19"/>
  <c r="Y15" i="19"/>
  <c r="Y9" i="19"/>
  <c r="Y6" i="19"/>
  <c r="W15" i="19"/>
  <c r="W6" i="19"/>
  <c r="W9" i="19"/>
  <c r="J6" i="19"/>
  <c r="J15" i="19"/>
  <c r="J9" i="19"/>
  <c r="AA111" i="18"/>
  <c r="X118" i="18"/>
  <c r="AB112" i="18"/>
  <c r="AB117" i="18"/>
  <c r="S9" i="19"/>
  <c r="S6" i="19"/>
  <c r="S15" i="19"/>
  <c r="Z15" i="19"/>
  <c r="Z9" i="19"/>
  <c r="Z6" i="19"/>
  <c r="L115" i="18"/>
  <c r="I118" i="18"/>
  <c r="AG93" i="18"/>
  <c r="AC6" i="19"/>
  <c r="AC15" i="19"/>
  <c r="AC9" i="19"/>
  <c r="T114" i="18"/>
  <c r="AC111" i="18"/>
  <c r="Z117" i="18"/>
  <c r="K6" i="19"/>
  <c r="K15" i="19"/>
  <c r="K9" i="19"/>
  <c r="U112" i="18"/>
  <c r="AF93" i="18"/>
  <c r="S112" i="18"/>
  <c r="S117" i="18"/>
  <c r="W112" i="18"/>
  <c r="W114" i="18"/>
  <c r="K115" i="18"/>
  <c r="O116" i="18"/>
  <c r="J118" i="18"/>
  <c r="AD111" i="18"/>
  <c r="AD112" i="18"/>
  <c r="V111" i="18"/>
  <c r="O15" i="19"/>
  <c r="O9" i="19"/>
  <c r="O6" i="19"/>
  <c r="C39" i="19"/>
  <c r="C40" i="19" s="1"/>
  <c r="C17" i="19"/>
  <c r="C19" i="19" s="1"/>
  <c r="C21" i="19" s="1"/>
  <c r="C22" i="19" s="1"/>
  <c r="E16" i="5" s="1"/>
  <c r="C7" i="24" l="1"/>
  <c r="D7" i="24"/>
  <c r="C3" i="24"/>
  <c r="D3" i="24"/>
  <c r="AF82" i="18"/>
  <c r="K10" i="19"/>
  <c r="K12" i="19" s="1"/>
  <c r="K13" i="19" s="1"/>
  <c r="K39" i="19" s="1"/>
  <c r="K40" i="19" s="1"/>
  <c r="J14" i="5" s="1"/>
  <c r="K24" i="19"/>
  <c r="K25" i="19" s="1"/>
  <c r="M17" i="5" s="1"/>
  <c r="W10" i="19"/>
  <c r="W12" i="19" s="1"/>
  <c r="W13" i="19" s="1"/>
  <c r="W39" i="19" s="1"/>
  <c r="W40" i="19" s="1"/>
  <c r="V14" i="5" s="1"/>
  <c r="W24" i="19"/>
  <c r="W25" i="19" s="1"/>
  <c r="Y17" i="5" s="1"/>
  <c r="M24" i="19"/>
  <c r="M25" i="19" s="1"/>
  <c r="O17" i="5" s="1"/>
  <c r="M10" i="19"/>
  <c r="M12" i="19" s="1"/>
  <c r="M13" i="19" s="1"/>
  <c r="M39" i="19" s="1"/>
  <c r="M40" i="19" s="1"/>
  <c r="L14" i="5" s="1"/>
  <c r="AF106" i="18"/>
  <c r="AF117" i="18" s="1"/>
  <c r="E117" i="18"/>
  <c r="N16" i="19"/>
  <c r="N18" i="19" s="1"/>
  <c r="N20" i="19" s="1"/>
  <c r="AG79" i="18"/>
  <c r="J16" i="19"/>
  <c r="J18" i="19" s="1"/>
  <c r="J20" i="19" s="1"/>
  <c r="F16" i="19"/>
  <c r="F18" i="19" s="1"/>
  <c r="F20" i="19" s="1"/>
  <c r="R24" i="19"/>
  <c r="R25" i="19" s="1"/>
  <c r="T17" i="5" s="1"/>
  <c r="R10" i="19"/>
  <c r="R12" i="19" s="1"/>
  <c r="R13" i="19" s="1"/>
  <c r="R39" i="19" s="1"/>
  <c r="R40" i="19" s="1"/>
  <c r="Q14" i="5" s="1"/>
  <c r="X16" i="19"/>
  <c r="X18" i="19" s="1"/>
  <c r="X20" i="19" s="1"/>
  <c r="AF104" i="18"/>
  <c r="AF115" i="18" s="1"/>
  <c r="E115" i="18"/>
  <c r="T10" i="19"/>
  <c r="T12" i="19" s="1"/>
  <c r="T13" i="19" s="1"/>
  <c r="T39" i="19" s="1"/>
  <c r="T40" i="19" s="1"/>
  <c r="S14" i="5" s="1"/>
  <c r="T24" i="19"/>
  <c r="T25" i="19" s="1"/>
  <c r="V17" i="5" s="1"/>
  <c r="D24" i="19"/>
  <c r="D25" i="19" s="1"/>
  <c r="F17" i="5" s="1"/>
  <c r="D10" i="19"/>
  <c r="D12" i="19" s="1"/>
  <c r="D13" i="19" s="1"/>
  <c r="D39" i="19" s="1"/>
  <c r="D40" i="19" s="1"/>
  <c r="AG101" i="18"/>
  <c r="AG112" i="18" s="1"/>
  <c r="F112" i="18"/>
  <c r="F111" i="18"/>
  <c r="AG100" i="18"/>
  <c r="AG111" i="18" s="1"/>
  <c r="Y16" i="19"/>
  <c r="Y18" i="19" s="1"/>
  <c r="Y20" i="19" s="1"/>
  <c r="AB10" i="19"/>
  <c r="AB12" i="19" s="1"/>
  <c r="AB13" i="19" s="1"/>
  <c r="AB39" i="19" s="1"/>
  <c r="AB40" i="19" s="1"/>
  <c r="AA14" i="5" s="1"/>
  <c r="AB24" i="19"/>
  <c r="AB25" i="19" s="1"/>
  <c r="E111" i="18"/>
  <c r="AF100" i="18"/>
  <c r="AF111" i="18" s="1"/>
  <c r="D16" i="19"/>
  <c r="D18" i="19" s="1"/>
  <c r="D20" i="19" s="1"/>
  <c r="AC16" i="19"/>
  <c r="AC18" i="19" s="1"/>
  <c r="AC20" i="19" s="1"/>
  <c r="AA24" i="19"/>
  <c r="AA25" i="19" s="1"/>
  <c r="AA10" i="19"/>
  <c r="AA12" i="19" s="1"/>
  <c r="AA13" i="19" s="1"/>
  <c r="AA39" i="19" s="1"/>
  <c r="AA40" i="19" s="1"/>
  <c r="Z14" i="5" s="1"/>
  <c r="S10" i="19"/>
  <c r="S12" i="19" s="1"/>
  <c r="S13" i="19" s="1"/>
  <c r="S39" i="19" s="1"/>
  <c r="S40" i="19" s="1"/>
  <c r="R14" i="5" s="1"/>
  <c r="S24" i="19"/>
  <c r="S25" i="19" s="1"/>
  <c r="U17" i="5" s="1"/>
  <c r="F24" i="19"/>
  <c r="F25" i="19" s="1"/>
  <c r="H17" i="5" s="1"/>
  <c r="F10" i="19"/>
  <c r="F12" i="19" s="1"/>
  <c r="F13" i="19" s="1"/>
  <c r="F39" i="19" s="1"/>
  <c r="F40" i="19" s="1"/>
  <c r="E14" i="5" s="1"/>
  <c r="R16" i="19"/>
  <c r="R18" i="19" s="1"/>
  <c r="R20" i="19" s="1"/>
  <c r="T16" i="19"/>
  <c r="T18" i="19" s="1"/>
  <c r="T20" i="19" s="1"/>
  <c r="V10" i="19"/>
  <c r="V12" i="19" s="1"/>
  <c r="V13" i="19" s="1"/>
  <c r="V39" i="19" s="1"/>
  <c r="V40" i="19" s="1"/>
  <c r="U14" i="5" s="1"/>
  <c r="V24" i="19"/>
  <c r="V25" i="19" s="1"/>
  <c r="X17" i="5" s="1"/>
  <c r="AG104" i="18"/>
  <c r="AG115" i="18" s="1"/>
  <c r="F115" i="18"/>
  <c r="O16" i="19"/>
  <c r="O18" i="19" s="1"/>
  <c r="O20" i="19" s="1"/>
  <c r="W16" i="19"/>
  <c r="W18" i="19" s="1"/>
  <c r="W20" i="19" s="1"/>
  <c r="E10" i="19"/>
  <c r="E12" i="19" s="1"/>
  <c r="E13" i="19" s="1"/>
  <c r="E39" i="19" s="1"/>
  <c r="E40" i="19" s="1"/>
  <c r="E24" i="19"/>
  <c r="E25" i="19" s="1"/>
  <c r="G17" i="5" s="1"/>
  <c r="E118" i="18"/>
  <c r="AF107" i="18"/>
  <c r="AF118" i="18" s="1"/>
  <c r="N10" i="19"/>
  <c r="N12" i="19" s="1"/>
  <c r="N13" i="19" s="1"/>
  <c r="N39" i="19" s="1"/>
  <c r="N40" i="19" s="1"/>
  <c r="M14" i="5" s="1"/>
  <c r="N24" i="19"/>
  <c r="N25" i="19" s="1"/>
  <c r="P17" i="5" s="1"/>
  <c r="Q24" i="19"/>
  <c r="Q25" i="19" s="1"/>
  <c r="S17" i="5" s="1"/>
  <c r="Q10" i="19"/>
  <c r="Q12" i="19" s="1"/>
  <c r="Q13" i="19" s="1"/>
  <c r="Q39" i="19" s="1"/>
  <c r="Q40" i="19" s="1"/>
  <c r="P14" i="5" s="1"/>
  <c r="AG105" i="18"/>
  <c r="AG116" i="18" s="1"/>
  <c r="F116" i="18"/>
  <c r="Z24" i="19"/>
  <c r="Z25" i="19" s="1"/>
  <c r="AB17" i="5" s="1"/>
  <c r="Z10" i="19"/>
  <c r="Z12" i="19" s="1"/>
  <c r="Z13" i="19" s="1"/>
  <c r="Z39" i="19" s="1"/>
  <c r="Z40" i="19" s="1"/>
  <c r="Y14" i="5" s="1"/>
  <c r="Y10" i="19"/>
  <c r="Y12" i="19" s="1"/>
  <c r="Y13" i="19" s="1"/>
  <c r="Y39" i="19" s="1"/>
  <c r="Y40" i="19" s="1"/>
  <c r="X14" i="5" s="1"/>
  <c r="Y24" i="19"/>
  <c r="Y25" i="19" s="1"/>
  <c r="AA17" i="5" s="1"/>
  <c r="E16" i="19"/>
  <c r="E18" i="19" s="1"/>
  <c r="E20" i="19" s="1"/>
  <c r="L24" i="19"/>
  <c r="L25" i="19" s="1"/>
  <c r="N17" i="5" s="1"/>
  <c r="L10" i="19"/>
  <c r="L12" i="19" s="1"/>
  <c r="L13" i="19" s="1"/>
  <c r="L39" i="19" s="1"/>
  <c r="L40" i="19" s="1"/>
  <c r="K14" i="5" s="1"/>
  <c r="P10" i="19"/>
  <c r="P12" i="19" s="1"/>
  <c r="P13" i="19" s="1"/>
  <c r="P39" i="19" s="1"/>
  <c r="P40" i="19" s="1"/>
  <c r="O14" i="5" s="1"/>
  <c r="P24" i="19"/>
  <c r="P25" i="19" s="1"/>
  <c r="R17" i="5" s="1"/>
  <c r="I10" i="19"/>
  <c r="I12" i="19" s="1"/>
  <c r="I13" i="19" s="1"/>
  <c r="I39" i="19" s="1"/>
  <c r="I40" i="19" s="1"/>
  <c r="H14" i="5" s="1"/>
  <c r="I24" i="19"/>
  <c r="I25" i="19" s="1"/>
  <c r="K17" i="5" s="1"/>
  <c r="Q16" i="19"/>
  <c r="Q18" i="19" s="1"/>
  <c r="Q20" i="19" s="1"/>
  <c r="U16" i="19"/>
  <c r="U18" i="19" s="1"/>
  <c r="U20" i="19" s="1"/>
  <c r="F114" i="18"/>
  <c r="AG103" i="18"/>
  <c r="AG114" i="18" s="1"/>
  <c r="AF79" i="18"/>
  <c r="L16" i="19"/>
  <c r="L18" i="19" s="1"/>
  <c r="L20" i="19" s="1"/>
  <c r="AB16" i="19"/>
  <c r="AB18" i="19" s="1"/>
  <c r="AB20" i="19" s="1"/>
  <c r="P16" i="19"/>
  <c r="P18" i="19" s="1"/>
  <c r="P20" i="19" s="1"/>
  <c r="X10" i="19"/>
  <c r="X12" i="19" s="1"/>
  <c r="X13" i="19" s="1"/>
  <c r="X39" i="19" s="1"/>
  <c r="X40" i="19" s="1"/>
  <c r="W14" i="5" s="1"/>
  <c r="X24" i="19"/>
  <c r="X25" i="19" s="1"/>
  <c r="Z17" i="5" s="1"/>
  <c r="AF101" i="18"/>
  <c r="AF112" i="18" s="1"/>
  <c r="E112" i="18"/>
  <c r="E113" i="18"/>
  <c r="AF102" i="18"/>
  <c r="AF113" i="18" s="1"/>
  <c r="I16" i="19"/>
  <c r="I18" i="19" s="1"/>
  <c r="I20" i="19" s="1"/>
  <c r="U10" i="19"/>
  <c r="U12" i="19" s="1"/>
  <c r="U13" i="19" s="1"/>
  <c r="U39" i="19" s="1"/>
  <c r="U40" i="19" s="1"/>
  <c r="T14" i="5" s="1"/>
  <c r="U24" i="19"/>
  <c r="U25" i="19" s="1"/>
  <c r="W17" i="5" s="1"/>
  <c r="F113" i="18"/>
  <c r="AG102" i="18"/>
  <c r="AG113" i="18" s="1"/>
  <c r="Z16" i="19"/>
  <c r="Z18" i="19" s="1"/>
  <c r="Z20" i="19" s="1"/>
  <c r="E116" i="18"/>
  <c r="AF105" i="18"/>
  <c r="AF116" i="18" s="1"/>
  <c r="V16" i="19"/>
  <c r="V18" i="19" s="1"/>
  <c r="V20" i="19" s="1"/>
  <c r="F118" i="18"/>
  <c r="AG107" i="18"/>
  <c r="AG118" i="18" s="1"/>
  <c r="S16" i="19"/>
  <c r="S18" i="19" s="1"/>
  <c r="S20" i="19" s="1"/>
  <c r="G16" i="19"/>
  <c r="G18" i="19" s="1"/>
  <c r="G20" i="19" s="1"/>
  <c r="H10" i="19"/>
  <c r="H12" i="19" s="1"/>
  <c r="H13" i="19" s="1"/>
  <c r="H39" i="19" s="1"/>
  <c r="H40" i="19" s="1"/>
  <c r="G14" i="5" s="1"/>
  <c r="H24" i="19"/>
  <c r="H25" i="19" s="1"/>
  <c r="J17" i="5" s="1"/>
  <c r="AC10" i="19"/>
  <c r="AC12" i="19" s="1"/>
  <c r="AC13" i="19" s="1"/>
  <c r="AC39" i="19" s="1"/>
  <c r="AC40" i="19" s="1"/>
  <c r="AB14" i="5" s="1"/>
  <c r="AC24" i="19"/>
  <c r="AC25" i="19" s="1"/>
  <c r="J24" i="19"/>
  <c r="J25" i="19" s="1"/>
  <c r="L17" i="5" s="1"/>
  <c r="J10" i="19"/>
  <c r="J12" i="19" s="1"/>
  <c r="J13" i="19" s="1"/>
  <c r="J39" i="19" s="1"/>
  <c r="J40" i="19" s="1"/>
  <c r="I14" i="5" s="1"/>
  <c r="AA16" i="19"/>
  <c r="AA18" i="19" s="1"/>
  <c r="AA20" i="19" s="1"/>
  <c r="H16" i="19"/>
  <c r="H18" i="19" s="1"/>
  <c r="H20" i="19" s="1"/>
  <c r="AG82" i="18"/>
  <c r="O24" i="19"/>
  <c r="O25" i="19" s="1"/>
  <c r="Q17" i="5" s="1"/>
  <c r="O10" i="19"/>
  <c r="O12" i="19" s="1"/>
  <c r="O13" i="19" s="1"/>
  <c r="O39" i="19" s="1"/>
  <c r="O40" i="19" s="1"/>
  <c r="N14" i="5" s="1"/>
  <c r="K16" i="19"/>
  <c r="K18" i="19" s="1"/>
  <c r="K20" i="19" s="1"/>
  <c r="G10" i="19"/>
  <c r="G12" i="19" s="1"/>
  <c r="G13" i="19" s="1"/>
  <c r="G39" i="19" s="1"/>
  <c r="G40" i="19" s="1"/>
  <c r="F14" i="5" s="1"/>
  <c r="G24" i="19"/>
  <c r="G25" i="19" s="1"/>
  <c r="I17" i="5" s="1"/>
  <c r="M16" i="19"/>
  <c r="M18" i="19" s="1"/>
  <c r="M20" i="19" s="1"/>
  <c r="E114" i="18"/>
  <c r="AF103" i="18"/>
  <c r="AF114" i="18" s="1"/>
  <c r="F117" i="18"/>
  <c r="AG106" i="18"/>
  <c r="AG117" i="18" s="1"/>
  <c r="C9" i="24" l="1"/>
  <c r="D9" i="24"/>
  <c r="C12" i="24"/>
  <c r="D12" i="24"/>
  <c r="N17" i="19"/>
  <c r="N19" i="19" s="1"/>
  <c r="N21" i="19" s="1"/>
  <c r="N22" i="19" s="1"/>
  <c r="P16" i="5" s="1"/>
  <c r="P21" i="5" s="1"/>
  <c r="P23" i="5" s="1"/>
  <c r="E17" i="19"/>
  <c r="E19" i="19" s="1"/>
  <c r="E21" i="19" s="1"/>
  <c r="E22" i="19" s="1"/>
  <c r="G16" i="5" s="1"/>
  <c r="D17" i="19"/>
  <c r="D19" i="19" s="1"/>
  <c r="D21" i="19" s="1"/>
  <c r="D22" i="19" s="1"/>
  <c r="F16" i="5" s="1"/>
  <c r="AB17" i="19"/>
  <c r="AB19" i="19" s="1"/>
  <c r="AB21" i="19" s="1"/>
  <c r="AB22" i="19" s="1"/>
  <c r="W17" i="19"/>
  <c r="W19" i="19" s="1"/>
  <c r="W21" i="19" s="1"/>
  <c r="W22" i="19" s="1"/>
  <c r="Y16" i="5" s="1"/>
  <c r="Y21" i="5" s="1"/>
  <c r="Y23" i="5" s="1"/>
  <c r="Z17" i="19"/>
  <c r="Z19" i="19" s="1"/>
  <c r="Z21" i="19" s="1"/>
  <c r="Z22" i="19" s="1"/>
  <c r="AB16" i="5" s="1"/>
  <c r="AB21" i="5" s="1"/>
  <c r="AB23" i="5" s="1"/>
  <c r="I17" i="19"/>
  <c r="I19" i="19" s="1"/>
  <c r="I21" i="19" s="1"/>
  <c r="I22" i="19" s="1"/>
  <c r="K16" i="5" s="1"/>
  <c r="K21" i="5" s="1"/>
  <c r="K23" i="5" s="1"/>
  <c r="P17" i="19"/>
  <c r="P19" i="19" s="1"/>
  <c r="P21" i="19" s="1"/>
  <c r="P22" i="19" s="1"/>
  <c r="R16" i="5" s="1"/>
  <c r="R21" i="5" s="1"/>
  <c r="R23" i="5" s="1"/>
  <c r="U17" i="19"/>
  <c r="U19" i="19" s="1"/>
  <c r="U21" i="19" s="1"/>
  <c r="U22" i="19" s="1"/>
  <c r="W16" i="5" s="1"/>
  <c r="W21" i="5" s="1"/>
  <c r="W23" i="5" s="1"/>
  <c r="Q17" i="19"/>
  <c r="Q19" i="19" s="1"/>
  <c r="Q21" i="19" s="1"/>
  <c r="Q22" i="19" s="1"/>
  <c r="S16" i="5" s="1"/>
  <c r="S21" i="5" s="1"/>
  <c r="S23" i="5" s="1"/>
  <c r="V17" i="19"/>
  <c r="V19" i="19" s="1"/>
  <c r="V21" i="19" s="1"/>
  <c r="V22" i="19" s="1"/>
  <c r="X16" i="5" s="1"/>
  <c r="X21" i="5" s="1"/>
  <c r="X23" i="5" s="1"/>
  <c r="F17" i="19"/>
  <c r="F19" i="19" s="1"/>
  <c r="F21" i="19" s="1"/>
  <c r="F22" i="19" s="1"/>
  <c r="H16" i="5" s="1"/>
  <c r="AC17" i="19"/>
  <c r="AC19" i="19" s="1"/>
  <c r="AC21" i="19" s="1"/>
  <c r="AC22" i="19" s="1"/>
  <c r="Y17" i="19"/>
  <c r="Y19" i="19" s="1"/>
  <c r="Y21" i="19" s="1"/>
  <c r="Y22" i="19" s="1"/>
  <c r="AA16" i="5" s="1"/>
  <c r="AA21" i="5" s="1"/>
  <c r="AA23" i="5" s="1"/>
  <c r="AA17" i="19"/>
  <c r="AA19" i="19" s="1"/>
  <c r="AA21" i="19" s="1"/>
  <c r="AA22" i="19" s="1"/>
  <c r="G17" i="19"/>
  <c r="G19" i="19" s="1"/>
  <c r="G21" i="19" s="1"/>
  <c r="G22" i="19" s="1"/>
  <c r="I16" i="5" s="1"/>
  <c r="K17" i="19"/>
  <c r="K19" i="19" s="1"/>
  <c r="K21" i="19" s="1"/>
  <c r="K22" i="19" s="1"/>
  <c r="M16" i="5" s="1"/>
  <c r="M21" i="5" s="1"/>
  <c r="M23" i="5" s="1"/>
  <c r="S17" i="19"/>
  <c r="S19" i="19" s="1"/>
  <c r="S21" i="19" s="1"/>
  <c r="S22" i="19" s="1"/>
  <c r="U16" i="5" s="1"/>
  <c r="U21" i="5" s="1"/>
  <c r="U23" i="5" s="1"/>
  <c r="T17" i="19"/>
  <c r="T19" i="19" s="1"/>
  <c r="T21" i="19" s="1"/>
  <c r="T22" i="19" s="1"/>
  <c r="V16" i="5" s="1"/>
  <c r="V21" i="5" s="1"/>
  <c r="V23" i="5" s="1"/>
  <c r="H17" i="19"/>
  <c r="H19" i="19" s="1"/>
  <c r="H21" i="19" s="1"/>
  <c r="H22" i="19" s="1"/>
  <c r="J16" i="5" s="1"/>
  <c r="J21" i="5" s="1"/>
  <c r="J23" i="5" s="1"/>
  <c r="O17" i="19"/>
  <c r="O19" i="19" s="1"/>
  <c r="O21" i="19" s="1"/>
  <c r="O22" i="19" s="1"/>
  <c r="Q16" i="5" s="1"/>
  <c r="Q21" i="5" s="1"/>
  <c r="Q23" i="5" s="1"/>
  <c r="R17" i="19"/>
  <c r="R19" i="19" s="1"/>
  <c r="R21" i="19" s="1"/>
  <c r="R22" i="19" s="1"/>
  <c r="T16" i="5" s="1"/>
  <c r="T21" i="5" s="1"/>
  <c r="T23" i="5" s="1"/>
  <c r="J17" i="19"/>
  <c r="J19" i="19" s="1"/>
  <c r="J21" i="19" s="1"/>
  <c r="J22" i="19" s="1"/>
  <c r="L16" i="5" s="1"/>
  <c r="L21" i="5" s="1"/>
  <c r="L23" i="5" s="1"/>
  <c r="X17" i="19"/>
  <c r="X19" i="19" s="1"/>
  <c r="X21" i="19" s="1"/>
  <c r="X22" i="19" s="1"/>
  <c r="Z16" i="5" s="1"/>
  <c r="Z21" i="5" s="1"/>
  <c r="Z23" i="5" s="1"/>
  <c r="M17" i="19"/>
  <c r="M19" i="19" s="1"/>
  <c r="M21" i="19" s="1"/>
  <c r="M22" i="19" s="1"/>
  <c r="O16" i="5" s="1"/>
  <c r="O21" i="5" s="1"/>
  <c r="O23" i="5" s="1"/>
  <c r="L17" i="19"/>
  <c r="L19" i="19" s="1"/>
  <c r="L21" i="19" s="1"/>
  <c r="L22" i="19" s="1"/>
  <c r="N16" i="5" s="1"/>
  <c r="N21" i="5" s="1"/>
  <c r="N23" i="5" s="1"/>
  <c r="C11" i="24" l="1"/>
  <c r="D11" i="24"/>
  <c r="C7" i="23" l="1"/>
  <c r="D3" i="23"/>
  <c r="D4" i="23" s="1"/>
  <c r="C9" i="23"/>
  <c r="C10" i="23"/>
  <c r="C8" i="23"/>
  <c r="E3" i="23" l="1"/>
  <c r="E4" i="23" s="1"/>
  <c r="E14" i="23" s="1"/>
  <c r="C11" i="23"/>
  <c r="D7" i="23"/>
  <c r="D9" i="23"/>
  <c r="D14" i="23"/>
  <c r="D8" i="23"/>
  <c r="D10" i="23"/>
  <c r="D16" i="23"/>
  <c r="D15" i="23"/>
  <c r="D17" i="23"/>
  <c r="F3" i="23"/>
  <c r="F4" i="23" s="1"/>
  <c r="E15" i="23" l="1"/>
  <c r="E17" i="23"/>
  <c r="E9" i="23"/>
  <c r="E7" i="23"/>
  <c r="E10" i="23"/>
  <c r="E8" i="23"/>
  <c r="G3" i="23"/>
  <c r="G4" i="23" s="1"/>
  <c r="E16" i="23"/>
  <c r="E18" i="23" s="1"/>
  <c r="D11" i="23"/>
  <c r="D18" i="23"/>
  <c r="F14" i="23"/>
  <c r="F16" i="23"/>
  <c r="F15" i="23"/>
  <c r="F17" i="23"/>
  <c r="F8" i="23"/>
  <c r="F10" i="23"/>
  <c r="F7" i="23"/>
  <c r="F9" i="23"/>
  <c r="E11" i="23" l="1"/>
  <c r="H3" i="23"/>
  <c r="I3" i="23" s="1"/>
  <c r="G8" i="23"/>
  <c r="G10" i="23"/>
  <c r="G7" i="23"/>
  <c r="G9" i="23"/>
  <c r="G15" i="23"/>
  <c r="G17" i="23"/>
  <c r="G14" i="23"/>
  <c r="G16" i="23"/>
  <c r="F18" i="23"/>
  <c r="C20" i="5" s="1"/>
  <c r="F11" i="23"/>
  <c r="C21" i="5"/>
  <c r="C7" i="5" l="1"/>
  <c r="H4" i="23"/>
  <c r="H7" i="23" s="1"/>
  <c r="G18" i="23"/>
  <c r="D20" i="5" s="1"/>
  <c r="G11" i="23"/>
  <c r="D7" i="5" s="1"/>
  <c r="D8" i="5" s="1"/>
  <c r="J3" i="23"/>
  <c r="I4" i="23"/>
  <c r="C8" i="5" l="1"/>
  <c r="H16" i="23"/>
  <c r="H8" i="23"/>
  <c r="H14" i="23"/>
  <c r="H10" i="23"/>
  <c r="H17" i="23"/>
  <c r="H15" i="23"/>
  <c r="H9" i="23"/>
  <c r="I9" i="23"/>
  <c r="I15" i="23"/>
  <c r="I17" i="23"/>
  <c r="I7" i="23"/>
  <c r="I8" i="23"/>
  <c r="I16" i="23"/>
  <c r="I10" i="23"/>
  <c r="I14" i="23"/>
  <c r="J4" i="23"/>
  <c r="K3" i="23"/>
  <c r="D21" i="5"/>
  <c r="C23" i="5" l="1"/>
  <c r="H18" i="23"/>
  <c r="H11" i="23"/>
  <c r="E7" i="5" s="1"/>
  <c r="I11" i="23"/>
  <c r="F7" i="5" s="1"/>
  <c r="I18" i="23"/>
  <c r="J15" i="23"/>
  <c r="J17" i="23"/>
  <c r="J14" i="23"/>
  <c r="J16" i="23"/>
  <c r="J7" i="23"/>
  <c r="J9" i="23"/>
  <c r="J10" i="23"/>
  <c r="J8" i="23"/>
  <c r="L3" i="23"/>
  <c r="L4" i="23" s="1"/>
  <c r="K4" i="23"/>
  <c r="D23" i="5"/>
  <c r="C24" i="5" l="1"/>
  <c r="E8" i="5"/>
  <c r="F20" i="5"/>
  <c r="F21" i="5" s="1"/>
  <c r="E20" i="5"/>
  <c r="K7" i="23"/>
  <c r="K9" i="23"/>
  <c r="K8" i="23"/>
  <c r="K10" i="23"/>
  <c r="K14" i="23"/>
  <c r="K16" i="23"/>
  <c r="K15" i="23"/>
  <c r="K17" i="23"/>
  <c r="L7" i="23"/>
  <c r="L9" i="23"/>
  <c r="L16" i="23"/>
  <c r="L8" i="23"/>
  <c r="L10" i="23"/>
  <c r="L14" i="23"/>
  <c r="L17" i="23"/>
  <c r="L15" i="23"/>
  <c r="J18" i="23"/>
  <c r="J11" i="23"/>
  <c r="G7" i="5" s="1"/>
  <c r="G8" i="5" s="1"/>
  <c r="D24" i="5"/>
  <c r="F8" i="5"/>
  <c r="E21" i="5" l="1"/>
  <c r="G20" i="5"/>
  <c r="G21" i="5" s="1"/>
  <c r="G23" i="5" s="1"/>
  <c r="L11" i="23"/>
  <c r="I7" i="5" s="1"/>
  <c r="I8" i="5" s="1"/>
  <c r="K18" i="23"/>
  <c r="H20" i="5" s="1"/>
  <c r="L18" i="23"/>
  <c r="K11" i="23"/>
  <c r="H7" i="5" s="1"/>
  <c r="F23" i="5"/>
  <c r="C5" i="24" l="1"/>
  <c r="D5" i="24"/>
  <c r="C15" i="24"/>
  <c r="E23" i="5"/>
  <c r="I20" i="5"/>
  <c r="I21" i="5" s="1"/>
  <c r="I23" i="5" s="1"/>
  <c r="H8" i="5"/>
  <c r="H21" i="5"/>
  <c r="C16" i="24" s="1"/>
  <c r="E24" i="5" l="1"/>
  <c r="D15" i="24"/>
  <c r="D6" i="24"/>
  <c r="C6" i="24"/>
  <c r="D16" i="24"/>
  <c r="F24" i="5"/>
  <c r="G24" i="5"/>
  <c r="H23" i="5"/>
  <c r="D18" i="24" s="1"/>
  <c r="D19" i="24" s="1"/>
  <c r="C18" i="24" l="1"/>
  <c r="C19" i="24" s="1"/>
  <c r="J24" i="5"/>
  <c r="AA24" i="5"/>
  <c r="K24" i="5"/>
  <c r="AB24" i="5"/>
  <c r="S24" i="5"/>
  <c r="O24" i="5"/>
  <c r="W24" i="5"/>
  <c r="Z24" i="5"/>
  <c r="L24" i="5"/>
  <c r="H24" i="5"/>
  <c r="U24" i="5"/>
  <c r="M24" i="5"/>
  <c r="N24" i="5"/>
  <c r="Y24" i="5"/>
  <c r="R24" i="5"/>
  <c r="X24" i="5"/>
  <c r="I24" i="5"/>
  <c r="V24" i="5"/>
  <c r="Q24" i="5"/>
  <c r="P24" i="5"/>
  <c r="T24" i="5"/>
</calcChain>
</file>

<file path=xl/sharedStrings.xml><?xml version="1.0" encoding="utf-8"?>
<sst xmlns="http://schemas.openxmlformats.org/spreadsheetml/2006/main" count="723" uniqueCount="382">
  <si>
    <t>Transportation</t>
  </si>
  <si>
    <t>Jurisdiction</t>
  </si>
  <si>
    <t>Name of facility</t>
  </si>
  <si>
    <t xml:space="preserve">Address </t>
  </si>
  <si>
    <t>Current ADF MGD</t>
  </si>
  <si>
    <t>Current sludge dry tons</t>
  </si>
  <si>
    <t>Current sludge wet tons</t>
  </si>
  <si>
    <t>trailers per day at 20 wet tons/trailer</t>
  </si>
  <si>
    <t>build out flow MGD</t>
  </si>
  <si>
    <t>Build out sludge dry tons</t>
  </si>
  <si>
    <t>Build out sludge wet tons</t>
  </si>
  <si>
    <t>Disposal method</t>
  </si>
  <si>
    <t>Hauling distance one way in miles</t>
  </si>
  <si>
    <t>Hauling distance to proposed site in miles</t>
  </si>
  <si>
    <t>Orlando</t>
  </si>
  <si>
    <t>Iron Bridge Regional WRF</t>
  </si>
  <si>
    <t>601 Iron Bridge Circle, Oviedo FL 32765</t>
  </si>
  <si>
    <t>land application</t>
  </si>
  <si>
    <t>Water Conserv II WRF</t>
  </si>
  <si>
    <t>5100 L.B. McLeod Road, Orlando, FL 32811</t>
  </si>
  <si>
    <t>Water Conserv I WRF</t>
  </si>
  <si>
    <t>11401 Boggy Creek Road, Orlando, FL 32824</t>
  </si>
  <si>
    <t>planned for SCWO unit</t>
  </si>
  <si>
    <t>coordinates for plant location</t>
  </si>
  <si>
    <t>28.462372762997383, -81.16460040936138</t>
  </si>
  <si>
    <t>Notes</t>
  </si>
  <si>
    <t>Currently hauled to lift station and pumped to Iron Bridge</t>
  </si>
  <si>
    <t>Altamonte Springs</t>
  </si>
  <si>
    <t>Regional WRF</t>
  </si>
  <si>
    <t>Toho Water Authority</t>
  </si>
  <si>
    <t>South Bermuda WRF</t>
  </si>
  <si>
    <t>Sand Hill WRF</t>
  </si>
  <si>
    <t>Cypress West WRF</t>
  </si>
  <si>
    <t>Parkway WRF</t>
  </si>
  <si>
    <t>St. Cloud WRF</t>
  </si>
  <si>
    <t>Field</t>
  </si>
  <si>
    <t>Value</t>
  </si>
  <si>
    <t>Proposed</t>
  </si>
  <si>
    <t>Baseline</t>
  </si>
  <si>
    <t>Plant Construction</t>
  </si>
  <si>
    <t>Total</t>
  </si>
  <si>
    <t>Plant Electrical Consumption</t>
  </si>
  <si>
    <t>days</t>
  </si>
  <si>
    <t>Units</t>
  </si>
  <si>
    <t>metric WTPD</t>
  </si>
  <si>
    <t>kg/MJ</t>
  </si>
  <si>
    <t>kg/h</t>
  </si>
  <si>
    <t>MJ/kg</t>
  </si>
  <si>
    <t>units needed</t>
  </si>
  <si>
    <t>h/yr</t>
  </si>
  <si>
    <t>total kg/h</t>
  </si>
  <si>
    <t>Nominal electricity consumption with expander online (best case)</t>
  </si>
  <si>
    <t>kW</t>
  </si>
  <si>
    <t>CO2</t>
  </si>
  <si>
    <t>kg/short ton</t>
  </si>
  <si>
    <t>miles/trip</t>
  </si>
  <si>
    <t>CH4</t>
  </si>
  <si>
    <t>Year</t>
  </si>
  <si>
    <t>N2O</t>
  </si>
  <si>
    <t>Existing Biosolids Disposal</t>
  </si>
  <si>
    <t>Inert Biosolids Disposal</t>
  </si>
  <si>
    <t>Number of SCWO units</t>
  </si>
  <si>
    <t>units</t>
  </si>
  <si>
    <t>Target calorific value of SCWO digestate</t>
  </si>
  <si>
    <t>SCWO annual operation time</t>
  </si>
  <si>
    <t>Higher heating value of digested biosolids</t>
  </si>
  <si>
    <t>Estimated molar mass of digested biosolids</t>
  </si>
  <si>
    <t>g/mol</t>
  </si>
  <si>
    <t>Mass percent of carbon in digested biosolids</t>
  </si>
  <si>
    <t>Mass percent of hydrogen in digested biosolids</t>
  </si>
  <si>
    <t>Mass percent of oxygen in digested biosolids</t>
  </si>
  <si>
    <t>Mass percent of nitrogen in digested biosolids</t>
  </si>
  <si>
    <t>Molar mass of carbon</t>
  </si>
  <si>
    <t>Molar mass of hydrogen</t>
  </si>
  <si>
    <t>Molar mass of oxygen</t>
  </si>
  <si>
    <t>Molar mass of nitrogen</t>
  </si>
  <si>
    <t>kg/day</t>
  </si>
  <si>
    <t>tons/day</t>
  </si>
  <si>
    <t>SCWO wet treatment capacity needed</t>
  </si>
  <si>
    <t>SCWO units</t>
  </si>
  <si>
    <t>SCWO nominal wet flow rate</t>
  </si>
  <si>
    <t>Supercritical Water Oxidation (SCWO)</t>
  </si>
  <si>
    <t>kg/kg digestate</t>
  </si>
  <si>
    <r>
      <t>N</t>
    </r>
    <r>
      <rPr>
        <vertAlign val="subscript"/>
        <sz val="12"/>
        <color theme="1"/>
        <rFont val="Calibri (Body)"/>
      </rPr>
      <t>2</t>
    </r>
    <r>
      <rPr>
        <sz val="12"/>
        <color theme="1"/>
        <rFont val="Calibri (Body)"/>
      </rPr>
      <t xml:space="preserve"> generation</t>
    </r>
  </si>
  <si>
    <r>
      <t>H</t>
    </r>
    <r>
      <rPr>
        <vertAlign val="subscript"/>
        <sz val="12"/>
        <color theme="1"/>
        <rFont val="Calibri (Body)"/>
      </rPr>
      <t>2</t>
    </r>
    <r>
      <rPr>
        <sz val="12"/>
        <color theme="1"/>
        <rFont val="Calibri (Body)"/>
      </rPr>
      <t>O generation</t>
    </r>
  </si>
  <si>
    <r>
      <t>CO</t>
    </r>
    <r>
      <rPr>
        <vertAlign val="subscript"/>
        <sz val="12"/>
        <color theme="1"/>
        <rFont val="Calibri (Body)"/>
      </rPr>
      <t>2</t>
    </r>
    <r>
      <rPr>
        <sz val="12"/>
        <color theme="1"/>
        <rFont val="Calibri (Body)"/>
      </rPr>
      <t xml:space="preserve"> generation</t>
    </r>
  </si>
  <si>
    <t>SCWO max wet flow rate per unit</t>
  </si>
  <si>
    <t>SCWO wet treatment capacity needed per unit</t>
  </si>
  <si>
    <t>Heat and trim fuel used (diesel)</t>
  </si>
  <si>
    <t>gal/year</t>
  </si>
  <si>
    <t>hours</t>
  </si>
  <si>
    <t>kg/gal</t>
  </si>
  <si>
    <t>kg/kWh</t>
  </si>
  <si>
    <t>Plant Diesel Consumption</t>
  </si>
  <si>
    <t>kg per short ton</t>
  </si>
  <si>
    <t>short tons</t>
  </si>
  <si>
    <t>biosolids weight per truckload</t>
  </si>
  <si>
    <t>Anaerobic Digestion (AD) Plant</t>
  </si>
  <si>
    <t>Biomass facility electrical consumption</t>
  </si>
  <si>
    <t>kWh/Nm3 biogas</t>
  </si>
  <si>
    <t>AD plant BMP</t>
  </si>
  <si>
    <t>Nm3</t>
  </si>
  <si>
    <t>AD plant biogas</t>
  </si>
  <si>
    <t>Site general NG consumption</t>
  </si>
  <si>
    <t>Uptime</t>
  </si>
  <si>
    <t>kWh/metric tonne biomass</t>
  </si>
  <si>
    <t xml:space="preserve">kwh/Nm3 </t>
  </si>
  <si>
    <t>Electricity needed for CO2 liquification</t>
  </si>
  <si>
    <t>Thermal energy needed per short ton of biomass, if SCWO offline</t>
  </si>
  <si>
    <t>SCWO plant initialization</t>
  </si>
  <si>
    <t>Trips per day</t>
  </si>
  <si>
    <t>Daily distance to new plant</t>
  </si>
  <si>
    <t>Diesel truck fuel economy</t>
  </si>
  <si>
    <t>CNG truck fuel economy</t>
  </si>
  <si>
    <t>Daily distance to existing plant (baseline case)</t>
  </si>
  <si>
    <t>miles/GGE</t>
  </si>
  <si>
    <t>miles/DGE</t>
  </si>
  <si>
    <t>short tons/DGE</t>
  </si>
  <si>
    <t>short tons/GGE</t>
  </si>
  <si>
    <t>kWh/short ton</t>
  </si>
  <si>
    <t>Wet sludge per day [short tons]</t>
  </si>
  <si>
    <t>Baseline case daily fuel use [diesel gallons]</t>
  </si>
  <si>
    <t>Proposed case daily fuel use [GGE]</t>
  </si>
  <si>
    <t>AD plant biomass processing daily energy use [kWh]</t>
  </si>
  <si>
    <t>AD plant daily biogas production [Nm3]</t>
  </si>
  <si>
    <t>short tons per metric tonne</t>
  </si>
  <si>
    <t>Nm3 methane/metric tonne</t>
  </si>
  <si>
    <t>AD plant daily methane production [Nm3]</t>
  </si>
  <si>
    <t>AD plant gas upgrading daily energy use [kWh]</t>
  </si>
  <si>
    <t>AD plant total daily energy use [kWh]</t>
  </si>
  <si>
    <t>Ratio of dry tons to wet tons in raw SCWO biosolids</t>
  </si>
  <si>
    <t>Ratio of wet tons to dry tons in dewatered SCWO biosolids</t>
  </si>
  <si>
    <t>Dry tons per day raw</t>
  </si>
  <si>
    <t>Wet tons per day dewatered</t>
  </si>
  <si>
    <t>AD plant daily heating requirement [kWh]</t>
  </si>
  <si>
    <t>AD plant daily fugitive methane emissions [Nm3]</t>
  </si>
  <si>
    <t>AD plant annual energy use [kWh]</t>
  </si>
  <si>
    <t>AD plant annual fugitive methane emissions [Nm3]</t>
  </si>
  <si>
    <t>AD plant CO2 liquification daily energy use [kWh]</t>
  </si>
  <si>
    <t>AD plant daily incoming wet sludge [short tons]</t>
  </si>
  <si>
    <t>SCWO plant daily incoming dry sludge [short tons]</t>
  </si>
  <si>
    <t>SCWO plant hourly flow rate [kg/hour]</t>
  </si>
  <si>
    <t>hours per day</t>
  </si>
  <si>
    <t>hours/day</t>
  </si>
  <si>
    <t>SCWO annual net energy use [kWh]</t>
  </si>
  <si>
    <t>Whole plant net energy use [kWh]</t>
  </si>
  <si>
    <t>SCWO annual waste heat provided to AD [kWh]</t>
  </si>
  <si>
    <t>CO2 eq for methane</t>
  </si>
  <si>
    <t>GWP</t>
  </si>
  <si>
    <t>short tons/tonne</t>
  </si>
  <si>
    <t>950 keller Rd, Altamonte springs, FL 32773</t>
  </si>
  <si>
    <t xml:space="preserve">Land aplication </t>
  </si>
  <si>
    <t>kg/Nm3</t>
  </si>
  <si>
    <t>mol/Nm3</t>
  </si>
  <si>
    <t>Density of Methane under normal (0C, 1atm) conditions</t>
  </si>
  <si>
    <t>Molar volume of Methane under normal conditions</t>
  </si>
  <si>
    <t>Density of CO2 under normal (0C, 1atm) conditions</t>
  </si>
  <si>
    <t>Plant Fugitive Emissions</t>
  </si>
  <si>
    <t>Plant Feedstock Oxidation</t>
  </si>
  <si>
    <t>CO2 eq for N20</t>
  </si>
  <si>
    <t>[metric tonnes]</t>
  </si>
  <si>
    <t>8200 Sand Hill Rd, Kissimmee, FL 34747</t>
  </si>
  <si>
    <t>1616 S. John Young Parkway, Kissimmee, FL 34741</t>
  </si>
  <si>
    <t>4601 Rhododendron Avenue, Kissimmee, FL 34758</t>
  </si>
  <si>
    <t>2550 Fortune Road, Kissimmee, FL, 34744</t>
  </si>
  <si>
    <t>5701 Michigan Avenue, St Cloud, FL 34769</t>
  </si>
  <si>
    <t>methane by volume</t>
  </si>
  <si>
    <t>[kg]</t>
  </si>
  <si>
    <t>Concrete</t>
  </si>
  <si>
    <t>Steel</t>
  </si>
  <si>
    <t>ft2</t>
  </si>
  <si>
    <t>ft3</t>
  </si>
  <si>
    <t>Reception Hall</t>
  </si>
  <si>
    <t>SWCOP Building</t>
  </si>
  <si>
    <t>Office Building</t>
  </si>
  <si>
    <t>Pump/Process Rooms</t>
  </si>
  <si>
    <t>Tank &amp; Equipment Foundations</t>
  </si>
  <si>
    <t>(additional allowance approx 20 %)</t>
  </si>
  <si>
    <t>GHG emissions per gallon of diesel burned in SCWO</t>
  </si>
  <si>
    <t>GHG emissions from grid</t>
  </si>
  <si>
    <t>GHG emissions from steel</t>
  </si>
  <si>
    <t>Days of construction</t>
  </si>
  <si>
    <t>Hours of work per day</t>
  </si>
  <si>
    <t>Construction vehicles onsite</t>
  </si>
  <si>
    <t>vehicles</t>
  </si>
  <si>
    <t>gal/hour</t>
  </si>
  <si>
    <t>Construction vehicle diesel consumption</t>
  </si>
  <si>
    <t>Construction diesel used</t>
  </si>
  <si>
    <t>Construction fuel GHG emissions</t>
  </si>
  <si>
    <t>gal</t>
  </si>
  <si>
    <t>kg CO2</t>
  </si>
  <si>
    <t>kg/ft3</t>
  </si>
  <si>
    <t>Baseline case daily emissions [kg CO2 eq]</t>
  </si>
  <si>
    <t>Proposed case daily emissions [kg CO2 eq]</t>
  </si>
  <si>
    <t>Baseline case annual emissions [kg CO2 eq]</t>
  </si>
  <si>
    <t>Proposed case annual emissions [kg CO2 eq]</t>
  </si>
  <si>
    <t>AD plant annual fugitive methane emissions equivalent [kg CO2 eq.]</t>
  </si>
  <si>
    <t>AD plant annual CO2 emissions from offgassed CO2 [kg CO2]</t>
  </si>
  <si>
    <t>AD plant annual CO2 emissions from flared methane [kg CO2]</t>
  </si>
  <si>
    <t>SCWO plant annual CO2 emissions from feedstock oxidation [kg CO2]</t>
  </si>
  <si>
    <t>SCWO annual CO2 emissions from diesel startup/trim fuel [kg CO2]</t>
  </si>
  <si>
    <t>Whole plant annual CO2 emissions from electricity [kg CO2]</t>
  </si>
  <si>
    <t>SUM [kg]</t>
  </si>
  <si>
    <t>kg/kg</t>
  </si>
  <si>
    <t>CONSTANTS</t>
  </si>
  <si>
    <t>CALCULATIONS</t>
  </si>
  <si>
    <t>[mt]</t>
  </si>
  <si>
    <t>Budget</t>
  </si>
  <si>
    <t>[$/mt]</t>
  </si>
  <si>
    <t>Proposed case total daily distance (to existing plant for first 2 years, then to new plant with additional distance associated with land app of post scwo solids) [miles]</t>
  </si>
  <si>
    <t>BASELINE</t>
  </si>
  <si>
    <t>PROPOSED</t>
  </si>
  <si>
    <t>Estimated molar ratio of carbon in digestate</t>
  </si>
  <si>
    <t>Estimated molar ratio of hydrogen in digestate</t>
  </si>
  <si>
    <t>Estimated molar ratio of oxygen in digestate</t>
  </si>
  <si>
    <t>Estimated molar ratio of nitrogen in digestate</t>
  </si>
  <si>
    <t>Current</t>
  </si>
  <si>
    <t>2025-2030</t>
  </si>
  <si>
    <t>2025-2050</t>
  </si>
  <si>
    <t>Seminole County</t>
  </si>
  <si>
    <t>Greenwood Lakes WRF</t>
  </si>
  <si>
    <t>701 Green Way Blvd, Lake Mary, FL 32746-3754</t>
  </si>
  <si>
    <t>Landfill</t>
  </si>
  <si>
    <t>Yankee Lake WRF</t>
  </si>
  <si>
    <t>501 Yankee Lake Rd, Sanford, FL 32771</t>
  </si>
  <si>
    <t>Construction</t>
  </si>
  <si>
    <t>Gas upgrading electrical consumption</t>
  </si>
  <si>
    <t>Biomass facility NG consumption</t>
  </si>
  <si>
    <t>Landfill Cap</t>
  </si>
  <si>
    <t>Landfill gas methane content</t>
  </si>
  <si>
    <t>Collection efficiency with cap</t>
  </si>
  <si>
    <t>Collection efficiency without cap</t>
  </si>
  <si>
    <t>minutes</t>
  </si>
  <si>
    <t>cubic feet per cubic meter</t>
  </si>
  <si>
    <t>ft3/m3</t>
  </si>
  <si>
    <t>by volume</t>
  </si>
  <si>
    <t>Fugitive methane, no cap [kg]</t>
  </si>
  <si>
    <t>Fugitive methane, with cap [kg]</t>
  </si>
  <si>
    <t>Fugitive Landfill Emissions, No Cap</t>
  </si>
  <si>
    <t>Fugitive Landfill Emissions, With Cap</t>
  </si>
  <si>
    <t>Landfill gas flow rate [scfm]</t>
  </si>
  <si>
    <t>Landfill gas, annual [Nm3]</t>
  </si>
  <si>
    <t>Captured methane, flared, no cap [kg]</t>
  </si>
  <si>
    <t>Captured methane, flared, with cap [kg]</t>
  </si>
  <si>
    <t>NOx</t>
  </si>
  <si>
    <t>PM10</t>
  </si>
  <si>
    <t>PM10 (TBW)</t>
  </si>
  <si>
    <t>PM2.5</t>
  </si>
  <si>
    <t>PM2.5 (TBW)</t>
  </si>
  <si>
    <t>VOC</t>
  </si>
  <si>
    <t>VOC (Evap)</t>
  </si>
  <si>
    <t>SOx</t>
  </si>
  <si>
    <t>All</t>
  </si>
  <si>
    <t>CNG</t>
  </si>
  <si>
    <t>NOx emissions per mile, baseline diesel</t>
  </si>
  <si>
    <t>PM10 emissions per mile, baseline diesel</t>
  </si>
  <si>
    <t>PM10 (TBW) emissions per mile, baseline diesel</t>
  </si>
  <si>
    <t>PM2.5 emissions per mile, baseline diesel</t>
  </si>
  <si>
    <t>PM2.5 (TBW) emissions per mile, baseline diesel</t>
  </si>
  <si>
    <t>VOC emissions per mile, baseline diesel</t>
  </si>
  <si>
    <t>VOC (Evap) emissions per mile, baseline diesel</t>
  </si>
  <si>
    <t>lb/DGE</t>
  </si>
  <si>
    <t>lb/mile</t>
  </si>
  <si>
    <t>NOx emissions per mile, proposed CNG</t>
  </si>
  <si>
    <t>PM10 emissions per mile, proposed CNG</t>
  </si>
  <si>
    <t>PM10 (TBW) emissions per mile, proposed CNG</t>
  </si>
  <si>
    <t>PM2.5 emissions per mile, proposed CNG</t>
  </si>
  <si>
    <t>PM2.5 (TBW) emissions per mile, proposed CNG</t>
  </si>
  <si>
    <t>VOC emissions per mile, proposed CNG</t>
  </si>
  <si>
    <t>VOC (Evap) emissions per mile, proposed CNG</t>
  </si>
  <si>
    <t>SOx emissions per GGE, CNG vehicles</t>
  </si>
  <si>
    <t>SOx emissions per DGE, diesel vehicles</t>
  </si>
  <si>
    <t>lb/GGE</t>
  </si>
  <si>
    <t>Baseline Case [lbs]</t>
  </si>
  <si>
    <t>Proposed Case [lbs]</t>
  </si>
  <si>
    <t>Reduction [lbs]</t>
  </si>
  <si>
    <t>Captured CO2, released through flare, no cap [kg]</t>
  </si>
  <si>
    <t>Tailpipe GHG emissions per DGE, diesel vehicles</t>
  </si>
  <si>
    <t>Tailpipe GHG emissions per GGE, CNG vehicles</t>
  </si>
  <si>
    <t>AD plant daily fugitive biogas emissions [Nm3]</t>
  </si>
  <si>
    <t>AD plant annual offgassed CO2 during downtime [Nm3]</t>
  </si>
  <si>
    <t>AD plant annual flared methane during downtime [Nm3]</t>
  </si>
  <si>
    <t>AD plant daily fugitive CO2 emissions [Nm3]</t>
  </si>
  <si>
    <t>AD plant daily CO2 liquefaction [Nm3]</t>
  </si>
  <si>
    <t>AD plant annual fugitive CO2 emissions [Nm3]</t>
  </si>
  <si>
    <t>AD plant annual fugitive CO2 emissions [kg]</t>
  </si>
  <si>
    <t>AD plant annual fugitive emissions [kg CO2 eq.]</t>
  </si>
  <si>
    <t>Plant Flared/Offgassed Emissions</t>
  </si>
  <si>
    <t>Fugitive CO2, no cap [kg]</t>
  </si>
  <si>
    <t>CO2 eq of methane, no cap [kg CO2eq]</t>
  </si>
  <si>
    <t>hours per year</t>
  </si>
  <si>
    <t>minutes per hour</t>
  </si>
  <si>
    <t>days per year</t>
  </si>
  <si>
    <t>Nm3/hr per scfm</t>
  </si>
  <si>
    <t>Nm3/hr</t>
  </si>
  <si>
    <t>Captured CO2, released through flare, with cap [kg]</t>
  </si>
  <si>
    <t>Fugitive CO2, with cap [kg]</t>
  </si>
  <si>
    <t>CO2 eq of methane, with cap [kg CO2eq]</t>
  </si>
  <si>
    <t>Existing Transportation (Diesel)</t>
  </si>
  <si>
    <t>Transportation to New Plant (CNG)</t>
  </si>
  <si>
    <t>ft</t>
  </si>
  <si>
    <t>Thickness of concrete</t>
  </si>
  <si>
    <t>Proportion of rebar by volume in concrete</t>
  </si>
  <si>
    <t>GHG emissions from cement</t>
  </si>
  <si>
    <t>Proportion of cement by volume in concrete</t>
  </si>
  <si>
    <t>Fugitive biogas emissions by volume</t>
  </si>
  <si>
    <t>Density of steel</t>
  </si>
  <si>
    <t>Mass of steel</t>
  </si>
  <si>
    <t>Cubic feet of cement</t>
  </si>
  <si>
    <t>[ft3]</t>
  </si>
  <si>
    <t>Cubic feet of concrete</t>
  </si>
  <si>
    <t>Mass of cement</t>
  </si>
  <si>
    <t>Cement GHG emissions</t>
  </si>
  <si>
    <t>Steel GHG emissions</t>
  </si>
  <si>
    <t>[kg/yr]</t>
  </si>
  <si>
    <t>Density of cement</t>
  </si>
  <si>
    <t>Years of construction</t>
  </si>
  <si>
    <t>years</t>
  </si>
  <si>
    <t>Calculation</t>
  </si>
  <si>
    <t>Unit</t>
  </si>
  <si>
    <t>Unit Conversions</t>
  </si>
  <si>
    <t>Material Properties</t>
  </si>
  <si>
    <t>hauling distance from new plant to land application site</t>
  </si>
  <si>
    <t>Emissions Factors</t>
  </si>
  <si>
    <t>Total annual construction GHG emissions</t>
  </si>
  <si>
    <t>Annual CO2 emissions (kg)</t>
  </si>
  <si>
    <t>Annual CH4 emissions (kg)</t>
  </si>
  <si>
    <t>Annual N2O emissions (kg)</t>
  </si>
  <si>
    <t>Toho</t>
  </si>
  <si>
    <t>Iron Bridge Regional</t>
  </si>
  <si>
    <t xml:space="preserve">Water Conserv II </t>
  </si>
  <si>
    <t xml:space="preserve">Water Conserv I </t>
  </si>
  <si>
    <t>Sand Hill</t>
  </si>
  <si>
    <t>South Bermuda</t>
  </si>
  <si>
    <t>Cypress West</t>
  </si>
  <si>
    <t>Parkway</t>
  </si>
  <si>
    <t>Southside</t>
  </si>
  <si>
    <t>Regional</t>
  </si>
  <si>
    <t>Greenwood Lakes</t>
  </si>
  <si>
    <t>Yankee Lake</t>
  </si>
  <si>
    <t>Years</t>
  </si>
  <si>
    <t>TOTALS</t>
  </si>
  <si>
    <t>Without SCWO</t>
  </si>
  <si>
    <t>Sum</t>
  </si>
  <si>
    <t>Growth Factor</t>
  </si>
  <si>
    <t>[short tons]</t>
  </si>
  <si>
    <t>Annual Reduction</t>
  </si>
  <si>
    <t>Cumulative Reduction</t>
  </si>
  <si>
    <t>Cost Effectiveness</t>
  </si>
  <si>
    <t>Period</t>
  </si>
  <si>
    <t>Total Reduction</t>
  </si>
  <si>
    <t>Facility</t>
  </si>
  <si>
    <t>Proposed Case - With Cap</t>
  </si>
  <si>
    <t>Baseline Case - No Cap</t>
  </si>
  <si>
    <t>Quantities</t>
  </si>
  <si>
    <t>With SCWO</t>
  </si>
  <si>
    <t>Includes waste from Camelot &amp; Harmony WRFs</t>
  </si>
  <si>
    <t>Includes waste from Walnut Drive &amp; Cypress West</t>
  </si>
  <si>
    <t>Includes lime addition</t>
  </si>
  <si>
    <t>Diesel</t>
  </si>
  <si>
    <t>Criteria Pollutants</t>
  </si>
  <si>
    <r>
      <t>·</t>
    </r>
    <r>
      <rPr>
        <sz val="7"/>
        <color theme="1"/>
        <rFont val="Times New Roman"/>
        <family val="1"/>
      </rPr>
      <t xml:space="preserve">       </t>
    </r>
    <r>
      <rPr>
        <sz val="11"/>
        <color theme="1"/>
        <rFont val="Calibri"/>
        <family val="2"/>
        <scheme val="minor"/>
      </rPr>
      <t>North East Biosolids and Residuals Association (NEBRA), Northern Tilth LLC, and Northwest Biosolids, 2022. Estimating greenhouse gas emissions from biosolids management. BEAM*2022 spreadsheet model and supporting information, https://www.BiosolidsGHGs.org. Accessed March 20, 2024.</t>
    </r>
  </si>
  <si>
    <r>
      <t>·</t>
    </r>
    <r>
      <rPr>
        <sz val="7"/>
        <color theme="1"/>
        <rFont val="Times New Roman"/>
        <family val="1"/>
      </rPr>
      <t xml:space="preserve">       </t>
    </r>
    <r>
      <rPr>
        <sz val="11"/>
        <color theme="1"/>
        <rFont val="Calibri"/>
        <family val="2"/>
        <scheme val="minor"/>
      </rPr>
      <t>Brown, Sally, Ned Beecher, and Andrew Carpenter. "Calculator tool for determining greenhouse gas emissions for biosolids processing and end use." Environmental science &amp; technology 44, no. 24 (2010): 9509-9515.</t>
    </r>
  </si>
  <si>
    <r>
      <t>·</t>
    </r>
    <r>
      <rPr>
        <sz val="7"/>
        <color theme="1"/>
        <rFont val="Times New Roman"/>
        <family val="1"/>
      </rPr>
      <t xml:space="preserve">       </t>
    </r>
    <r>
      <rPr>
        <sz val="11"/>
        <color theme="1"/>
        <rFont val="Calibri"/>
        <family val="2"/>
        <scheme val="minor"/>
      </rPr>
      <t>Yoshida, H., Christensen, T.H., Scheutz, C., 2013. Life cycle assessment of sewage sludge management: a review. Waste Manag. Res. 31 (11), 1083e1101.</t>
    </r>
  </si>
  <si>
    <r>
      <t>·</t>
    </r>
    <r>
      <rPr>
        <sz val="7"/>
        <color theme="1"/>
        <rFont val="Times New Roman"/>
        <family val="1"/>
      </rPr>
      <t xml:space="preserve">       </t>
    </r>
    <r>
      <rPr>
        <sz val="11"/>
        <color theme="1"/>
        <rFont val="Calibri"/>
        <family val="2"/>
        <scheme val="minor"/>
      </rPr>
      <t>Alvarez-Gaitan, Juan Pablo, Michael D. Short, Sven Lundie, and Richard Stuetz. "Towards a comprehensive greenhouse gas emissions inventory for biosolids." Water Research 96 (2016): 299-307.</t>
    </r>
  </si>
  <si>
    <r>
      <t>·</t>
    </r>
    <r>
      <rPr>
        <sz val="7"/>
        <color theme="1"/>
        <rFont val="Times New Roman"/>
        <family val="1"/>
      </rPr>
      <t xml:space="preserve">       </t>
    </r>
    <r>
      <rPr>
        <sz val="11"/>
        <color theme="1"/>
        <rFont val="Calibri"/>
        <family val="2"/>
        <scheme val="minor"/>
      </rPr>
      <t>Murray, A., Horvath, A., Nelson, K.L., 2008. Hybrid life-cycle environmental and cost inventory of sewage sludge treatment and end-use scenarios: a case study from China. Environ. Sci. Technol. 42 (9), 3163e3169.</t>
    </r>
  </si>
  <si>
    <r>
      <t>·</t>
    </r>
    <r>
      <rPr>
        <sz val="7"/>
        <color theme="1"/>
        <rFont val="Times New Roman"/>
        <family val="1"/>
      </rPr>
      <t xml:space="preserve">       </t>
    </r>
    <r>
      <rPr>
        <sz val="11"/>
        <color theme="1"/>
        <rFont val="Calibri"/>
        <family val="2"/>
        <scheme val="minor"/>
      </rPr>
      <t>Peters, G.M., Rowley, H.V., 2009. Environmental comparison of biosolids management systems using life cycle assessment. Environ. Sci. Technol. 43 (8), 2674e2679.</t>
    </r>
  </si>
  <si>
    <r>
      <t>·</t>
    </r>
    <r>
      <rPr>
        <sz val="7"/>
        <color theme="1"/>
        <rFont val="Times New Roman"/>
        <family val="1"/>
      </rPr>
      <t xml:space="preserve">       </t>
    </r>
    <r>
      <rPr>
        <sz val="11"/>
        <color theme="1"/>
        <rFont val="Calibri"/>
        <family val="2"/>
        <scheme val="minor"/>
      </rPr>
      <t>Brown, S., Beecher, N., Carpenter, A., 2010. Calculator tool for determining greenhouse gas emissions for biosolids processing and end use. Environ. Sci. Technol. 44 (24), 9509e9515.</t>
    </r>
  </si>
  <si>
    <r>
      <t>·</t>
    </r>
    <r>
      <rPr>
        <sz val="7"/>
        <color theme="1"/>
        <rFont val="Times New Roman"/>
        <family val="1"/>
      </rPr>
      <t xml:space="preserve">       </t>
    </r>
    <r>
      <rPr>
        <sz val="11"/>
        <color theme="1"/>
        <rFont val="Calibri"/>
        <family val="2"/>
        <scheme val="minor"/>
      </rPr>
      <t>Yang, G., Zhang, G., Wang, H., 2015. Current state of sludge production, management, treatment and disposal in China. Water Res. 78, 60e73.</t>
    </r>
  </si>
  <si>
    <r>
      <t>·</t>
    </r>
    <r>
      <rPr>
        <sz val="7"/>
        <color theme="1"/>
        <rFont val="Times New Roman"/>
        <family val="1"/>
      </rPr>
      <t xml:space="preserve">       </t>
    </r>
    <r>
      <rPr>
        <sz val="11"/>
        <color theme="1"/>
        <rFont val="Calibri"/>
        <family val="2"/>
        <scheme val="minor"/>
      </rPr>
      <t>Burke-Wells, Janine. 2022. BeAm*2022—measuring biosolids impacts on climate change and resiliency. https://static1.squarespace.com/static/61d0b90eeb12844d9beba930/t/65708a418eaea146c224e8a1/1701874241849/BEAM2022-Journal.pdf. Accessed March 20, 2024.</t>
    </r>
  </si>
  <si>
    <r>
      <t>·</t>
    </r>
    <r>
      <rPr>
        <sz val="7"/>
        <color theme="1"/>
        <rFont val="Times New Roman"/>
        <family val="1"/>
      </rPr>
      <t xml:space="preserve">       </t>
    </r>
    <r>
      <rPr>
        <sz val="11"/>
        <color theme="1"/>
        <rFont val="Calibri"/>
        <family val="2"/>
        <scheme val="minor"/>
      </rPr>
      <t>Obi-Njoku, Okenna. Estimating greenhouse gas emissions from land-applied biosolids in Canada: A mathematical modelling approach. McGill University (Canada), 2021.</t>
    </r>
  </si>
  <si>
    <r>
      <t>·</t>
    </r>
    <r>
      <rPr>
        <sz val="7"/>
        <color theme="1"/>
        <rFont val="Times New Roman"/>
        <family val="1"/>
      </rPr>
      <t xml:space="preserve">       </t>
    </r>
    <r>
      <rPr>
        <sz val="11"/>
        <color theme="1"/>
        <rFont val="Calibri"/>
        <family val="2"/>
        <scheme val="minor"/>
      </rPr>
      <t>Czepiel, Peter, Ellen Douglas, Robert Harriss, and Patrick Crill. "Measurements of N2O from composted organic wastes." Environmental Science &amp; Technology 30, no. 8 (1996): 2519-2525.</t>
    </r>
  </si>
  <si>
    <r>
      <t>·</t>
    </r>
    <r>
      <rPr>
        <sz val="7"/>
        <color theme="1"/>
        <rFont val="Times New Roman"/>
        <family val="1"/>
      </rPr>
      <t xml:space="preserve">       </t>
    </r>
    <r>
      <rPr>
        <sz val="11"/>
        <color theme="1"/>
        <rFont val="Calibri"/>
        <family val="2"/>
        <scheme val="minor"/>
      </rPr>
      <t>Levis, James W., and Morton A. Barlaz. "Composting process model documentation." (2013). Retrieved May 25: 2024.</t>
    </r>
  </si>
  <si>
    <r>
      <t>·</t>
    </r>
    <r>
      <rPr>
        <sz val="7"/>
        <color theme="1"/>
        <rFont val="Times New Roman"/>
        <family val="1"/>
      </rPr>
      <t xml:space="preserve">       </t>
    </r>
    <r>
      <rPr>
        <sz val="11"/>
        <color theme="1"/>
        <rFont val="Calibri"/>
        <family val="2"/>
        <scheme val="minor"/>
      </rPr>
      <t>Hunt, Derek, Shabtai Bittman, Martin Chantigny, and Reynald Lemke. "Year-round N2O emissions from long-term applications of whole and separated liquid dairy slurry on a perennial grass sward and strategies for mitigation." Frontiers in Sustainable Food Systems 3 (2019): 86.</t>
    </r>
  </si>
  <si>
    <r>
      <t>·</t>
    </r>
    <r>
      <rPr>
        <sz val="7"/>
        <color theme="1"/>
        <rFont val="Times New Roman"/>
        <family val="1"/>
      </rPr>
      <t xml:space="preserve">       </t>
    </r>
    <r>
      <rPr>
        <sz val="11"/>
        <color theme="1"/>
        <rFont val="Calibri"/>
        <family val="2"/>
        <scheme val="minor"/>
      </rPr>
      <t>Willén, Agnes, Håkan Jönsson, Mikael Pell, and Lena Rodhe. "Emissions of nitrous oxide, methane and ammonia after field application of digested and dewatered sewage sludge with or without addition of urea." Waste and biomass valorization 7 (2016): 281-292.</t>
    </r>
  </si>
  <si>
    <r>
      <t>·</t>
    </r>
    <r>
      <rPr>
        <sz val="7"/>
        <color theme="1"/>
        <rFont val="Times New Roman"/>
        <family val="1"/>
      </rPr>
      <t xml:space="preserve">       </t>
    </r>
    <r>
      <rPr>
        <sz val="11"/>
        <color theme="1"/>
        <rFont val="Calibri"/>
        <family val="2"/>
        <scheme val="minor"/>
      </rPr>
      <t>Hergoualc'h, Kristell, Hiroko Akiyama, Martial Bernoux, Ngonidzashe Chirinda, Agustin del Prado, Åsa Kasimir, James Douglas MacDonald, Stephen Michael Ogle, Kristiina Regina, and Tony John van der Weerden. "N2O emissions from managed soils, and CO2 emissions from lime and urea application." (2019).</t>
    </r>
  </si>
  <si>
    <r>
      <t>·</t>
    </r>
    <r>
      <rPr>
        <sz val="7"/>
        <color theme="1"/>
        <rFont val="Times New Roman"/>
        <family val="1"/>
      </rPr>
      <t xml:space="preserve">       </t>
    </r>
    <r>
      <rPr>
        <sz val="11"/>
        <color theme="1"/>
        <rFont val="Calibri"/>
        <family val="2"/>
        <scheme val="minor"/>
      </rPr>
      <t xml:space="preserve">IPCC, 2013: </t>
    </r>
    <r>
      <rPr>
        <i/>
        <sz val="11"/>
        <color theme="1"/>
        <rFont val="Calibri"/>
        <family val="2"/>
        <scheme val="minor"/>
      </rPr>
      <t>Climate Change 2013: The Physical Science Basis. Contribution of Working Group I to the Fifth Assessment Report of the Intergovernmental Panel on Climate Change</t>
    </r>
    <r>
      <rPr>
        <sz val="11"/>
        <color theme="1"/>
        <rFont val="Calibri"/>
        <family val="2"/>
        <scheme val="minor"/>
      </rPr>
      <t xml:space="preserve"> [Stocker, T.F., D. Qin, G.-K. Plattner, M. Tignor, S.K. Allen, J. Boschung, A. Nauels, Y. Xia, V. Bex and P.M. Midgley (eds.)]. Cambridge University Press, Cambridge, United Kingdom and New York, NY, USA, 1535 pp.</t>
    </r>
  </si>
  <si>
    <r>
      <t>·</t>
    </r>
    <r>
      <rPr>
        <sz val="7"/>
        <color theme="1"/>
        <rFont val="Times New Roman"/>
        <family val="1"/>
      </rPr>
      <t xml:space="preserve">       </t>
    </r>
    <r>
      <rPr>
        <sz val="11"/>
        <color theme="1"/>
        <rFont val="Calibri"/>
        <family val="2"/>
        <scheme val="minor"/>
      </rPr>
      <t xml:space="preserve">Pierson, Rachel &amp; John-Michael Cross. “Fact Sheet on Landfill Methane.” Environmental and Energy Study Institute, Washington, DC. May 2013. </t>
    </r>
  </si>
  <si>
    <r>
      <t>·</t>
    </r>
    <r>
      <rPr>
        <sz val="7"/>
        <color theme="1"/>
        <rFont val="Times New Roman"/>
        <family val="1"/>
      </rPr>
      <t xml:space="preserve">       </t>
    </r>
    <r>
      <rPr>
        <sz val="11"/>
        <color theme="1"/>
        <rFont val="Calibri"/>
        <family val="2"/>
        <scheme val="minor"/>
      </rPr>
      <t xml:space="preserve">United States Environmental Protection Agency (EPA). “U.S. Cement Industry Carbon Intensities (2019).” EPA 430-F-21-004. October, 2021. </t>
    </r>
  </si>
  <si>
    <r>
      <t>·</t>
    </r>
    <r>
      <rPr>
        <sz val="7"/>
        <color theme="1"/>
        <rFont val="Times New Roman"/>
        <family val="1"/>
      </rPr>
      <t xml:space="preserve">       </t>
    </r>
    <r>
      <rPr>
        <sz val="11"/>
        <color theme="1"/>
        <rFont val="Calibri"/>
        <family val="2"/>
        <scheme val="minor"/>
      </rPr>
      <t>Hoffman, Christian, Michel Van Hoey, Benedikt Zeumer. “Decarbonization Challenge for Steel.” McKinsey &amp; Company, June 3, 2021. https://www.mckinsey.com/industries/metals-and-mining/our-insights/decarbonization-challenge-for-steel#/. Accessed March 25, 2024.</t>
    </r>
  </si>
  <si>
    <r>
      <t>·</t>
    </r>
    <r>
      <rPr>
        <sz val="7"/>
        <color theme="1"/>
        <rFont val="Times New Roman"/>
        <family val="1"/>
      </rPr>
      <t xml:space="preserve">       </t>
    </r>
    <r>
      <rPr>
        <sz val="11"/>
        <color theme="1"/>
        <rFont val="Calibri"/>
        <family val="2"/>
        <scheme val="minor"/>
      </rPr>
      <t>United States Environmental Protection Agency (EPA). “Emissions &amp; Generation Resource Integrated Database (eGRID), 2022.” Office of Atmospheric Protection, Clean Air Markets Division, 2024, Washington DC. https://www.epa.gov/egrid.</t>
    </r>
  </si>
  <si>
    <t>Bibliography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</si>
</sst>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0.000"/>
    <numFmt numFmtId="165" formatCode="#,##0.0"/>
    <numFmt numFmtId="166" formatCode="0.0%"/>
    <numFmt numFmtId="167" formatCode="0.0"/>
    <numFmt numFmtId="168" formatCode="0.0000"/>
    <numFmt numFmtId="169" formatCode="0.000000000000000%"/>
    <numFmt numFmtId="170" formatCode="[$-F400]h:mm:ss\ AM/PM"/>
  </numFmts>
  <fonts count="24" x14ac:knownFonts="1">
    <font>
      <sz val="12"/>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sz val="10"/>
      <name val="Arial"/>
      <family val="2"/>
    </font>
    <font>
      <sz val="11"/>
      <color rgb="FF9C5700"/>
      <name val="Calibri"/>
      <family val="2"/>
      <scheme val="minor"/>
    </font>
    <font>
      <b/>
      <sz val="12"/>
      <color theme="1"/>
      <name val="Calibri (Body)"/>
    </font>
    <font>
      <sz val="12"/>
      <color theme="1"/>
      <name val="Calibri (Body)"/>
    </font>
    <font>
      <vertAlign val="subscript"/>
      <sz val="12"/>
      <color theme="1"/>
      <name val="Calibri (Body)"/>
    </font>
    <font>
      <sz val="12"/>
      <color rgb="FF000000"/>
      <name val="Calibri (Body)"/>
    </font>
    <font>
      <sz val="12"/>
      <name val="Calibri (Body)"/>
    </font>
    <font>
      <sz val="11"/>
      <color theme="4"/>
      <name val="Calibri"/>
      <family val="2"/>
      <scheme val="minor"/>
    </font>
    <font>
      <b/>
      <sz val="11"/>
      <color theme="4"/>
      <name val="Calibri"/>
      <family val="2"/>
      <scheme val="minor"/>
    </font>
    <font>
      <sz val="12"/>
      <color rgb="FF000000"/>
      <name val="Calibri"/>
      <family val="2"/>
      <scheme val="minor"/>
    </font>
    <font>
      <b/>
      <sz val="11"/>
      <color theme="6"/>
      <name val="Calibri"/>
      <family val="2"/>
      <scheme val="minor"/>
    </font>
    <font>
      <sz val="11"/>
      <color theme="6"/>
      <name val="Calibri"/>
      <family val="2"/>
      <scheme val="minor"/>
    </font>
    <font>
      <sz val="12"/>
      <color theme="6"/>
      <name val="Calibri"/>
      <family val="2"/>
      <scheme val="minor"/>
    </font>
    <font>
      <b/>
      <i/>
      <sz val="11"/>
      <color theme="1"/>
      <name val="Calibri"/>
      <family val="2"/>
      <scheme val="minor"/>
    </font>
    <font>
      <b/>
      <sz val="12"/>
      <color theme="6"/>
      <name val="Calibri"/>
      <family val="2"/>
      <scheme val="minor"/>
    </font>
    <font>
      <sz val="11"/>
      <color theme="1"/>
      <name val="Symbol"/>
      <charset val="2"/>
    </font>
    <font>
      <sz val="7"/>
      <color theme="1"/>
      <name val="Times New Roman"/>
      <family val="1"/>
    </font>
  </fonts>
  <fills count="15">
    <fill>
      <patternFill patternType="none"/>
    </fill>
    <fill>
      <patternFill patternType="gray125"/>
    </fill>
    <fill>
      <patternFill patternType="solid">
        <fgColor rgb="FFFFEB9C"/>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1"/>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10">
    <xf numFmtId="0" fontId="0"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xf numFmtId="44" fontId="3" fillId="0" borderId="0" applyFont="0" applyFill="0" applyBorder="0" applyAlignment="0" applyProtection="0"/>
    <xf numFmtId="9" fontId="7" fillId="0" borderId="0" applyFont="0" applyFill="0" applyBorder="0" applyAlignment="0" applyProtection="0"/>
    <xf numFmtId="0" fontId="8" fillId="2" borderId="0" applyNumberFormat="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65">
    <xf numFmtId="0" fontId="0" fillId="0" borderId="0" xfId="0"/>
    <xf numFmtId="0" fontId="3" fillId="0" borderId="0" xfId="1"/>
    <xf numFmtId="0" fontId="2" fillId="0" borderId="0" xfId="0" applyFont="1"/>
    <xf numFmtId="0" fontId="4" fillId="0" borderId="0" xfId="1" applyFont="1" applyAlignment="1">
      <alignment wrapText="1"/>
    </xf>
    <xf numFmtId="167" fontId="0" fillId="0" borderId="0" xfId="0" applyNumberFormat="1"/>
    <xf numFmtId="1" fontId="0" fillId="0" borderId="0" xfId="0" applyNumberFormat="1"/>
    <xf numFmtId="0" fontId="9" fillId="0" borderId="0" xfId="0" applyFont="1"/>
    <xf numFmtId="0" fontId="10" fillId="0" borderId="0" xfId="0" applyFont="1"/>
    <xf numFmtId="0" fontId="10" fillId="0" borderId="0" xfId="1" applyFont="1" applyAlignment="1">
      <alignment vertical="center" wrapText="1"/>
    </xf>
    <xf numFmtId="0" fontId="10" fillId="0" borderId="0" xfId="0" applyFont="1" applyAlignment="1">
      <alignment horizontal="right"/>
    </xf>
    <xf numFmtId="0" fontId="10" fillId="0" borderId="0" xfId="1" applyFont="1" applyAlignment="1">
      <alignment horizontal="center"/>
    </xf>
    <xf numFmtId="0" fontId="10" fillId="0" borderId="0" xfId="1" applyFont="1" applyAlignment="1">
      <alignment vertical="center"/>
    </xf>
    <xf numFmtId="0" fontId="10" fillId="0" borderId="0" xfId="1" applyFont="1" applyAlignment="1">
      <alignment horizontal="center" vertical="center"/>
    </xf>
    <xf numFmtId="0" fontId="10" fillId="0" borderId="0" xfId="1" applyFont="1"/>
    <xf numFmtId="10" fontId="10" fillId="0" borderId="0" xfId="1" applyNumberFormat="1" applyFont="1"/>
    <xf numFmtId="0" fontId="10" fillId="0" borderId="0" xfId="1" applyFont="1" applyAlignment="1">
      <alignment horizontal="center" vertical="center" wrapText="1"/>
    </xf>
    <xf numFmtId="166" fontId="10" fillId="0" borderId="0" xfId="1" applyNumberFormat="1" applyFont="1" applyAlignment="1">
      <alignment horizontal="center" vertical="center"/>
    </xf>
    <xf numFmtId="0" fontId="10" fillId="0" borderId="0" xfId="1" applyFont="1" applyAlignment="1">
      <alignment horizontal="right" vertical="center"/>
    </xf>
    <xf numFmtId="167" fontId="10" fillId="0" borderId="0" xfId="1" applyNumberFormat="1" applyFont="1" applyAlignment="1">
      <alignment horizontal="center" vertical="center" wrapText="1"/>
    </xf>
    <xf numFmtId="164" fontId="10" fillId="0" borderId="0" xfId="1" applyNumberFormat="1" applyFont="1" applyAlignment="1">
      <alignment horizontal="center" vertical="center" wrapText="1"/>
    </xf>
    <xf numFmtId="0" fontId="10" fillId="0" borderId="0" xfId="1" applyFont="1" applyAlignment="1">
      <alignment horizontal="right" vertical="center" wrapText="1"/>
    </xf>
    <xf numFmtId="2" fontId="10" fillId="0" borderId="0" xfId="1" applyNumberFormat="1" applyFont="1" applyAlignment="1">
      <alignment horizontal="right"/>
    </xf>
    <xf numFmtId="0" fontId="10" fillId="0" borderId="0" xfId="1" applyFont="1" applyAlignment="1">
      <alignment horizontal="left" vertical="center"/>
    </xf>
    <xf numFmtId="0" fontId="10" fillId="0" borderId="0" xfId="0" applyFont="1" applyAlignment="1">
      <alignment textRotation="90"/>
    </xf>
    <xf numFmtId="0" fontId="12" fillId="0" borderId="0" xfId="1" applyFont="1" applyAlignment="1">
      <alignment horizontal="right" vertical="center"/>
    </xf>
    <xf numFmtId="0" fontId="10" fillId="0" borderId="0" xfId="1" applyFont="1" applyAlignment="1">
      <alignment horizontal="right"/>
    </xf>
    <xf numFmtId="0" fontId="13" fillId="0" borderId="0" xfId="1" applyFont="1"/>
    <xf numFmtId="9" fontId="10" fillId="0" borderId="0" xfId="1" applyNumberFormat="1" applyFont="1" applyAlignment="1">
      <alignment horizontal="right"/>
    </xf>
    <xf numFmtId="1" fontId="10" fillId="0" borderId="0" xfId="1" applyNumberFormat="1" applyFont="1" applyAlignment="1">
      <alignment horizontal="right" vertical="center" wrapText="1"/>
    </xf>
    <xf numFmtId="0" fontId="10" fillId="0" borderId="0" xfId="1" applyFont="1" applyAlignment="1">
      <alignment horizontal="left"/>
    </xf>
    <xf numFmtId="9" fontId="10" fillId="0" borderId="0" xfId="1" applyNumberFormat="1" applyFont="1" applyAlignment="1">
      <alignment horizontal="right" vertical="center"/>
    </xf>
    <xf numFmtId="166" fontId="10" fillId="0" borderId="0" xfId="1" applyNumberFormat="1" applyFont="1" applyAlignment="1">
      <alignment horizontal="right" vertical="center"/>
    </xf>
    <xf numFmtId="9" fontId="10" fillId="0" borderId="0" xfId="0" applyNumberFormat="1" applyFont="1"/>
    <xf numFmtId="0" fontId="10" fillId="0" borderId="0" xfId="0" applyFont="1" applyAlignment="1">
      <alignment horizontal="left"/>
    </xf>
    <xf numFmtId="0" fontId="10" fillId="0" borderId="0" xfId="1" applyFont="1" applyAlignment="1">
      <alignment horizontal="left" vertical="center" wrapText="1"/>
    </xf>
    <xf numFmtId="10" fontId="10" fillId="0" borderId="0" xfId="0" applyNumberFormat="1" applyFont="1"/>
    <xf numFmtId="0" fontId="0" fillId="4" borderId="0" xfId="0" applyFill="1"/>
    <xf numFmtId="0" fontId="14" fillId="0" borderId="0" xfId="1" applyFont="1"/>
    <xf numFmtId="0" fontId="15" fillId="0" borderId="0" xfId="1" applyFont="1" applyAlignment="1">
      <alignment wrapText="1"/>
    </xf>
    <xf numFmtId="169" fontId="10" fillId="0" borderId="0" xfId="0" applyNumberFormat="1" applyFont="1"/>
    <xf numFmtId="165" fontId="0" fillId="0" borderId="0" xfId="0" applyNumberFormat="1"/>
    <xf numFmtId="3" fontId="0" fillId="0" borderId="0" xfId="0" applyNumberFormat="1"/>
    <xf numFmtId="3" fontId="2" fillId="0" borderId="0" xfId="0" applyNumberFormat="1" applyFont="1"/>
    <xf numFmtId="164" fontId="10" fillId="0" borderId="0" xfId="0" applyNumberFormat="1" applyFont="1"/>
    <xf numFmtId="168" fontId="10" fillId="0" borderId="0" xfId="1" applyNumberFormat="1" applyFont="1" applyAlignment="1">
      <alignment horizontal="left" vertical="center"/>
    </xf>
    <xf numFmtId="1" fontId="10" fillId="0" borderId="0" xfId="1" applyNumberFormat="1" applyFont="1" applyAlignment="1">
      <alignment horizontal="right"/>
    </xf>
    <xf numFmtId="2" fontId="10"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168" fontId="10" fillId="0" borderId="0" xfId="1" applyNumberFormat="1" applyFont="1" applyAlignment="1">
      <alignment horizontal="right" vertical="center" wrapText="1"/>
    </xf>
    <xf numFmtId="0" fontId="3" fillId="0" borderId="0" xfId="1" applyAlignment="1">
      <alignment wrapText="1"/>
    </xf>
    <xf numFmtId="170" fontId="0" fillId="0" borderId="0" xfId="0" applyNumberFormat="1"/>
    <xf numFmtId="9" fontId="0" fillId="0" borderId="0" xfId="0" applyNumberFormat="1"/>
    <xf numFmtId="3" fontId="19" fillId="0" borderId="0" xfId="0" applyNumberFormat="1" applyFont="1"/>
    <xf numFmtId="0" fontId="2" fillId="0" borderId="0" xfId="0" applyFont="1" applyAlignment="1">
      <alignment horizontal="center"/>
    </xf>
    <xf numFmtId="1" fontId="10" fillId="0" borderId="0" xfId="0" applyNumberFormat="1" applyFont="1"/>
    <xf numFmtId="9" fontId="10" fillId="0" borderId="0" xfId="9" applyFont="1"/>
    <xf numFmtId="9" fontId="10" fillId="0" borderId="0" xfId="9" applyFont="1" applyFill="1"/>
    <xf numFmtId="0" fontId="10" fillId="0" borderId="0" xfId="9" applyNumberFormat="1" applyFont="1" applyFill="1"/>
    <xf numFmtId="0" fontId="3" fillId="0" borderId="0" xfId="1" applyAlignment="1">
      <alignment horizontal="right"/>
    </xf>
    <xf numFmtId="3" fontId="3" fillId="0" borderId="0" xfId="1" applyNumberFormat="1"/>
    <xf numFmtId="0" fontId="0" fillId="0" borderId="0" xfId="0" applyAlignment="1">
      <alignment horizontal="center"/>
    </xf>
    <xf numFmtId="0" fontId="2" fillId="0" borderId="2" xfId="0" applyFont="1" applyBorder="1"/>
    <xf numFmtId="3" fontId="2" fillId="0" borderId="8" xfId="0" applyNumberFormat="1" applyFont="1" applyBorder="1"/>
    <xf numFmtId="3" fontId="2" fillId="0" borderId="9" xfId="0" applyNumberFormat="1" applyFont="1" applyBorder="1"/>
    <xf numFmtId="3" fontId="2" fillId="0" borderId="3" xfId="0" applyNumberFormat="1" applyFont="1" applyBorder="1"/>
    <xf numFmtId="3" fontId="2" fillId="0" borderId="4" xfId="0" applyNumberFormat="1" applyFont="1" applyBorder="1"/>
    <xf numFmtId="0" fontId="0" fillId="7" borderId="0" xfId="0" applyFill="1"/>
    <xf numFmtId="3" fontId="0" fillId="7" borderId="0" xfId="0" applyNumberFormat="1" applyFill="1"/>
    <xf numFmtId="0" fontId="2" fillId="7" borderId="0" xfId="0" applyFont="1" applyFill="1"/>
    <xf numFmtId="3" fontId="2" fillId="7" borderId="0" xfId="0" applyNumberFormat="1" applyFont="1" applyFill="1"/>
    <xf numFmtId="3" fontId="0" fillId="4" borderId="0" xfId="0" applyNumberFormat="1" applyFill="1"/>
    <xf numFmtId="0" fontId="2" fillId="4" borderId="0" xfId="0" applyFont="1" applyFill="1"/>
    <xf numFmtId="3" fontId="2" fillId="4" borderId="0" xfId="0" applyNumberFormat="1" applyFont="1" applyFill="1"/>
    <xf numFmtId="0" fontId="2" fillId="10" borderId="1" xfId="0" applyFont="1" applyFill="1" applyBorder="1"/>
    <xf numFmtId="0" fontId="2" fillId="10" borderId="2" xfId="0" applyFont="1" applyFill="1" applyBorder="1"/>
    <xf numFmtId="0" fontId="2" fillId="10" borderId="3" xfId="0" applyFont="1" applyFill="1" applyBorder="1"/>
    <xf numFmtId="0" fontId="2" fillId="10" borderId="4" xfId="0" applyFont="1" applyFill="1" applyBorder="1"/>
    <xf numFmtId="0" fontId="2" fillId="10" borderId="5" xfId="0" applyFont="1" applyFill="1" applyBorder="1"/>
    <xf numFmtId="3" fontId="2" fillId="10" borderId="7" xfId="0" applyNumberFormat="1" applyFont="1" applyFill="1" applyBorder="1"/>
    <xf numFmtId="3" fontId="2" fillId="10" borderId="8" xfId="0" applyNumberFormat="1" applyFont="1" applyFill="1" applyBorder="1"/>
    <xf numFmtId="3" fontId="2" fillId="10" borderId="9" xfId="0" applyNumberFormat="1" applyFont="1" applyFill="1" applyBorder="1"/>
    <xf numFmtId="0" fontId="0" fillId="10" borderId="6" xfId="0" applyFill="1" applyBorder="1"/>
    <xf numFmtId="3" fontId="0" fillId="10" borderId="10" xfId="0" applyNumberFormat="1" applyFill="1" applyBorder="1"/>
    <xf numFmtId="3" fontId="0" fillId="10" borderId="11" xfId="0" applyNumberFormat="1" applyFill="1" applyBorder="1"/>
    <xf numFmtId="3" fontId="0" fillId="10" borderId="12" xfId="0" applyNumberFormat="1" applyFill="1" applyBorder="1"/>
    <xf numFmtId="44" fontId="2" fillId="0" borderId="11" xfId="8" applyFont="1" applyBorder="1"/>
    <xf numFmtId="44" fontId="2" fillId="0" borderId="12" xfId="8" applyFont="1" applyBorder="1"/>
    <xf numFmtId="0" fontId="2" fillId="0" borderId="7" xfId="0" applyFont="1" applyBorder="1"/>
    <xf numFmtId="0" fontId="2" fillId="10" borderId="3" xfId="0" applyFont="1" applyFill="1" applyBorder="1" applyAlignment="1">
      <alignment horizontal="center"/>
    </xf>
    <xf numFmtId="0" fontId="2" fillId="10" borderId="4" xfId="0" applyFont="1" applyFill="1" applyBorder="1" applyAlignment="1">
      <alignment horizontal="center"/>
    </xf>
    <xf numFmtId="0" fontId="2" fillId="0" borderId="10" xfId="0" applyFont="1" applyBorder="1"/>
    <xf numFmtId="0" fontId="4" fillId="10" borderId="3" xfId="1" applyFont="1" applyFill="1" applyBorder="1" applyAlignment="1">
      <alignment horizontal="center" vertical="center" wrapText="1"/>
    </xf>
    <xf numFmtId="0" fontId="4" fillId="10" borderId="4" xfId="1" applyFont="1" applyFill="1" applyBorder="1" applyAlignment="1">
      <alignment horizontal="center" vertical="center" wrapText="1"/>
    </xf>
    <xf numFmtId="0" fontId="0" fillId="10" borderId="5" xfId="0" applyFill="1" applyBorder="1"/>
    <xf numFmtId="0" fontId="0" fillId="10" borderId="13" xfId="0" applyFill="1" applyBorder="1"/>
    <xf numFmtId="0" fontId="2" fillId="10" borderId="6" xfId="0" applyFont="1" applyFill="1" applyBorder="1"/>
    <xf numFmtId="0" fontId="2" fillId="3" borderId="6" xfId="0" applyFont="1" applyFill="1" applyBorder="1"/>
    <xf numFmtId="167" fontId="0" fillId="0" borderId="14" xfId="0" applyNumberFormat="1" applyBorder="1"/>
    <xf numFmtId="167" fontId="0" fillId="0" borderId="15" xfId="0" applyNumberFormat="1" applyBorder="1"/>
    <xf numFmtId="165" fontId="2" fillId="3" borderId="10" xfId="0" applyNumberFormat="1" applyFont="1" applyFill="1" applyBorder="1"/>
    <xf numFmtId="165" fontId="2" fillId="3" borderId="11" xfId="0" applyNumberFormat="1" applyFont="1" applyFill="1" applyBorder="1"/>
    <xf numFmtId="165" fontId="2" fillId="3" borderId="12" xfId="0" applyNumberFormat="1" applyFont="1" applyFill="1" applyBorder="1"/>
    <xf numFmtId="165" fontId="2" fillId="3" borderId="2" xfId="0" applyNumberFormat="1" applyFont="1" applyFill="1" applyBorder="1"/>
    <xf numFmtId="165" fontId="2" fillId="3" borderId="3" xfId="0" applyNumberFormat="1" applyFont="1" applyFill="1" applyBorder="1"/>
    <xf numFmtId="165" fontId="2" fillId="3" borderId="4" xfId="0" applyNumberFormat="1" applyFont="1" applyFill="1" applyBorder="1"/>
    <xf numFmtId="0" fontId="2" fillId="3" borderId="1" xfId="0" applyFont="1" applyFill="1" applyBorder="1"/>
    <xf numFmtId="9" fontId="3" fillId="0" borderId="0" xfId="1" applyNumberFormat="1"/>
    <xf numFmtId="0" fontId="4" fillId="10" borderId="2" xfId="1" applyFont="1" applyFill="1" applyBorder="1"/>
    <xf numFmtId="0" fontId="4" fillId="10" borderId="3" xfId="1" applyFont="1" applyFill="1" applyBorder="1"/>
    <xf numFmtId="0" fontId="4" fillId="10" borderId="4" xfId="1" applyFont="1" applyFill="1" applyBorder="1"/>
    <xf numFmtId="0" fontId="3" fillId="0" borderId="7" xfId="1" applyBorder="1" applyAlignment="1">
      <alignment horizontal="right"/>
    </xf>
    <xf numFmtId="3" fontId="3" fillId="0" borderId="8" xfId="1" applyNumberFormat="1" applyBorder="1"/>
    <xf numFmtId="0" fontId="3" fillId="0" borderId="9" xfId="1" applyBorder="1"/>
    <xf numFmtId="0" fontId="3" fillId="0" borderId="14" xfId="1" applyBorder="1" applyAlignment="1">
      <alignment horizontal="right"/>
    </xf>
    <xf numFmtId="0" fontId="3" fillId="0" borderId="15" xfId="1" applyBorder="1"/>
    <xf numFmtId="0" fontId="3" fillId="0" borderId="10" xfId="1" applyBorder="1" applyAlignment="1">
      <alignment horizontal="right"/>
    </xf>
    <xf numFmtId="3" fontId="3" fillId="0" borderId="11" xfId="1" applyNumberFormat="1" applyBorder="1"/>
    <xf numFmtId="0" fontId="3" fillId="0" borderId="12" xfId="1" applyBorder="1"/>
    <xf numFmtId="0" fontId="10" fillId="0" borderId="7" xfId="0" applyFont="1" applyBorder="1" applyAlignment="1">
      <alignment horizontal="right"/>
    </xf>
    <xf numFmtId="3" fontId="10" fillId="0" borderId="8" xfId="0" applyNumberFormat="1" applyFont="1" applyBorder="1"/>
    <xf numFmtId="0" fontId="10" fillId="0" borderId="9" xfId="0" applyFont="1" applyBorder="1"/>
    <xf numFmtId="0" fontId="10" fillId="0" borderId="10" xfId="0" applyFont="1" applyBorder="1" applyAlignment="1">
      <alignment horizontal="right"/>
    </xf>
    <xf numFmtId="3" fontId="10" fillId="0" borderId="11" xfId="0" applyNumberFormat="1" applyFont="1" applyBorder="1"/>
    <xf numFmtId="0" fontId="10" fillId="0" borderId="12" xfId="0" applyFont="1" applyBorder="1"/>
    <xf numFmtId="3" fontId="4" fillId="0" borderId="3" xfId="1" applyNumberFormat="1" applyFont="1" applyBorder="1"/>
    <xf numFmtId="0" fontId="9" fillId="3" borderId="2" xfId="0" applyFont="1" applyFill="1" applyBorder="1" applyAlignment="1">
      <alignment horizontal="right"/>
    </xf>
    <xf numFmtId="3" fontId="4" fillId="3" borderId="3" xfId="1" applyNumberFormat="1" applyFont="1" applyFill="1" applyBorder="1"/>
    <xf numFmtId="0" fontId="4" fillId="3" borderId="4" xfId="1" applyFont="1" applyFill="1" applyBorder="1"/>
    <xf numFmtId="0" fontId="6" fillId="0" borderId="10" xfId="1" applyFont="1" applyBorder="1" applyAlignment="1">
      <alignment horizontal="right"/>
    </xf>
    <xf numFmtId="3" fontId="6" fillId="0" borderId="11" xfId="1" applyNumberFormat="1" applyFont="1" applyBorder="1"/>
    <xf numFmtId="0" fontId="6" fillId="0" borderId="12" xfId="1" applyFont="1" applyBorder="1"/>
    <xf numFmtId="0" fontId="4" fillId="10" borderId="5" xfId="1" applyFont="1" applyFill="1" applyBorder="1" applyAlignment="1">
      <alignment horizontal="center"/>
    </xf>
    <xf numFmtId="0" fontId="20" fillId="10" borderId="6" xfId="1" applyFont="1" applyFill="1" applyBorder="1" applyAlignment="1">
      <alignment horizontal="center"/>
    </xf>
    <xf numFmtId="0" fontId="4" fillId="0" borderId="2" xfId="1" applyFont="1" applyBorder="1"/>
    <xf numFmtId="3" fontId="4" fillId="0" borderId="4" xfId="1" applyNumberFormat="1" applyFont="1" applyBorder="1"/>
    <xf numFmtId="3" fontId="21" fillId="3" borderId="10" xfId="0" applyNumberFormat="1" applyFont="1" applyFill="1" applyBorder="1"/>
    <xf numFmtId="3" fontId="21" fillId="3" borderId="11" xfId="0" applyNumberFormat="1" applyFont="1" applyFill="1" applyBorder="1"/>
    <xf numFmtId="3" fontId="2" fillId="3" borderId="11" xfId="0" applyNumberFormat="1" applyFont="1" applyFill="1" applyBorder="1"/>
    <xf numFmtId="3" fontId="2" fillId="3" borderId="12" xfId="0" applyNumberFormat="1" applyFont="1" applyFill="1" applyBorder="1"/>
    <xf numFmtId="0" fontId="0" fillId="4" borderId="5" xfId="0" applyFill="1" applyBorder="1"/>
    <xf numFmtId="3" fontId="19" fillId="4" borderId="7" xfId="0" applyNumberFormat="1" applyFont="1" applyFill="1" applyBorder="1"/>
    <xf numFmtId="3" fontId="19" fillId="4" borderId="8" xfId="0" applyNumberFormat="1" applyFont="1" applyFill="1" applyBorder="1"/>
    <xf numFmtId="3" fontId="0" fillId="4" borderId="8" xfId="0" applyNumberFormat="1" applyFill="1" applyBorder="1"/>
    <xf numFmtId="3" fontId="0" fillId="4" borderId="9" xfId="0" applyNumberFormat="1" applyFill="1" applyBorder="1"/>
    <xf numFmtId="0" fontId="0" fillId="4" borderId="13" xfId="0" applyFill="1" applyBorder="1"/>
    <xf numFmtId="3" fontId="19" fillId="4" borderId="14" xfId="0" applyNumberFormat="1" applyFont="1" applyFill="1" applyBorder="1"/>
    <xf numFmtId="3" fontId="19" fillId="4" borderId="0" xfId="0" applyNumberFormat="1" applyFont="1" applyFill="1"/>
    <xf numFmtId="3" fontId="0" fillId="4" borderId="15" xfId="0" applyNumberFormat="1" applyFill="1" applyBorder="1"/>
    <xf numFmtId="0" fontId="0" fillId="7" borderId="5" xfId="0" applyFill="1" applyBorder="1"/>
    <xf numFmtId="3" fontId="19" fillId="7" borderId="7" xfId="0" applyNumberFormat="1" applyFont="1" applyFill="1" applyBorder="1"/>
    <xf numFmtId="3" fontId="19" fillId="7" borderId="8" xfId="0" applyNumberFormat="1" applyFont="1" applyFill="1" applyBorder="1"/>
    <xf numFmtId="3" fontId="0" fillId="7" borderId="8" xfId="0" applyNumberFormat="1" applyFill="1" applyBorder="1"/>
    <xf numFmtId="3" fontId="0" fillId="7" borderId="9" xfId="0" applyNumberFormat="1" applyFill="1" applyBorder="1"/>
    <xf numFmtId="0" fontId="0" fillId="7" borderId="13" xfId="0" applyFill="1" applyBorder="1"/>
    <xf numFmtId="3" fontId="19" fillId="7" borderId="14" xfId="0" applyNumberFormat="1" applyFont="1" applyFill="1" applyBorder="1"/>
    <xf numFmtId="3" fontId="19" fillId="7" borderId="0" xfId="0" applyNumberFormat="1" applyFont="1" applyFill="1"/>
    <xf numFmtId="3" fontId="0" fillId="7" borderId="15" xfId="0" applyNumberFormat="1" applyFill="1" applyBorder="1"/>
    <xf numFmtId="0" fontId="21" fillId="10" borderId="2" xfId="0" applyFont="1" applyFill="1" applyBorder="1"/>
    <xf numFmtId="0" fontId="21" fillId="10" borderId="3" xfId="0" applyFont="1" applyFill="1" applyBorder="1"/>
    <xf numFmtId="4" fontId="19" fillId="10" borderId="7" xfId="0" applyNumberFormat="1" applyFont="1" applyFill="1" applyBorder="1"/>
    <xf numFmtId="167" fontId="19" fillId="10" borderId="8" xfId="0" applyNumberFormat="1" applyFont="1" applyFill="1" applyBorder="1"/>
    <xf numFmtId="167" fontId="0" fillId="10" borderId="8" xfId="0" applyNumberFormat="1" applyFill="1" applyBorder="1"/>
    <xf numFmtId="0" fontId="0" fillId="10" borderId="8" xfId="0" applyFill="1" applyBorder="1"/>
    <xf numFmtId="167" fontId="0" fillId="10" borderId="9" xfId="0" applyNumberFormat="1" applyFill="1" applyBorder="1"/>
    <xf numFmtId="3" fontId="19" fillId="10" borderId="10" xfId="0" applyNumberFormat="1" applyFont="1" applyFill="1" applyBorder="1"/>
    <xf numFmtId="3" fontId="19" fillId="10" borderId="11" xfId="0" applyNumberFormat="1" applyFont="1" applyFill="1" applyBorder="1"/>
    <xf numFmtId="9" fontId="0" fillId="10" borderId="5" xfId="0" applyNumberFormat="1" applyFill="1" applyBorder="1"/>
    <xf numFmtId="0" fontId="21" fillId="10" borderId="0" xfId="0" applyFont="1" applyFill="1"/>
    <xf numFmtId="167" fontId="19" fillId="10" borderId="0" xfId="0" applyNumberFormat="1" applyFont="1" applyFill="1"/>
    <xf numFmtId="0" fontId="19" fillId="10" borderId="0" xfId="0" applyFont="1" applyFill="1"/>
    <xf numFmtId="0" fontId="0" fillId="5" borderId="5" xfId="0" applyFill="1" applyBorder="1"/>
    <xf numFmtId="165" fontId="0" fillId="5" borderId="7" xfId="0" applyNumberFormat="1" applyFill="1" applyBorder="1"/>
    <xf numFmtId="165" fontId="0" fillId="5" borderId="8" xfId="0" applyNumberFormat="1" applyFill="1" applyBorder="1"/>
    <xf numFmtId="165" fontId="0" fillId="5" borderId="9" xfId="0" applyNumberFormat="1" applyFill="1" applyBorder="1"/>
    <xf numFmtId="0" fontId="0" fillId="5" borderId="13" xfId="0" applyFill="1" applyBorder="1"/>
    <xf numFmtId="165" fontId="0" fillId="5" borderId="14" xfId="0" applyNumberFormat="1" applyFill="1" applyBorder="1"/>
    <xf numFmtId="165" fontId="0" fillId="5" borderId="0" xfId="0" applyNumberFormat="1" applyFill="1"/>
    <xf numFmtId="165" fontId="0" fillId="5" borderId="15" xfId="0" applyNumberFormat="1" applyFill="1" applyBorder="1"/>
    <xf numFmtId="0" fontId="0" fillId="5" borderId="6" xfId="0" applyFill="1" applyBorder="1"/>
    <xf numFmtId="165" fontId="0" fillId="5" borderId="10" xfId="0" applyNumberFormat="1" applyFill="1" applyBorder="1"/>
    <xf numFmtId="165" fontId="0" fillId="5" borderId="11" xfId="0" applyNumberFormat="1" applyFill="1" applyBorder="1"/>
    <xf numFmtId="165" fontId="0" fillId="5" borderId="12" xfId="0" applyNumberFormat="1" applyFill="1" applyBorder="1"/>
    <xf numFmtId="167" fontId="0" fillId="5" borderId="14" xfId="0" applyNumberFormat="1" applyFill="1" applyBorder="1"/>
    <xf numFmtId="167" fontId="0" fillId="5" borderId="0" xfId="0" applyNumberFormat="1" applyFill="1"/>
    <xf numFmtId="167" fontId="0" fillId="5" borderId="15" xfId="0" applyNumberFormat="1" applyFill="1" applyBorder="1"/>
    <xf numFmtId="165" fontId="0" fillId="4" borderId="7" xfId="0" applyNumberFormat="1" applyFill="1" applyBorder="1"/>
    <xf numFmtId="165" fontId="0" fillId="4" borderId="8" xfId="0" applyNumberFormat="1" applyFill="1" applyBorder="1"/>
    <xf numFmtId="165" fontId="0" fillId="4" borderId="9" xfId="0" applyNumberFormat="1" applyFill="1" applyBorder="1"/>
    <xf numFmtId="165" fontId="0" fillId="4" borderId="14" xfId="0" applyNumberFormat="1" applyFill="1" applyBorder="1"/>
    <xf numFmtId="165" fontId="0" fillId="4" borderId="0" xfId="0" applyNumberFormat="1" applyFill="1"/>
    <xf numFmtId="165" fontId="0" fillId="4" borderId="15" xfId="0" applyNumberFormat="1" applyFill="1" applyBorder="1"/>
    <xf numFmtId="0" fontId="0" fillId="4" borderId="6" xfId="0" applyFill="1" applyBorder="1"/>
    <xf numFmtId="165" fontId="0" fillId="4" borderId="10" xfId="0" applyNumberFormat="1" applyFill="1" applyBorder="1"/>
    <xf numFmtId="165" fontId="0" fillId="4" borderId="11" xfId="0" applyNumberFormat="1" applyFill="1" applyBorder="1"/>
    <xf numFmtId="165" fontId="0" fillId="4" borderId="12" xfId="0" applyNumberFormat="1" applyFill="1" applyBorder="1"/>
    <xf numFmtId="167" fontId="0" fillId="7" borderId="7" xfId="0" applyNumberFormat="1" applyFill="1" applyBorder="1"/>
    <xf numFmtId="167" fontId="0" fillId="7" borderId="8" xfId="0" applyNumberFormat="1" applyFill="1" applyBorder="1"/>
    <xf numFmtId="167" fontId="0" fillId="7" borderId="9" xfId="0" applyNumberFormat="1" applyFill="1" applyBorder="1"/>
    <xf numFmtId="167" fontId="0" fillId="7" borderId="14" xfId="0" applyNumberFormat="1" applyFill="1" applyBorder="1"/>
    <xf numFmtId="167" fontId="0" fillId="7" borderId="0" xfId="0" applyNumberFormat="1" applyFill="1"/>
    <xf numFmtId="167" fontId="0" fillId="7" borderId="15" xfId="0" applyNumberFormat="1" applyFill="1" applyBorder="1"/>
    <xf numFmtId="167" fontId="0" fillId="7" borderId="10" xfId="0" applyNumberFormat="1" applyFill="1" applyBorder="1"/>
    <xf numFmtId="167" fontId="0" fillId="7" borderId="11" xfId="0" applyNumberFormat="1" applyFill="1" applyBorder="1"/>
    <xf numFmtId="167" fontId="0" fillId="7" borderId="12" xfId="0" applyNumberFormat="1" applyFill="1" applyBorder="1"/>
    <xf numFmtId="167" fontId="0" fillId="11" borderId="7" xfId="0" applyNumberFormat="1" applyFill="1" applyBorder="1"/>
    <xf numFmtId="167" fontId="0" fillId="11" borderId="8" xfId="0" applyNumberFormat="1" applyFill="1" applyBorder="1"/>
    <xf numFmtId="167" fontId="0" fillId="11" borderId="9" xfId="0" applyNumberFormat="1" applyFill="1" applyBorder="1"/>
    <xf numFmtId="167" fontId="0" fillId="11" borderId="14" xfId="0" applyNumberFormat="1" applyFill="1" applyBorder="1"/>
    <xf numFmtId="167" fontId="0" fillId="11" borderId="0" xfId="0" applyNumberFormat="1" applyFill="1"/>
    <xf numFmtId="167" fontId="0" fillId="11" borderId="15" xfId="0" applyNumberFormat="1" applyFill="1" applyBorder="1"/>
    <xf numFmtId="167" fontId="0" fillId="11" borderId="10" xfId="0" applyNumberFormat="1" applyFill="1" applyBorder="1"/>
    <xf numFmtId="167" fontId="0" fillId="11" borderId="11" xfId="0" applyNumberFormat="1" applyFill="1" applyBorder="1"/>
    <xf numFmtId="167" fontId="0" fillId="11" borderId="12" xfId="0" applyNumberFormat="1" applyFill="1" applyBorder="1"/>
    <xf numFmtId="167" fontId="0" fillId="8" borderId="7" xfId="0" applyNumberFormat="1" applyFill="1" applyBorder="1"/>
    <xf numFmtId="167" fontId="0" fillId="8" borderId="8" xfId="0" applyNumberFormat="1" applyFill="1" applyBorder="1"/>
    <xf numFmtId="167" fontId="0" fillId="8" borderId="9" xfId="0" applyNumberFormat="1" applyFill="1" applyBorder="1"/>
    <xf numFmtId="167" fontId="0" fillId="8" borderId="14" xfId="0" applyNumberFormat="1" applyFill="1" applyBorder="1"/>
    <xf numFmtId="167" fontId="0" fillId="8" borderId="0" xfId="0" applyNumberFormat="1" applyFill="1"/>
    <xf numFmtId="167" fontId="0" fillId="8" borderId="15" xfId="0" applyNumberFormat="1" applyFill="1" applyBorder="1"/>
    <xf numFmtId="167" fontId="0" fillId="8" borderId="10" xfId="0" applyNumberFormat="1" applyFill="1" applyBorder="1"/>
    <xf numFmtId="167" fontId="0" fillId="8" borderId="11" xfId="0" applyNumberFormat="1" applyFill="1" applyBorder="1"/>
    <xf numFmtId="167" fontId="0" fillId="8" borderId="12" xfId="0" applyNumberFormat="1" applyFill="1" applyBorder="1"/>
    <xf numFmtId="0" fontId="2" fillId="10" borderId="1" xfId="0" applyFont="1" applyFill="1" applyBorder="1" applyAlignment="1">
      <alignment horizontal="center"/>
    </xf>
    <xf numFmtId="167" fontId="16" fillId="7" borderId="7" xfId="0" applyNumberFormat="1" applyFont="1" applyFill="1" applyBorder="1"/>
    <xf numFmtId="167" fontId="16" fillId="7" borderId="8" xfId="0" applyNumberFormat="1" applyFont="1" applyFill="1" applyBorder="1"/>
    <xf numFmtId="167" fontId="16" fillId="7" borderId="9" xfId="0" applyNumberFormat="1" applyFont="1" applyFill="1" applyBorder="1"/>
    <xf numFmtId="167" fontId="16" fillId="7" borderId="14" xfId="0" applyNumberFormat="1" applyFont="1" applyFill="1" applyBorder="1"/>
    <xf numFmtId="167" fontId="16" fillId="7" borderId="0" xfId="0" applyNumberFormat="1" applyFont="1" applyFill="1"/>
    <xf numFmtId="167" fontId="16" fillId="7" borderId="15" xfId="0" applyNumberFormat="1" applyFont="1" applyFill="1" applyBorder="1"/>
    <xf numFmtId="167" fontId="16" fillId="7" borderId="10" xfId="0" applyNumberFormat="1" applyFont="1" applyFill="1" applyBorder="1"/>
    <xf numFmtId="167" fontId="16" fillId="7" borderId="11" xfId="0" applyNumberFormat="1" applyFont="1" applyFill="1" applyBorder="1"/>
    <xf numFmtId="167" fontId="16" fillId="7" borderId="12" xfId="0" applyNumberFormat="1" applyFont="1" applyFill="1" applyBorder="1"/>
    <xf numFmtId="167" fontId="0" fillId="4" borderId="7" xfId="0" applyNumberFormat="1" applyFill="1" applyBorder="1"/>
    <xf numFmtId="167" fontId="0" fillId="4" borderId="8" xfId="0" applyNumberFormat="1" applyFill="1" applyBorder="1"/>
    <xf numFmtId="167" fontId="0" fillId="4" borderId="9" xfId="0" applyNumberFormat="1" applyFill="1" applyBorder="1"/>
    <xf numFmtId="167" fontId="0" fillId="4" borderId="14" xfId="0" applyNumberFormat="1" applyFill="1" applyBorder="1"/>
    <xf numFmtId="167" fontId="0" fillId="4" borderId="0" xfId="0" applyNumberFormat="1" applyFill="1"/>
    <xf numFmtId="167" fontId="0" fillId="4" borderId="15" xfId="0" applyNumberFormat="1" applyFill="1" applyBorder="1"/>
    <xf numFmtId="167" fontId="0" fillId="4" borderId="10" xfId="0" applyNumberFormat="1" applyFill="1" applyBorder="1"/>
    <xf numFmtId="167" fontId="0" fillId="4" borderId="11" xfId="0" applyNumberFormat="1" applyFill="1" applyBorder="1"/>
    <xf numFmtId="167" fontId="0" fillId="4" borderId="12" xfId="0" applyNumberFormat="1" applyFill="1" applyBorder="1"/>
    <xf numFmtId="167" fontId="0" fillId="6" borderId="7" xfId="0" applyNumberFormat="1" applyFill="1" applyBorder="1"/>
    <xf numFmtId="167" fontId="0" fillId="6" borderId="8" xfId="0" applyNumberFormat="1" applyFill="1" applyBorder="1"/>
    <xf numFmtId="167" fontId="0" fillId="6" borderId="9" xfId="0" applyNumberFormat="1" applyFill="1" applyBorder="1"/>
    <xf numFmtId="167" fontId="0" fillId="6" borderId="14" xfId="0" applyNumberFormat="1" applyFill="1" applyBorder="1"/>
    <xf numFmtId="167" fontId="0" fillId="6" borderId="0" xfId="0" applyNumberFormat="1" applyFill="1"/>
    <xf numFmtId="167" fontId="0" fillId="6" borderId="15" xfId="0" applyNumberFormat="1" applyFill="1" applyBorder="1"/>
    <xf numFmtId="167" fontId="0" fillId="6" borderId="10" xfId="0" applyNumberFormat="1" applyFill="1" applyBorder="1"/>
    <xf numFmtId="167" fontId="0" fillId="6" borderId="11" xfId="0" applyNumberFormat="1" applyFill="1" applyBorder="1"/>
    <xf numFmtId="167" fontId="0" fillId="6" borderId="12" xfId="0" applyNumberFormat="1" applyFill="1" applyBorder="1"/>
    <xf numFmtId="167" fontId="0" fillId="9" borderId="7" xfId="0" applyNumberFormat="1" applyFill="1" applyBorder="1"/>
    <xf numFmtId="167" fontId="0" fillId="9" borderId="8" xfId="0" applyNumberFormat="1" applyFill="1" applyBorder="1"/>
    <xf numFmtId="167" fontId="0" fillId="9" borderId="9" xfId="0" applyNumberFormat="1" applyFill="1" applyBorder="1"/>
    <xf numFmtId="167" fontId="0" fillId="9" borderId="14" xfId="0" applyNumberFormat="1" applyFill="1" applyBorder="1"/>
    <xf numFmtId="167" fontId="0" fillId="9" borderId="0" xfId="0" applyNumberFormat="1" applyFill="1"/>
    <xf numFmtId="167" fontId="0" fillId="9" borderId="15" xfId="0" applyNumberFormat="1" applyFill="1" applyBorder="1"/>
    <xf numFmtId="167" fontId="0" fillId="9" borderId="10" xfId="0" applyNumberFormat="1" applyFill="1" applyBorder="1"/>
    <xf numFmtId="167" fontId="0" fillId="9" borderId="11" xfId="0" applyNumberFormat="1" applyFill="1" applyBorder="1"/>
    <xf numFmtId="167" fontId="0" fillId="9" borderId="12" xfId="0" applyNumberFormat="1" applyFill="1" applyBorder="1"/>
    <xf numFmtId="0" fontId="2" fillId="10" borderId="13" xfId="0" applyFont="1" applyFill="1" applyBorder="1"/>
    <xf numFmtId="167" fontId="0" fillId="0" borderId="10" xfId="0" applyNumberFormat="1" applyBorder="1"/>
    <xf numFmtId="167" fontId="0" fillId="0" borderId="11" xfId="0" applyNumberFormat="1" applyBorder="1"/>
    <xf numFmtId="167" fontId="0" fillId="0" borderId="12" xfId="0" applyNumberFormat="1" applyBorder="1"/>
    <xf numFmtId="167" fontId="0" fillId="0" borderId="5" xfId="0" applyNumberFormat="1" applyBorder="1"/>
    <xf numFmtId="167" fontId="0" fillId="0" borderId="13" xfId="0" applyNumberFormat="1" applyBorder="1"/>
    <xf numFmtId="167" fontId="0" fillId="0" borderId="6" xfId="0" applyNumberFormat="1" applyBorder="1"/>
    <xf numFmtId="2" fontId="2" fillId="0" borderId="5" xfId="0" applyNumberFormat="1" applyFont="1" applyBorder="1"/>
    <xf numFmtId="2" fontId="2" fillId="0" borderId="13" xfId="0" applyNumberFormat="1" applyFont="1" applyBorder="1"/>
    <xf numFmtId="2" fontId="2" fillId="0" borderId="6" xfId="0" applyNumberFormat="1" applyFont="1" applyBorder="1"/>
    <xf numFmtId="0" fontId="4" fillId="10" borderId="2" xfId="1" applyFont="1" applyFill="1" applyBorder="1" applyAlignment="1">
      <alignment horizontal="center" vertical="center" wrapText="1"/>
    </xf>
    <xf numFmtId="0" fontId="3" fillId="0" borderId="7" xfId="1" applyBorder="1"/>
    <xf numFmtId="0" fontId="3" fillId="0" borderId="8" xfId="1" applyBorder="1"/>
    <xf numFmtId="167" fontId="3" fillId="0" borderId="8" xfId="1" applyNumberFormat="1" applyBorder="1"/>
    <xf numFmtId="2" fontId="3" fillId="0" borderId="8" xfId="1" applyNumberFormat="1" applyBorder="1"/>
    <xf numFmtId="0" fontId="3" fillId="0" borderId="14" xfId="1" applyBorder="1"/>
    <xf numFmtId="167" fontId="3" fillId="0" borderId="0" xfId="1" applyNumberFormat="1"/>
    <xf numFmtId="2" fontId="3" fillId="0" borderId="0" xfId="1" applyNumberFormat="1"/>
    <xf numFmtId="0" fontId="3" fillId="0" borderId="0" xfId="0" applyFont="1"/>
    <xf numFmtId="167" fontId="3" fillId="0" borderId="0" xfId="0" applyNumberFormat="1" applyFont="1"/>
    <xf numFmtId="2" fontId="3" fillId="0" borderId="0" xfId="0" applyNumberFormat="1" applyFont="1"/>
    <xf numFmtId="0" fontId="3" fillId="0" borderId="10" xfId="1" applyBorder="1"/>
    <xf numFmtId="0" fontId="3" fillId="0" borderId="11" xfId="1" applyBorder="1"/>
    <xf numFmtId="167" fontId="3" fillId="0" borderId="11" xfId="1" applyNumberFormat="1" applyBorder="1"/>
    <xf numFmtId="2" fontId="3" fillId="0" borderId="11" xfId="1" applyNumberFormat="1" applyBorder="1"/>
    <xf numFmtId="0" fontId="3" fillId="10" borderId="2" xfId="1" applyFill="1" applyBorder="1"/>
    <xf numFmtId="0" fontId="3" fillId="10" borderId="4" xfId="1" applyFill="1" applyBorder="1"/>
    <xf numFmtId="3" fontId="2" fillId="12" borderId="5" xfId="0" applyNumberFormat="1" applyFont="1" applyFill="1" applyBorder="1"/>
    <xf numFmtId="3" fontId="2" fillId="12" borderId="13" xfId="0" applyNumberFormat="1" applyFont="1" applyFill="1" applyBorder="1"/>
    <xf numFmtId="3" fontId="2" fillId="12" borderId="6" xfId="0" applyNumberFormat="1" applyFont="1" applyFill="1" applyBorder="1"/>
    <xf numFmtId="0" fontId="4" fillId="10" borderId="2" xfId="1" applyFont="1" applyFill="1" applyBorder="1" applyAlignment="1">
      <alignment vertical="center" wrapText="1"/>
    </xf>
    <xf numFmtId="0" fontId="9" fillId="10" borderId="1" xfId="0" applyFont="1" applyFill="1" applyBorder="1"/>
    <xf numFmtId="0" fontId="19" fillId="0" borderId="0" xfId="0" applyFont="1"/>
    <xf numFmtId="167" fontId="19" fillId="0" borderId="0" xfId="0" applyNumberFormat="1" applyFont="1"/>
    <xf numFmtId="0" fontId="17" fillId="10" borderId="2" xfId="1" applyFont="1" applyFill="1" applyBorder="1" applyAlignment="1">
      <alignment horizontal="center" vertical="center" wrapText="1"/>
    </xf>
    <xf numFmtId="0" fontId="3" fillId="5" borderId="0" xfId="1" applyFill="1"/>
    <xf numFmtId="0" fontId="19" fillId="5" borderId="0" xfId="0" applyFont="1" applyFill="1"/>
    <xf numFmtId="0" fontId="0" fillId="5" borderId="0" xfId="0" applyFill="1"/>
    <xf numFmtId="0" fontId="3" fillId="7" borderId="0" xfId="1" applyFill="1"/>
    <xf numFmtId="0" fontId="19" fillId="7" borderId="0" xfId="0" applyFont="1" applyFill="1"/>
    <xf numFmtId="0" fontId="3" fillId="4" borderId="0" xfId="1" applyFill="1"/>
    <xf numFmtId="0" fontId="19" fillId="4" borderId="0" xfId="0" applyFont="1" applyFill="1"/>
    <xf numFmtId="0" fontId="0" fillId="3" borderId="0" xfId="0" applyFill="1"/>
    <xf numFmtId="165" fontId="0" fillId="7" borderId="0" xfId="0" applyNumberFormat="1" applyFill="1"/>
    <xf numFmtId="165" fontId="0" fillId="3" borderId="0" xfId="0" applyNumberFormat="1" applyFill="1"/>
    <xf numFmtId="44" fontId="2" fillId="0" borderId="0" xfId="8" applyFont="1" applyFill="1" applyBorder="1"/>
    <xf numFmtId="0" fontId="22" fillId="0" borderId="0" xfId="0" applyFont="1" applyAlignment="1">
      <alignment horizontal="left" vertical="center" wrapText="1"/>
    </xf>
    <xf numFmtId="0" fontId="0" fillId="0" borderId="0" xfId="0" applyAlignment="1">
      <alignment wrapText="1"/>
    </xf>
    <xf numFmtId="0" fontId="2" fillId="10" borderId="1" xfId="0" applyFont="1" applyFill="1" applyBorder="1" applyAlignment="1">
      <alignment horizontal="center" wrapText="1"/>
    </xf>
    <xf numFmtId="44" fontId="10" fillId="0" borderId="0" xfId="8" applyFont="1" applyFill="1"/>
    <xf numFmtId="0" fontId="2" fillId="10" borderId="6" xfId="0" applyFont="1" applyFill="1" applyBorder="1" applyAlignment="1">
      <alignment horizontal="center"/>
    </xf>
    <xf numFmtId="167" fontId="19" fillId="7" borderId="0" xfId="0" applyNumberFormat="1" applyFont="1" applyFill="1"/>
    <xf numFmtId="167" fontId="19" fillId="4" borderId="0" xfId="0" applyNumberFormat="1" applyFont="1" applyFill="1"/>
    <xf numFmtId="3" fontId="0" fillId="3" borderId="0" xfId="0" applyNumberFormat="1" applyFill="1"/>
    <xf numFmtId="167" fontId="19" fillId="3" borderId="0" xfId="0" applyNumberFormat="1" applyFont="1" applyFill="1"/>
    <xf numFmtId="167" fontId="0" fillId="3" borderId="0" xfId="0" applyNumberFormat="1" applyFill="1"/>
    <xf numFmtId="167" fontId="18" fillId="5" borderId="0" xfId="1" applyNumberFormat="1" applyFont="1" applyFill="1"/>
    <xf numFmtId="167" fontId="3" fillId="5" borderId="0" xfId="1" applyNumberFormat="1" applyFill="1"/>
    <xf numFmtId="0" fontId="0" fillId="14" borderId="0" xfId="0" applyFill="1"/>
    <xf numFmtId="0" fontId="0" fillId="14" borderId="0" xfId="0" applyFill="1" applyAlignment="1">
      <alignment horizontal="center"/>
    </xf>
    <xf numFmtId="0" fontId="2" fillId="8" borderId="1" xfId="0" applyFont="1" applyFill="1" applyBorder="1" applyAlignment="1">
      <alignment horizontal="center"/>
    </xf>
    <xf numFmtId="0" fontId="2" fillId="9" borderId="2" xfId="0" applyFont="1" applyFill="1" applyBorder="1" applyAlignment="1">
      <alignment horizontal="center"/>
    </xf>
    <xf numFmtId="0" fontId="2" fillId="9" borderId="3" xfId="0" applyFont="1" applyFill="1" applyBorder="1" applyAlignment="1">
      <alignment horizontal="center"/>
    </xf>
    <xf numFmtId="0" fontId="2" fillId="9"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11" borderId="2" xfId="0" applyFont="1" applyFill="1" applyBorder="1" applyAlignment="1">
      <alignment horizontal="center"/>
    </xf>
    <xf numFmtId="0" fontId="2" fillId="11" borderId="3" xfId="0" applyFont="1" applyFill="1" applyBorder="1" applyAlignment="1">
      <alignment horizontal="center"/>
    </xf>
    <xf numFmtId="0" fontId="2" fillId="11" borderId="4" xfId="0" applyFont="1" applyFill="1" applyBorder="1" applyAlignment="1">
      <alignment horizontal="center"/>
    </xf>
    <xf numFmtId="0" fontId="2" fillId="8" borderId="2" xfId="0" applyFont="1" applyFill="1" applyBorder="1" applyAlignment="1">
      <alignment horizontal="center"/>
    </xf>
    <xf numFmtId="0" fontId="2" fillId="8" borderId="3" xfId="0" applyFont="1" applyFill="1" applyBorder="1" applyAlignment="1">
      <alignment horizontal="center"/>
    </xf>
    <xf numFmtId="0" fontId="2" fillId="8" borderId="4" xfId="0" applyFont="1" applyFill="1" applyBorder="1" applyAlignment="1">
      <alignment horizontal="center"/>
    </xf>
    <xf numFmtId="0" fontId="2" fillId="10" borderId="2" xfId="0" applyFont="1" applyFill="1" applyBorder="1" applyAlignment="1">
      <alignment horizontal="center"/>
    </xf>
    <xf numFmtId="0" fontId="2" fillId="10" borderId="3" xfId="0" applyFont="1" applyFill="1" applyBorder="1" applyAlignment="1">
      <alignment horizontal="center"/>
    </xf>
    <xf numFmtId="0" fontId="2" fillId="10"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2"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10" borderId="1" xfId="0" applyFont="1" applyFill="1" applyBorder="1" applyAlignment="1">
      <alignment horizontal="center"/>
    </xf>
    <xf numFmtId="0" fontId="2" fillId="3" borderId="0" xfId="0" applyFont="1" applyFill="1" applyAlignment="1">
      <alignment horizontal="center" vertical="center"/>
    </xf>
    <xf numFmtId="0" fontId="2" fillId="10" borderId="7" xfId="0" applyFont="1" applyFill="1" applyBorder="1" applyAlignment="1">
      <alignment horizontal="left"/>
    </xf>
    <xf numFmtId="0" fontId="2" fillId="10" borderId="8" xfId="0" applyFont="1" applyFill="1" applyBorder="1" applyAlignment="1">
      <alignment horizontal="left"/>
    </xf>
    <xf numFmtId="0" fontId="2" fillId="10" borderId="9" xfId="0" applyFont="1" applyFill="1" applyBorder="1" applyAlignment="1">
      <alignment horizontal="left"/>
    </xf>
    <xf numFmtId="0" fontId="2" fillId="10" borderId="2" xfId="0" applyFont="1" applyFill="1" applyBorder="1" applyAlignment="1">
      <alignment horizontal="left"/>
    </xf>
    <xf numFmtId="0" fontId="2" fillId="10" borderId="3" xfId="0" applyFont="1" applyFill="1" applyBorder="1" applyAlignment="1">
      <alignment horizontal="left"/>
    </xf>
    <xf numFmtId="0" fontId="2" fillId="10" borderId="4" xfId="0" applyFont="1" applyFill="1" applyBorder="1" applyAlignment="1">
      <alignment horizontal="left"/>
    </xf>
    <xf numFmtId="0" fontId="3" fillId="7" borderId="0" xfId="1" applyFill="1" applyAlignment="1">
      <alignment horizontal="center"/>
    </xf>
    <xf numFmtId="0" fontId="3" fillId="4" borderId="0" xfId="1" applyFill="1" applyAlignment="1">
      <alignment horizontal="center"/>
    </xf>
    <xf numFmtId="0" fontId="2" fillId="13" borderId="2" xfId="0" applyFont="1" applyFill="1" applyBorder="1" applyAlignment="1">
      <alignment horizontal="center"/>
    </xf>
    <xf numFmtId="0" fontId="2" fillId="13" borderId="3" xfId="0" applyFont="1" applyFill="1" applyBorder="1" applyAlignment="1">
      <alignment horizontal="center"/>
    </xf>
    <xf numFmtId="0" fontId="2" fillId="13" borderId="4" xfId="0" applyFont="1" applyFill="1" applyBorder="1" applyAlignment="1">
      <alignment horizontal="center"/>
    </xf>
    <xf numFmtId="0" fontId="2" fillId="4" borderId="0" xfId="0" applyFont="1" applyFill="1" applyAlignment="1">
      <alignment horizontal="center" vertical="center"/>
    </xf>
    <xf numFmtId="0" fontId="2" fillId="7" borderId="0" xfId="0" applyFont="1" applyFill="1" applyAlignment="1">
      <alignment horizontal="center" vertical="center"/>
    </xf>
    <xf numFmtId="0" fontId="4" fillId="10" borderId="5" xfId="1" applyFont="1" applyFill="1" applyBorder="1" applyAlignment="1">
      <alignment horizontal="center" vertical="center"/>
    </xf>
    <xf numFmtId="0" fontId="4" fillId="10" borderId="6" xfId="1" applyFont="1" applyFill="1" applyBorder="1" applyAlignment="1">
      <alignment horizontal="center" vertical="center"/>
    </xf>
    <xf numFmtId="0" fontId="0" fillId="8" borderId="2" xfId="0" applyFill="1" applyBorder="1" applyAlignment="1">
      <alignment horizontal="center"/>
    </xf>
    <xf numFmtId="0" fontId="0" fillId="8" borderId="3" xfId="0" applyFill="1" applyBorder="1" applyAlignment="1">
      <alignment horizontal="center"/>
    </xf>
    <xf numFmtId="0" fontId="0" fillId="8" borderId="4" xfId="0" applyFill="1" applyBorder="1" applyAlignment="1">
      <alignment horizontal="center"/>
    </xf>
    <xf numFmtId="167" fontId="0" fillId="0" borderId="7" xfId="0" applyNumberFormat="1" applyBorder="1" applyAlignment="1">
      <alignment horizontal="center"/>
    </xf>
    <xf numFmtId="167" fontId="0" fillId="0" borderId="8" xfId="0" applyNumberFormat="1" applyBorder="1" applyAlignment="1">
      <alignment horizontal="center"/>
    </xf>
    <xf numFmtId="167" fontId="0" fillId="0" borderId="9" xfId="0" applyNumberFormat="1" applyBorder="1" applyAlignment="1">
      <alignment horizontal="center"/>
    </xf>
    <xf numFmtId="0" fontId="9" fillId="10" borderId="1" xfId="0" applyFont="1" applyFill="1" applyBorder="1" applyAlignment="1">
      <alignment horizontal="center"/>
    </xf>
  </cellXfs>
  <cellStyles count="10">
    <cellStyle name="Comma 2" xfId="2" xr:uid="{0DE5C4B4-4DBC-6244-8538-2184B76A45AC}"/>
    <cellStyle name="Currency" xfId="8" builtinId="4"/>
    <cellStyle name="Currency 2" xfId="5" xr:uid="{A8129162-5CF3-6D48-A88C-2B583CFA79C2}"/>
    <cellStyle name="Hyperlink 2" xfId="4" xr:uid="{DBEFD138-F552-044C-BDD0-5F2327DB12D0}"/>
    <cellStyle name="Neutral 2" xfId="7" xr:uid="{7E9509A3-2499-6A4C-A018-6BBE4E5B2BB6}"/>
    <cellStyle name="Normal" xfId="0" builtinId="0"/>
    <cellStyle name="Normal 2" xfId="1" xr:uid="{92AC3C83-FD6C-5F4F-8260-F77200E17BBF}"/>
    <cellStyle name="Percent" xfId="9" builtinId="5"/>
    <cellStyle name="Percent 2" xfId="3" xr:uid="{1608B349-67F8-0C43-A0D8-0D3FC7A80ECD}"/>
    <cellStyle name="Percent 2 2" xfId="6" xr:uid="{0F8F2E42-F65A-9F4E-AE82-07170AB7F7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m/Documents/Biogas%20Plant%20Calculation%20Orlando%20with%20WWTP%20Sludge.xlsx" TargetMode="External"/><Relationship Id="rId1" Type="http://schemas.openxmlformats.org/officeDocument/2006/relationships/externalLinkPath" Target="file:///C:/Users/lm/Documents/Biogas%20Plant%20Calculation%20Orlando%20with%20WWTP%20Sludg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Users/jacksondanis/Dropbox%20(CTE)/2024%20Seminole%20County%20(Sub%20to%20Langston%20-%20Seminole)/Proposal/CTE%20Narrative%20Input/AFLEET_Tool_2023_SeminoleCPRG.xlsx" TargetMode="External"/><Relationship Id="rId1" Type="http://schemas.openxmlformats.org/officeDocument/2006/relationships/externalLinkPath" Target="/Users/jacksondanis/Dropbox%20(CTE)/2024%20Seminole%20County%20(Sub%20to%20Langston%20-%20Seminole)/Proposal/CTE%20Narrative%20Input/AFLEET_Tool_2023_SeminoleCPR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Data"/>
      <sheetName val="Biomass Input"/>
      <sheetName val="Biomass Seasonality"/>
      <sheetName val="Information"/>
      <sheetName val="Gas Production Seasonality"/>
      <sheetName val="Digester &amp; Receiving"/>
      <sheetName val="Post Treatment &amp; Storage"/>
      <sheetName val="To be integrated"/>
    </sheetNames>
    <sheetDataSet>
      <sheetData sheetId="0" refreshError="1">
        <row r="6">
          <cell r="C6" t="str">
            <v>2: English</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Inputs"/>
      <sheetName val="Footprint-Onroad"/>
      <sheetName val="Background Data"/>
    </sheetNames>
    <sheetDataSet>
      <sheetData sheetId="0" refreshError="1"/>
      <sheetData sheetId="1" refreshError="1"/>
      <sheetData sheetId="2" refreshError="1"/>
      <sheetData sheetId="3">
        <row r="1919">
          <cell r="C1919">
            <v>453.59237000000002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E8B12-25C1-EE41-9787-9AAD83B7751E}">
  <dimension ref="B1:H19"/>
  <sheetViews>
    <sheetView tabSelected="1" zoomScale="140" zoomScaleNormal="140" workbookViewId="0">
      <selection activeCell="C17" sqref="C17"/>
    </sheetView>
  </sheetViews>
  <sheetFormatPr baseColWidth="10" defaultRowHeight="16" x14ac:dyDescent="0.2"/>
  <cols>
    <col min="1" max="1" width="3.5" customWidth="1"/>
    <col min="2" max="2" width="34.83203125" customWidth="1"/>
    <col min="3" max="4" width="14" customWidth="1"/>
    <col min="6" max="6" width="18.83203125" customWidth="1"/>
  </cols>
  <sheetData>
    <row r="1" spans="2:8" ht="17" thickBot="1" x14ac:dyDescent="0.25"/>
    <row r="2" spans="2:8" ht="17" thickBot="1" x14ac:dyDescent="0.25">
      <c r="B2" s="74" t="s">
        <v>349</v>
      </c>
      <c r="C2" s="88" t="s">
        <v>217</v>
      </c>
      <c r="D2" s="89" t="s">
        <v>218</v>
      </c>
    </row>
    <row r="3" spans="2:8" x14ac:dyDescent="0.2">
      <c r="B3" t="s">
        <v>298</v>
      </c>
      <c r="C3" s="41">
        <f>SUM(EmissionsAll!C5:H5)/1000</f>
        <v>11621.106015941021</v>
      </c>
      <c r="D3" s="41">
        <f>SUM(EmissionsAll!C5:AC5)/1000</f>
        <v>52633.677281698816</v>
      </c>
      <c r="E3" t="s">
        <v>206</v>
      </c>
    </row>
    <row r="4" spans="2:8" x14ac:dyDescent="0.2">
      <c r="B4" t="s">
        <v>59</v>
      </c>
      <c r="C4" s="41">
        <f>SUM(EmissionsAll!C6:H6)/1000</f>
        <v>205000.433204673</v>
      </c>
      <c r="D4" s="41">
        <f>SUM(EmissionsAll!C6:AC6)/1000</f>
        <v>1394130.6976816736</v>
      </c>
      <c r="E4" t="s">
        <v>206</v>
      </c>
    </row>
    <row r="5" spans="2:8" ht="17" thickBot="1" x14ac:dyDescent="0.25">
      <c r="B5" t="s">
        <v>238</v>
      </c>
      <c r="C5" s="41">
        <f>SUM(EmissionsAll!C7:H7)/1000</f>
        <v>2265705.4224712094</v>
      </c>
      <c r="D5" s="41">
        <f>SUM(EmissionsAll!C7:AC7)/1000</f>
        <v>13729903.399780586</v>
      </c>
      <c r="E5" t="s">
        <v>206</v>
      </c>
    </row>
    <row r="6" spans="2:8" ht="17" thickBot="1" x14ac:dyDescent="0.25">
      <c r="B6" s="61" t="s">
        <v>40</v>
      </c>
      <c r="C6" s="64">
        <f>SUM(EmissionsAll!C8:H8)/1000</f>
        <v>2482326.9616918233</v>
      </c>
      <c r="D6" s="65">
        <f>SUM(EmissionsAll!C8:AC8)/1000</f>
        <v>15176667.774743957</v>
      </c>
      <c r="E6" s="2" t="s">
        <v>206</v>
      </c>
    </row>
    <row r="7" spans="2:8" x14ac:dyDescent="0.2">
      <c r="B7" t="s">
        <v>299</v>
      </c>
      <c r="C7" s="41">
        <f>SUM(EmissionsAll!C12:H12)/1000</f>
        <v>9816.3711270378772</v>
      </c>
      <c r="D7" s="41">
        <f>SUM(EmissionsAll!C12:AC12)/1000</f>
        <v>44459.770805736014</v>
      </c>
      <c r="E7" t="s">
        <v>206</v>
      </c>
    </row>
    <row r="8" spans="2:8" x14ac:dyDescent="0.2">
      <c r="B8" t="s">
        <v>39</v>
      </c>
      <c r="C8" s="41">
        <f>SUM(EmissionsAll!C13:H13)/1000</f>
        <v>10771.608843283535</v>
      </c>
      <c r="D8" s="41">
        <f>SUM(EmissionsAll!C13:AC13)/1000</f>
        <v>10771.608843283535</v>
      </c>
      <c r="E8" t="s">
        <v>206</v>
      </c>
      <c r="G8" s="2"/>
      <c r="H8" s="2"/>
    </row>
    <row r="9" spans="2:8" x14ac:dyDescent="0.2">
      <c r="B9" t="s">
        <v>41</v>
      </c>
      <c r="C9" s="41">
        <f>SUM(EmissionsAll!C14:H14)/1000</f>
        <v>30749.667136082549</v>
      </c>
      <c r="D9" s="41">
        <f>SUM(EmissionsAll!C14:AC14)/1000</f>
        <v>204480.58646074461</v>
      </c>
      <c r="E9" t="s">
        <v>206</v>
      </c>
    </row>
    <row r="10" spans="2:8" x14ac:dyDescent="0.2">
      <c r="B10" t="s">
        <v>93</v>
      </c>
      <c r="C10" s="41">
        <f>SUM(EmissionsAll!C15:H15)/1000</f>
        <v>819.2</v>
      </c>
      <c r="D10" s="41">
        <f>SUM(EmissionsAll!C15:AC15)/1000</f>
        <v>4915.2</v>
      </c>
      <c r="E10" t="s">
        <v>206</v>
      </c>
      <c r="G10" s="41"/>
      <c r="H10" s="41"/>
    </row>
    <row r="11" spans="2:8" x14ac:dyDescent="0.2">
      <c r="B11" t="s">
        <v>157</v>
      </c>
      <c r="C11" s="41">
        <f>SUM(EmissionsAll!C16:H16)/1000</f>
        <v>15665.833384552898</v>
      </c>
      <c r="D11" s="41">
        <f>SUM(EmissionsAll!C16:AC16)/1000</f>
        <v>107431.49111224862</v>
      </c>
      <c r="E11" t="s">
        <v>206</v>
      </c>
      <c r="G11" s="41"/>
      <c r="H11" s="41"/>
    </row>
    <row r="12" spans="2:8" x14ac:dyDescent="0.2">
      <c r="B12" t="s">
        <v>287</v>
      </c>
      <c r="C12" s="41">
        <f>SUM(EmissionsAll!C17:H17)/1000</f>
        <v>7857.4992276673611</v>
      </c>
      <c r="D12" s="41">
        <f>SUM(EmissionsAll!C17:AC17)/1000</f>
        <v>53884.325060804185</v>
      </c>
      <c r="E12" t="s">
        <v>206</v>
      </c>
      <c r="G12" s="41"/>
      <c r="H12" s="41"/>
    </row>
    <row r="13" spans="2:8" x14ac:dyDescent="0.2">
      <c r="B13" t="s">
        <v>158</v>
      </c>
      <c r="C13" s="41">
        <f>SUM(EmissionsAll!C18:H18)/1000</f>
        <v>43200.745661856505</v>
      </c>
      <c r="D13" s="41">
        <f>SUM(EmissionsAll!C18:AC18)/1000</f>
        <v>284081.39001335209</v>
      </c>
      <c r="E13" t="s">
        <v>206</v>
      </c>
      <c r="G13" s="41"/>
      <c r="H13" s="41"/>
    </row>
    <row r="14" spans="2:8" x14ac:dyDescent="0.2">
      <c r="B14" t="s">
        <v>60</v>
      </c>
      <c r="C14" s="41">
        <f>SUM(EmissionsAll!C19:H19)/1000</f>
        <v>50321.570270640295</v>
      </c>
      <c r="D14" s="41">
        <f>SUM(EmissionsAll!C19:AC19)/1000</f>
        <v>55293.879092731455</v>
      </c>
      <c r="E14" t="s">
        <v>206</v>
      </c>
      <c r="G14" s="41"/>
      <c r="H14" s="41"/>
    </row>
    <row r="15" spans="2:8" ht="17" thickBot="1" x14ac:dyDescent="0.25">
      <c r="B15" t="s">
        <v>239</v>
      </c>
      <c r="C15" s="41">
        <f>SUM(EmissionsAll!C20:H20)/1000</f>
        <v>1378772.9712456288</v>
      </c>
      <c r="D15" s="41">
        <f>SUM(EmissionsAll!C20:AC20)/1000</f>
        <v>8355199.011168669</v>
      </c>
      <c r="E15" t="s">
        <v>206</v>
      </c>
      <c r="G15" s="41"/>
      <c r="H15" s="41"/>
    </row>
    <row r="16" spans="2:8" ht="17" thickBot="1" x14ac:dyDescent="0.25">
      <c r="B16" s="61" t="s">
        <v>40</v>
      </c>
      <c r="C16" s="64">
        <f>SUM(EmissionsAll!C21:H21)/1000</f>
        <v>1547975.4668967498</v>
      </c>
      <c r="D16" s="65">
        <f>SUM(EmissionsAll!C21:AC21)/1000</f>
        <v>9120517.262557568</v>
      </c>
      <c r="E16" s="2" t="s">
        <v>206</v>
      </c>
      <c r="G16" s="41"/>
      <c r="H16" s="41"/>
    </row>
    <row r="17" spans="2:8" ht="17" thickBot="1" x14ac:dyDescent="0.25">
      <c r="G17" s="42"/>
      <c r="H17" s="42"/>
    </row>
    <row r="18" spans="2:8" x14ac:dyDescent="0.2">
      <c r="B18" s="87" t="s">
        <v>350</v>
      </c>
      <c r="C18" s="62">
        <f>SUM(EmissionsAll!C23:H23)/1000</f>
        <v>-934351.49479507352</v>
      </c>
      <c r="D18" s="63">
        <f>SUM(EmissionsAll!C23:AC23)/1000</f>
        <v>-6056150.5121863876</v>
      </c>
      <c r="E18" s="2" t="s">
        <v>206</v>
      </c>
    </row>
    <row r="19" spans="2:8" ht="17" thickBot="1" x14ac:dyDescent="0.25">
      <c r="B19" s="90" t="s">
        <v>348</v>
      </c>
      <c r="C19" s="85">
        <f>-1*Coefficients!$C$105/C18</f>
        <v>187.12149868005096</v>
      </c>
      <c r="D19" s="86">
        <f>-1*Coefficients!$C$105/D18</f>
        <v>28.869370344773742</v>
      </c>
      <c r="E19" s="2" t="s">
        <v>208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BA774-060D-9748-8708-A31960A82C3E}">
  <dimension ref="A1:K131"/>
  <sheetViews>
    <sheetView zoomScaleNormal="100" workbookViewId="0">
      <selection activeCell="C40" sqref="C40"/>
    </sheetView>
  </sheetViews>
  <sheetFormatPr baseColWidth="10" defaultRowHeight="16" x14ac:dyDescent="0.2"/>
  <cols>
    <col min="1" max="1" width="3.33203125" style="7" customWidth="1"/>
    <col min="2" max="2" width="58.6640625" style="7" customWidth="1"/>
    <col min="3" max="3" width="32.83203125" style="7" customWidth="1"/>
    <col min="4" max="4" width="24.1640625" style="7" customWidth="1"/>
    <col min="5" max="5" width="12" style="7" customWidth="1"/>
    <col min="6" max="6" width="10.83203125" style="7"/>
    <col min="7" max="7" width="20.33203125" style="7" bestFit="1" customWidth="1"/>
    <col min="8" max="16384" width="10.83203125" style="7"/>
  </cols>
  <sheetData>
    <row r="1" spans="1:7" ht="17" thickBot="1" x14ac:dyDescent="0.25"/>
    <row r="2" spans="1:7" ht="17" thickBot="1" x14ac:dyDescent="0.25">
      <c r="B2" s="364" t="s">
        <v>204</v>
      </c>
      <c r="C2" s="364"/>
      <c r="D2" s="364"/>
    </row>
    <row r="3" spans="1:7" ht="17" thickBot="1" x14ac:dyDescent="0.25">
      <c r="B3" s="290" t="s">
        <v>35</v>
      </c>
      <c r="C3" s="290" t="s">
        <v>36</v>
      </c>
      <c r="D3" s="290" t="s">
        <v>43</v>
      </c>
    </row>
    <row r="5" spans="1:7" x14ac:dyDescent="0.2">
      <c r="B5" s="6" t="s">
        <v>320</v>
      </c>
    </row>
    <row r="6" spans="1:7" ht="17" customHeight="1" x14ac:dyDescent="0.2">
      <c r="A6" s="23"/>
      <c r="B6" s="7" t="s">
        <v>292</v>
      </c>
      <c r="C6" s="9">
        <v>365</v>
      </c>
      <c r="D6" s="7" t="s">
        <v>42</v>
      </c>
    </row>
    <row r="7" spans="1:7" ht="17" customHeight="1" x14ac:dyDescent="0.2">
      <c r="A7" s="23"/>
      <c r="B7" s="7" t="s">
        <v>291</v>
      </c>
      <c r="C7" s="9">
        <v>60</v>
      </c>
      <c r="D7" s="7" t="s">
        <v>232</v>
      </c>
    </row>
    <row r="8" spans="1:7" ht="17" customHeight="1" x14ac:dyDescent="0.2">
      <c r="A8" s="23"/>
      <c r="B8" s="7" t="s">
        <v>142</v>
      </c>
      <c r="C8" s="7">
        <v>24</v>
      </c>
      <c r="D8" s="7" t="s">
        <v>143</v>
      </c>
    </row>
    <row r="9" spans="1:7" x14ac:dyDescent="0.2">
      <c r="B9" s="11" t="s">
        <v>290</v>
      </c>
      <c r="C9" s="7">
        <v>8760</v>
      </c>
      <c r="D9" s="7" t="s">
        <v>90</v>
      </c>
      <c r="E9" s="11"/>
      <c r="F9" s="11"/>
      <c r="G9" s="10"/>
    </row>
    <row r="10" spans="1:7" x14ac:dyDescent="0.2">
      <c r="B10" s="7" t="s">
        <v>94</v>
      </c>
      <c r="C10" s="7">
        <v>907.18499999999995</v>
      </c>
      <c r="D10" s="7" t="s">
        <v>54</v>
      </c>
      <c r="E10" s="11"/>
    </row>
    <row r="11" spans="1:7" x14ac:dyDescent="0.2">
      <c r="B11" s="7" t="s">
        <v>125</v>
      </c>
      <c r="C11" s="7">
        <v>1.1023099999999999</v>
      </c>
      <c r="D11" s="7" t="s">
        <v>149</v>
      </c>
    </row>
    <row r="12" spans="1:7" ht="17" customHeight="1" x14ac:dyDescent="0.2">
      <c r="B12" s="7" t="s">
        <v>233</v>
      </c>
      <c r="C12" s="7">
        <v>35.314700000000002</v>
      </c>
      <c r="D12" s="7" t="s">
        <v>234</v>
      </c>
    </row>
    <row r="13" spans="1:7" ht="17" customHeight="1" x14ac:dyDescent="0.2">
      <c r="B13" s="7" t="s">
        <v>293</v>
      </c>
      <c r="C13" s="7">
        <v>1.61</v>
      </c>
      <c r="D13" s="7" t="s">
        <v>294</v>
      </c>
    </row>
    <row r="14" spans="1:7" ht="17" customHeight="1" x14ac:dyDescent="0.2"/>
    <row r="15" spans="1:7" ht="17" customHeight="1" x14ac:dyDescent="0.2">
      <c r="B15" s="6" t="s">
        <v>321</v>
      </c>
    </row>
    <row r="16" spans="1:7" ht="16" customHeight="1" x14ac:dyDescent="0.2">
      <c r="A16" s="23"/>
      <c r="B16" s="7" t="s">
        <v>155</v>
      </c>
      <c r="C16" s="7">
        <v>44</v>
      </c>
      <c r="D16" s="7" t="s">
        <v>153</v>
      </c>
    </row>
    <row r="17" spans="1:8" x14ac:dyDescent="0.2">
      <c r="A17" s="23"/>
      <c r="B17" s="7" t="s">
        <v>154</v>
      </c>
      <c r="C17" s="7">
        <v>0.71560000000000001</v>
      </c>
      <c r="D17" s="7" t="s">
        <v>152</v>
      </c>
    </row>
    <row r="18" spans="1:8" x14ac:dyDescent="0.2">
      <c r="A18" s="23"/>
      <c r="B18" s="7" t="s">
        <v>156</v>
      </c>
      <c r="C18" s="7">
        <v>1.9630000000000001</v>
      </c>
      <c r="D18" s="7" t="s">
        <v>152</v>
      </c>
    </row>
    <row r="19" spans="1:8" x14ac:dyDescent="0.2">
      <c r="A19" s="23"/>
      <c r="G19" s="10"/>
      <c r="H19" s="10"/>
    </row>
    <row r="20" spans="1:8" x14ac:dyDescent="0.2">
      <c r="A20" s="23"/>
      <c r="B20" s="6" t="s">
        <v>0</v>
      </c>
      <c r="G20" s="10"/>
      <c r="H20" s="10"/>
    </row>
    <row r="21" spans="1:8" x14ac:dyDescent="0.2">
      <c r="A21" s="23"/>
      <c r="B21" s="7" t="s">
        <v>322</v>
      </c>
      <c r="C21" s="9">
        <v>36.6</v>
      </c>
      <c r="D21" s="7" t="s">
        <v>55</v>
      </c>
      <c r="G21" s="10"/>
      <c r="H21" s="10"/>
    </row>
    <row r="22" spans="1:8" x14ac:dyDescent="0.2">
      <c r="A22" s="23"/>
      <c r="B22" s="7" t="s">
        <v>96</v>
      </c>
      <c r="C22" s="9">
        <v>20</v>
      </c>
      <c r="D22" s="7" t="s">
        <v>95</v>
      </c>
      <c r="G22" s="10"/>
      <c r="H22" s="10"/>
    </row>
    <row r="23" spans="1:8" x14ac:dyDescent="0.2">
      <c r="A23" s="23"/>
      <c r="B23" s="7" t="s">
        <v>112</v>
      </c>
      <c r="C23" s="9">
        <v>4.5</v>
      </c>
      <c r="D23" s="7" t="s">
        <v>116</v>
      </c>
      <c r="G23" s="10"/>
    </row>
    <row r="24" spans="1:8" x14ac:dyDescent="0.2">
      <c r="A24" s="23"/>
      <c r="B24" s="7" t="s">
        <v>113</v>
      </c>
      <c r="C24" s="9">
        <v>3.5</v>
      </c>
      <c r="D24" s="7" t="s">
        <v>115</v>
      </c>
      <c r="G24" s="10"/>
    </row>
    <row r="25" spans="1:8" x14ac:dyDescent="0.2">
      <c r="A25" s="23"/>
      <c r="G25" s="10"/>
    </row>
    <row r="26" spans="1:8" x14ac:dyDescent="0.2">
      <c r="A26" s="23"/>
      <c r="B26" s="6" t="s">
        <v>81</v>
      </c>
      <c r="C26" s="9"/>
    </row>
    <row r="27" spans="1:8" x14ac:dyDescent="0.2">
      <c r="A27" s="23"/>
      <c r="B27" s="11" t="s">
        <v>61</v>
      </c>
      <c r="C27" s="24">
        <v>2</v>
      </c>
      <c r="D27" s="11" t="s">
        <v>62</v>
      </c>
    </row>
    <row r="28" spans="1:8" ht="17" x14ac:dyDescent="0.2">
      <c r="A28" s="23"/>
      <c r="B28" s="13" t="s">
        <v>63</v>
      </c>
      <c r="C28" s="25">
        <v>2.5</v>
      </c>
      <c r="D28" s="8" t="s">
        <v>47</v>
      </c>
      <c r="F28" s="11"/>
    </row>
    <row r="29" spans="1:8" ht="17" x14ac:dyDescent="0.2">
      <c r="A29" s="23"/>
      <c r="B29" s="13" t="s">
        <v>64</v>
      </c>
      <c r="C29" s="25">
        <v>8000</v>
      </c>
      <c r="D29" s="8" t="s">
        <v>49</v>
      </c>
    </row>
    <row r="30" spans="1:8" x14ac:dyDescent="0.2">
      <c r="A30" s="23"/>
      <c r="B30" s="7" t="s">
        <v>109</v>
      </c>
      <c r="C30" s="21">
        <v>633.67945950000001</v>
      </c>
      <c r="D30" s="13" t="s">
        <v>44</v>
      </c>
      <c r="G30" s="39"/>
    </row>
    <row r="31" spans="1:8" x14ac:dyDescent="0.2">
      <c r="A31" s="23"/>
      <c r="B31" s="11" t="s">
        <v>131</v>
      </c>
      <c r="C31" s="27">
        <v>0.15</v>
      </c>
      <c r="D31" s="11"/>
      <c r="E31" s="26"/>
      <c r="F31" s="26"/>
    </row>
    <row r="32" spans="1:8" x14ac:dyDescent="0.2">
      <c r="A32" s="23"/>
      <c r="B32" s="11" t="s">
        <v>130</v>
      </c>
      <c r="C32" s="27">
        <v>0.05</v>
      </c>
      <c r="E32" s="10"/>
      <c r="F32" s="10"/>
    </row>
    <row r="33" spans="1:6" x14ac:dyDescent="0.2">
      <c r="A33" s="23"/>
      <c r="B33" s="11" t="s">
        <v>65</v>
      </c>
      <c r="C33" s="20">
        <v>15.2</v>
      </c>
      <c r="D33" s="7" t="s">
        <v>47</v>
      </c>
      <c r="E33" s="10"/>
      <c r="F33" s="10"/>
    </row>
    <row r="34" spans="1:6" ht="17" x14ac:dyDescent="0.2">
      <c r="A34" s="23"/>
      <c r="B34" s="8" t="s">
        <v>66</v>
      </c>
      <c r="C34" s="28">
        <v>108.48274822962183</v>
      </c>
      <c r="D34" s="29" t="s">
        <v>67</v>
      </c>
      <c r="E34" s="10"/>
      <c r="F34" s="10"/>
    </row>
    <row r="35" spans="1:6" x14ac:dyDescent="0.2">
      <c r="B35" s="11" t="s">
        <v>72</v>
      </c>
      <c r="C35" s="17">
        <v>12</v>
      </c>
      <c r="D35" s="29" t="s">
        <v>67</v>
      </c>
    </row>
    <row r="36" spans="1:6" x14ac:dyDescent="0.2">
      <c r="B36" s="11" t="s">
        <v>73</v>
      </c>
      <c r="C36" s="17">
        <v>1</v>
      </c>
      <c r="D36" s="29" t="s">
        <v>67</v>
      </c>
    </row>
    <row r="37" spans="1:6" x14ac:dyDescent="0.2">
      <c r="B37" s="11" t="s">
        <v>74</v>
      </c>
      <c r="C37" s="17">
        <v>16</v>
      </c>
      <c r="D37" s="29" t="s">
        <v>67</v>
      </c>
    </row>
    <row r="38" spans="1:6" x14ac:dyDescent="0.2">
      <c r="B38" s="11" t="s">
        <v>75</v>
      </c>
      <c r="C38" s="17">
        <v>14</v>
      </c>
      <c r="D38" s="29" t="s">
        <v>67</v>
      </c>
    </row>
    <row r="39" spans="1:6" x14ac:dyDescent="0.2">
      <c r="B39" s="11" t="s">
        <v>68</v>
      </c>
      <c r="C39" s="30">
        <f>(33.08+33.29)/2/100</f>
        <v>0.33185000000000003</v>
      </c>
    </row>
    <row r="40" spans="1:6" x14ac:dyDescent="0.2">
      <c r="B40" s="11" t="s">
        <v>69</v>
      </c>
      <c r="C40" s="31">
        <f>(4.85+4.71)/2/100</f>
        <v>4.7799999999999995E-2</v>
      </c>
    </row>
    <row r="41" spans="1:6" x14ac:dyDescent="0.2">
      <c r="B41" s="11" t="s">
        <v>70</v>
      </c>
      <c r="C41" s="31">
        <f>(21.63+21.92)/2/100</f>
        <v>0.21775</v>
      </c>
    </row>
    <row r="42" spans="1:6" x14ac:dyDescent="0.2">
      <c r="B42" s="11" t="s">
        <v>71</v>
      </c>
      <c r="C42" s="31">
        <f>(5.64+5.63)/2/100</f>
        <v>5.6349999999999997E-2</v>
      </c>
    </row>
    <row r="43" spans="1:6" x14ac:dyDescent="0.2">
      <c r="B43" s="11" t="s">
        <v>88</v>
      </c>
      <c r="C43" s="7">
        <v>20000</v>
      </c>
      <c r="D43" s="7" t="s">
        <v>89</v>
      </c>
    </row>
    <row r="44" spans="1:6" x14ac:dyDescent="0.2">
      <c r="B44" s="11"/>
    </row>
    <row r="45" spans="1:6" ht="17" customHeight="1" x14ac:dyDescent="0.2">
      <c r="B45" s="6" t="s">
        <v>97</v>
      </c>
      <c r="C45" s="32"/>
    </row>
    <row r="46" spans="1:6" ht="17" customHeight="1" x14ac:dyDescent="0.2">
      <c r="B46" s="7" t="s">
        <v>100</v>
      </c>
      <c r="C46" s="7">
        <v>225</v>
      </c>
      <c r="D46" s="7" t="s">
        <v>126</v>
      </c>
    </row>
    <row r="47" spans="1:6" x14ac:dyDescent="0.2">
      <c r="B47" s="7" t="s">
        <v>102</v>
      </c>
      <c r="C47" s="32">
        <v>0.65</v>
      </c>
      <c r="D47" s="7" t="s">
        <v>166</v>
      </c>
    </row>
    <row r="48" spans="1:6" x14ac:dyDescent="0.2">
      <c r="B48" s="7" t="s">
        <v>226</v>
      </c>
      <c r="C48" s="7">
        <v>0.28999999999999998</v>
      </c>
      <c r="D48" s="7" t="s">
        <v>99</v>
      </c>
    </row>
    <row r="49" spans="2:11" x14ac:dyDescent="0.2">
      <c r="B49" s="7" t="s">
        <v>98</v>
      </c>
      <c r="C49" s="7">
        <v>12</v>
      </c>
      <c r="D49" s="7" t="s">
        <v>105</v>
      </c>
      <c r="H49" s="15"/>
    </row>
    <row r="50" spans="2:11" x14ac:dyDescent="0.2">
      <c r="B50" s="7" t="s">
        <v>107</v>
      </c>
      <c r="C50" s="7">
        <v>0.22</v>
      </c>
      <c r="D50" s="7" t="s">
        <v>106</v>
      </c>
      <c r="H50" s="15"/>
    </row>
    <row r="51" spans="2:11" x14ac:dyDescent="0.2">
      <c r="B51" s="7" t="s">
        <v>108</v>
      </c>
      <c r="C51" s="7">
        <v>44</v>
      </c>
      <c r="D51" s="7" t="s">
        <v>119</v>
      </c>
      <c r="H51" s="15"/>
    </row>
    <row r="52" spans="2:11" x14ac:dyDescent="0.2">
      <c r="B52" s="7" t="s">
        <v>305</v>
      </c>
      <c r="C52" s="35">
        <v>5.0000000000000001E-3</v>
      </c>
      <c r="H52" s="15"/>
    </row>
    <row r="53" spans="2:11" x14ac:dyDescent="0.2">
      <c r="B53" s="7" t="s">
        <v>104</v>
      </c>
      <c r="C53" s="32">
        <v>0.95</v>
      </c>
      <c r="H53" s="15"/>
      <c r="I53" s="12"/>
      <c r="J53" s="15"/>
      <c r="K53" s="12"/>
    </row>
    <row r="54" spans="2:11" x14ac:dyDescent="0.2">
      <c r="B54" s="7" t="s">
        <v>227</v>
      </c>
      <c r="C54" s="7">
        <v>1312500</v>
      </c>
      <c r="D54" s="7" t="s">
        <v>101</v>
      </c>
    </row>
    <row r="55" spans="2:11" x14ac:dyDescent="0.2">
      <c r="B55" s="7" t="s">
        <v>103</v>
      </c>
      <c r="C55" s="7">
        <v>400000</v>
      </c>
      <c r="D55" s="7" t="s">
        <v>101</v>
      </c>
      <c r="H55" s="33"/>
    </row>
    <row r="56" spans="2:11" x14ac:dyDescent="0.2">
      <c r="H56" s="34"/>
      <c r="I56" s="17"/>
      <c r="J56" s="34"/>
      <c r="K56" s="17"/>
    </row>
    <row r="57" spans="2:11" x14ac:dyDescent="0.2">
      <c r="B57" s="6" t="s">
        <v>225</v>
      </c>
      <c r="H57" s="34"/>
      <c r="I57" s="17"/>
      <c r="J57" s="34"/>
      <c r="K57" s="17"/>
    </row>
    <row r="58" spans="2:11" ht="16" customHeight="1" x14ac:dyDescent="0.2">
      <c r="B58" s="7" t="s">
        <v>181</v>
      </c>
      <c r="C58" s="7">
        <v>520</v>
      </c>
      <c r="D58" s="7" t="s">
        <v>42</v>
      </c>
      <c r="H58" s="18"/>
      <c r="I58" s="15"/>
      <c r="J58" s="18"/>
      <c r="K58" s="15"/>
    </row>
    <row r="59" spans="2:11" x14ac:dyDescent="0.2">
      <c r="B59" s="7" t="s">
        <v>182</v>
      </c>
      <c r="C59" s="7">
        <v>8</v>
      </c>
      <c r="D59" s="7" t="s">
        <v>90</v>
      </c>
      <c r="H59" s="19"/>
      <c r="I59" s="15"/>
      <c r="J59" s="19"/>
      <c r="K59" s="15"/>
    </row>
    <row r="60" spans="2:11" ht="16" customHeight="1" x14ac:dyDescent="0.2">
      <c r="B60" s="7" t="s">
        <v>183</v>
      </c>
      <c r="C60" s="7">
        <v>20</v>
      </c>
      <c r="D60" s="7" t="s">
        <v>184</v>
      </c>
      <c r="H60" s="19"/>
      <c r="I60" s="15"/>
      <c r="J60" s="19"/>
      <c r="K60" s="15"/>
    </row>
    <row r="61" spans="2:11" ht="17" customHeight="1" x14ac:dyDescent="0.2">
      <c r="B61" s="7" t="s">
        <v>186</v>
      </c>
      <c r="C61" s="43">
        <v>2.5</v>
      </c>
      <c r="D61" s="7" t="s">
        <v>185</v>
      </c>
      <c r="H61" s="19"/>
      <c r="I61" s="15"/>
      <c r="J61" s="19"/>
      <c r="K61" s="15"/>
    </row>
    <row r="62" spans="2:11" ht="17" customHeight="1" x14ac:dyDescent="0.2">
      <c r="C62" s="43"/>
      <c r="H62" s="19"/>
      <c r="I62" s="15"/>
      <c r="J62" s="19"/>
      <c r="K62" s="15"/>
    </row>
    <row r="63" spans="2:11" ht="17" customHeight="1" x14ac:dyDescent="0.2">
      <c r="B63" s="7" t="s">
        <v>301</v>
      </c>
      <c r="C63" s="54">
        <v>2</v>
      </c>
      <c r="D63" s="7" t="s">
        <v>300</v>
      </c>
      <c r="H63" s="19"/>
      <c r="I63" s="15"/>
      <c r="J63" s="19"/>
      <c r="K63" s="15"/>
    </row>
    <row r="64" spans="2:11" ht="17" customHeight="1" x14ac:dyDescent="0.2">
      <c r="B64" s="7" t="s">
        <v>302</v>
      </c>
      <c r="C64" s="55">
        <v>7.0000000000000007E-2</v>
      </c>
      <c r="H64" s="19"/>
      <c r="I64" s="15"/>
      <c r="J64" s="19"/>
      <c r="K64" s="15"/>
    </row>
    <row r="65" spans="2:11" ht="17" customHeight="1" x14ac:dyDescent="0.2">
      <c r="B65" s="7" t="s">
        <v>304</v>
      </c>
      <c r="C65" s="56">
        <v>0.12</v>
      </c>
      <c r="K65" s="15"/>
    </row>
    <row r="66" spans="2:11" ht="17" customHeight="1" x14ac:dyDescent="0.2">
      <c r="B66" s="7" t="s">
        <v>306</v>
      </c>
      <c r="C66" s="57">
        <v>222.3</v>
      </c>
      <c r="D66" s="7" t="s">
        <v>191</v>
      </c>
      <c r="K66" s="15"/>
    </row>
    <row r="67" spans="2:11" ht="17" customHeight="1" x14ac:dyDescent="0.2">
      <c r="B67" s="7" t="s">
        <v>315</v>
      </c>
      <c r="C67" s="57">
        <v>42.6</v>
      </c>
      <c r="D67" s="7" t="s">
        <v>191</v>
      </c>
      <c r="H67" s="19"/>
      <c r="I67" s="15"/>
      <c r="J67" s="19"/>
      <c r="K67" s="15"/>
    </row>
    <row r="68" spans="2:11" ht="17" customHeight="1" x14ac:dyDescent="0.2">
      <c r="B68" s="7" t="s">
        <v>316</v>
      </c>
      <c r="C68" s="57">
        <v>2</v>
      </c>
      <c r="D68" s="7" t="s">
        <v>317</v>
      </c>
      <c r="H68" s="19"/>
      <c r="I68" s="15"/>
      <c r="J68" s="19"/>
      <c r="K68" s="15"/>
    </row>
    <row r="69" spans="2:11" ht="17" customHeight="1" x14ac:dyDescent="0.2">
      <c r="C69" s="56"/>
      <c r="H69" s="19"/>
      <c r="I69" s="15"/>
      <c r="J69" s="19"/>
      <c r="K69" s="15"/>
    </row>
    <row r="70" spans="2:11" x14ac:dyDescent="0.2">
      <c r="B70" s="6" t="s">
        <v>228</v>
      </c>
    </row>
    <row r="71" spans="2:11" x14ac:dyDescent="0.2">
      <c r="B71" s="7" t="s">
        <v>229</v>
      </c>
      <c r="C71" s="32">
        <v>0.5</v>
      </c>
      <c r="D71" s="7" t="s">
        <v>235</v>
      </c>
    </row>
    <row r="72" spans="2:11" x14ac:dyDescent="0.2">
      <c r="B72" s="7" t="s">
        <v>230</v>
      </c>
      <c r="C72" s="32">
        <v>0.75</v>
      </c>
    </row>
    <row r="73" spans="2:11" x14ac:dyDescent="0.2">
      <c r="B73" s="7" t="s">
        <v>231</v>
      </c>
      <c r="C73" s="32">
        <v>0.5</v>
      </c>
    </row>
    <row r="75" spans="2:11" x14ac:dyDescent="0.2">
      <c r="B75" s="6" t="s">
        <v>323</v>
      </c>
    </row>
    <row r="76" spans="2:11" x14ac:dyDescent="0.2">
      <c r="B76" s="7" t="s">
        <v>147</v>
      </c>
      <c r="C76" s="7">
        <v>28</v>
      </c>
      <c r="D76" s="7" t="s">
        <v>148</v>
      </c>
    </row>
    <row r="77" spans="2:11" x14ac:dyDescent="0.2">
      <c r="B77" s="7" t="s">
        <v>159</v>
      </c>
      <c r="C77" s="7">
        <v>265</v>
      </c>
      <c r="D77" s="7" t="s">
        <v>148</v>
      </c>
    </row>
    <row r="78" spans="2:11" ht="17" x14ac:dyDescent="0.2">
      <c r="B78" s="13" t="s">
        <v>178</v>
      </c>
      <c r="C78" s="25">
        <v>10.24</v>
      </c>
      <c r="D78" s="8" t="s">
        <v>91</v>
      </c>
    </row>
    <row r="79" spans="2:11" x14ac:dyDescent="0.2">
      <c r="B79" s="7" t="s">
        <v>179</v>
      </c>
      <c r="C79" s="7">
        <v>0.37048487376000006</v>
      </c>
      <c r="D79" s="7" t="s">
        <v>92</v>
      </c>
    </row>
    <row r="80" spans="2:11" x14ac:dyDescent="0.2">
      <c r="B80" s="7" t="s">
        <v>303</v>
      </c>
      <c r="C80" s="7">
        <v>0.77600000000000002</v>
      </c>
      <c r="D80" s="7" t="s">
        <v>203</v>
      </c>
    </row>
    <row r="81" spans="2:4" x14ac:dyDescent="0.2">
      <c r="B81" s="7" t="s">
        <v>180</v>
      </c>
      <c r="C81" s="7">
        <v>1.85</v>
      </c>
      <c r="D81" s="7" t="s">
        <v>203</v>
      </c>
    </row>
    <row r="83" spans="2:4" x14ac:dyDescent="0.2">
      <c r="B83" s="7" t="s">
        <v>277</v>
      </c>
      <c r="C83" s="7">
        <v>1.1393519222414633E-2</v>
      </c>
      <c r="D83" s="7" t="s">
        <v>117</v>
      </c>
    </row>
    <row r="84" spans="2:4" x14ac:dyDescent="0.2">
      <c r="B84" s="7" t="s">
        <v>278</v>
      </c>
      <c r="C84" s="7">
        <v>7.4854329779885488E-3</v>
      </c>
      <c r="D84" s="7" t="s">
        <v>118</v>
      </c>
    </row>
    <row r="86" spans="2:4" x14ac:dyDescent="0.2">
      <c r="B86" t="s">
        <v>254</v>
      </c>
      <c r="C86">
        <v>8.4591370000337528E-3</v>
      </c>
      <c r="D86" s="7" t="s">
        <v>262</v>
      </c>
    </row>
    <row r="87" spans="2:4" x14ac:dyDescent="0.2">
      <c r="B87" t="s">
        <v>255</v>
      </c>
      <c r="C87">
        <v>1.3448197993277532E-4</v>
      </c>
      <c r="D87" s="7" t="s">
        <v>262</v>
      </c>
    </row>
    <row r="88" spans="2:4" x14ac:dyDescent="0.2">
      <c r="B88" t="s">
        <v>256</v>
      </c>
      <c r="C88">
        <v>2.7998707297479454E-4</v>
      </c>
      <c r="D88" s="7" t="s">
        <v>262</v>
      </c>
    </row>
    <row r="89" spans="2:4" x14ac:dyDescent="0.2">
      <c r="B89" t="s">
        <v>257</v>
      </c>
      <c r="C89">
        <v>1.2345886682353145E-4</v>
      </c>
      <c r="D89" s="7" t="s">
        <v>262</v>
      </c>
    </row>
    <row r="90" spans="2:4" x14ac:dyDescent="0.2">
      <c r="B90" t="s">
        <v>258</v>
      </c>
      <c r="C90">
        <v>3.5273961949580415E-5</v>
      </c>
      <c r="D90" s="7" t="s">
        <v>262</v>
      </c>
    </row>
    <row r="91" spans="2:4" x14ac:dyDescent="0.2">
      <c r="B91" t="s">
        <v>259</v>
      </c>
      <c r="C91">
        <v>2.9762405394958473E-4</v>
      </c>
      <c r="D91" s="7" t="s">
        <v>262</v>
      </c>
    </row>
    <row r="92" spans="2:4" x14ac:dyDescent="0.2">
      <c r="B92" t="s">
        <v>260</v>
      </c>
      <c r="C92">
        <v>1.1464037633613633E-4</v>
      </c>
      <c r="D92" s="7" t="s">
        <v>262</v>
      </c>
    </row>
    <row r="93" spans="2:4" x14ac:dyDescent="0.2">
      <c r="B93" t="s">
        <v>271</v>
      </c>
      <c r="C93">
        <v>1.5549644276423785E-4</v>
      </c>
      <c r="D93" s="7" t="s">
        <v>261</v>
      </c>
    </row>
    <row r="94" spans="2:4" x14ac:dyDescent="0.2">
      <c r="B94"/>
    </row>
    <row r="95" spans="2:4" x14ac:dyDescent="0.2">
      <c r="B95" t="s">
        <v>263</v>
      </c>
      <c r="C95">
        <v>2.5972215037980083E-4</v>
      </c>
      <c r="D95" s="7" t="s">
        <v>262</v>
      </c>
    </row>
    <row r="96" spans="2:4" x14ac:dyDescent="0.2">
      <c r="B96" t="s">
        <v>264</v>
      </c>
      <c r="C96">
        <v>5.3872960068450089E-5</v>
      </c>
      <c r="D96" s="7" t="s">
        <v>262</v>
      </c>
    </row>
    <row r="97" spans="2:5" x14ac:dyDescent="0.2">
      <c r="B97" t="s">
        <v>265</v>
      </c>
      <c r="C97">
        <v>2.8660094084034083E-4</v>
      </c>
      <c r="D97" s="7" t="s">
        <v>262</v>
      </c>
    </row>
    <row r="98" spans="2:5" x14ac:dyDescent="0.2">
      <c r="B98" t="s">
        <v>266</v>
      </c>
      <c r="C98">
        <v>4.9425539541257309E-5</v>
      </c>
      <c r="D98" s="7" t="s">
        <v>262</v>
      </c>
    </row>
    <row r="99" spans="2:5" x14ac:dyDescent="0.2">
      <c r="B99" t="s">
        <v>267</v>
      </c>
      <c r="C99">
        <v>3.7478584571429189E-5</v>
      </c>
      <c r="D99" s="7" t="s">
        <v>262</v>
      </c>
    </row>
    <row r="100" spans="2:5" x14ac:dyDescent="0.2">
      <c r="B100" t="s">
        <v>268</v>
      </c>
      <c r="C100">
        <v>1.1769478076858865E-4</v>
      </c>
      <c r="D100" s="7" t="s">
        <v>262</v>
      </c>
    </row>
    <row r="101" spans="2:5" x14ac:dyDescent="0.2">
      <c r="B101" t="s">
        <v>269</v>
      </c>
      <c r="C101">
        <v>0</v>
      </c>
      <c r="D101" s="7" t="s">
        <v>262</v>
      </c>
    </row>
    <row r="102" spans="2:5" x14ac:dyDescent="0.2">
      <c r="B102" t="s">
        <v>270</v>
      </c>
      <c r="C102">
        <v>6.6428193555693359E-5</v>
      </c>
      <c r="D102" s="7" t="s">
        <v>272</v>
      </c>
    </row>
    <row r="104" spans="2:5" x14ac:dyDescent="0.2">
      <c r="B104" s="6" t="s">
        <v>207</v>
      </c>
    </row>
    <row r="105" spans="2:5" x14ac:dyDescent="0.2">
      <c r="B105" s="7" t="s">
        <v>40</v>
      </c>
      <c r="C105" s="308">
        <v>174837252</v>
      </c>
    </row>
    <row r="106" spans="2:5" ht="17" thickBot="1" x14ac:dyDescent="0.25"/>
    <row r="107" spans="2:5" ht="17" thickBot="1" x14ac:dyDescent="0.25">
      <c r="B107" s="364" t="s">
        <v>205</v>
      </c>
      <c r="C107" s="364"/>
      <c r="D107" s="364"/>
    </row>
    <row r="108" spans="2:5" ht="17" thickBot="1" x14ac:dyDescent="0.25">
      <c r="B108" s="290" t="s">
        <v>35</v>
      </c>
      <c r="C108" s="290" t="s">
        <v>36</v>
      </c>
      <c r="D108" s="290" t="s">
        <v>43</v>
      </c>
    </row>
    <row r="110" spans="2:5" x14ac:dyDescent="0.2">
      <c r="B110" s="6" t="s">
        <v>81</v>
      </c>
      <c r="C110" s="9"/>
      <c r="E110" s="10"/>
    </row>
    <row r="111" spans="2:5" x14ac:dyDescent="0.2">
      <c r="B111" s="11" t="s">
        <v>51</v>
      </c>
      <c r="C111" s="20">
        <f>-166.66*$C$27</f>
        <v>-333.32</v>
      </c>
      <c r="D111" s="22" t="s">
        <v>52</v>
      </c>
      <c r="E111" s="12"/>
    </row>
    <row r="112" spans="2:5" x14ac:dyDescent="0.2">
      <c r="C112" s="9"/>
    </row>
    <row r="113" spans="2:5" x14ac:dyDescent="0.2">
      <c r="B113" s="7" t="s">
        <v>133</v>
      </c>
      <c r="C113" s="45">
        <f>C114/$C$31</f>
        <v>211.22648650000002</v>
      </c>
      <c r="D113" s="13" t="s">
        <v>77</v>
      </c>
      <c r="E113" s="13"/>
    </row>
    <row r="114" spans="2:5" x14ac:dyDescent="0.2">
      <c r="B114" s="7" t="s">
        <v>132</v>
      </c>
      <c r="C114" s="21">
        <f>$C$30*$C$32</f>
        <v>31.683972975000003</v>
      </c>
      <c r="D114" s="13" t="s">
        <v>77</v>
      </c>
    </row>
    <row r="115" spans="2:5" x14ac:dyDescent="0.2">
      <c r="B115" s="7" t="s">
        <v>78</v>
      </c>
      <c r="C115" s="21">
        <f>C113*1000</f>
        <v>211226.48650000003</v>
      </c>
      <c r="D115" s="13" t="s">
        <v>76</v>
      </c>
      <c r="E115" s="13"/>
    </row>
    <row r="116" spans="2:5" x14ac:dyDescent="0.2">
      <c r="B116" s="7" t="s">
        <v>78</v>
      </c>
      <c r="C116" s="21">
        <f>C115/24</f>
        <v>8801.1036041666684</v>
      </c>
      <c r="D116" s="13" t="s">
        <v>46</v>
      </c>
      <c r="E116" s="13"/>
    </row>
    <row r="117" spans="2:5" x14ac:dyDescent="0.2">
      <c r="B117" s="7" t="s">
        <v>79</v>
      </c>
      <c r="C117" s="21">
        <f>ROUNDUP((C116/8333),0)</f>
        <v>2</v>
      </c>
      <c r="D117" s="13" t="s">
        <v>48</v>
      </c>
      <c r="E117" s="14"/>
    </row>
    <row r="118" spans="2:5" x14ac:dyDescent="0.2">
      <c r="B118" s="7" t="s">
        <v>87</v>
      </c>
      <c r="C118" s="21">
        <f>C116/C117</f>
        <v>4400.5518020833342</v>
      </c>
      <c r="D118" s="13" t="s">
        <v>46</v>
      </c>
      <c r="E118" s="13"/>
    </row>
    <row r="119" spans="2:5" x14ac:dyDescent="0.2">
      <c r="B119" s="7" t="s">
        <v>86</v>
      </c>
      <c r="C119" s="21">
        <f>200*1000/24</f>
        <v>8333.3333333333339</v>
      </c>
      <c r="D119" s="13" t="s">
        <v>46</v>
      </c>
    </row>
    <row r="120" spans="2:5" x14ac:dyDescent="0.2">
      <c r="B120" s="7" t="s">
        <v>80</v>
      </c>
      <c r="C120" s="21">
        <f>C118*C117</f>
        <v>8801.1036041666684</v>
      </c>
      <c r="D120" s="13" t="s">
        <v>50</v>
      </c>
    </row>
    <row r="121" spans="2:5" x14ac:dyDescent="0.2">
      <c r="C121" s="9"/>
    </row>
    <row r="122" spans="2:5" x14ac:dyDescent="0.2">
      <c r="B122" s="11" t="s">
        <v>212</v>
      </c>
      <c r="C122" s="46">
        <f>$C$39*$C$34/$C$35</f>
        <v>3.0000000000000004</v>
      </c>
    </row>
    <row r="123" spans="2:5" x14ac:dyDescent="0.2">
      <c r="B123" s="11" t="s">
        <v>213</v>
      </c>
      <c r="C123" s="46">
        <f>$C$40*$C$34/$C$36</f>
        <v>5.1854753653759227</v>
      </c>
    </row>
    <row r="124" spans="2:5" x14ac:dyDescent="0.2">
      <c r="B124" s="11" t="s">
        <v>214</v>
      </c>
      <c r="C124" s="46">
        <f>$C$41*$C$34/$C$37</f>
        <v>1.4763824016875096</v>
      </c>
    </row>
    <row r="125" spans="2:5" x14ac:dyDescent="0.2">
      <c r="B125" s="11" t="s">
        <v>215</v>
      </c>
      <c r="C125" s="46">
        <f>$C$42*$C$34/$C$38</f>
        <v>0.43664306162422789</v>
      </c>
      <c r="E125" s="16"/>
    </row>
    <row r="126" spans="2:5" x14ac:dyDescent="0.2">
      <c r="B126" s="11"/>
      <c r="C126" s="17"/>
      <c r="D126" s="12"/>
      <c r="E126" s="16"/>
    </row>
    <row r="127" spans="2:5" ht="19" x14ac:dyDescent="0.2">
      <c r="B127" s="8" t="s">
        <v>83</v>
      </c>
      <c r="C127" s="47">
        <f>C125/2*28/$C$34</f>
        <v>5.6349999999999997E-2</v>
      </c>
      <c r="D127" s="7" t="s">
        <v>82</v>
      </c>
      <c r="E127" s="12"/>
    </row>
    <row r="128" spans="2:5" ht="19" x14ac:dyDescent="0.2">
      <c r="B128" s="8" t="s">
        <v>84</v>
      </c>
      <c r="C128" s="47">
        <f>C123/2*18/$C$34</f>
        <v>0.43019999999999992</v>
      </c>
      <c r="D128" s="7" t="s">
        <v>82</v>
      </c>
      <c r="E128" s="12"/>
    </row>
    <row r="129" spans="2:5" ht="19" x14ac:dyDescent="0.2">
      <c r="B129" s="8" t="s">
        <v>85</v>
      </c>
      <c r="C129" s="47">
        <f>C122*44/$C$34</f>
        <v>1.2167833333333333</v>
      </c>
      <c r="D129" s="7" t="s">
        <v>82</v>
      </c>
      <c r="E129" s="12"/>
    </row>
    <row r="130" spans="2:5" ht="19" x14ac:dyDescent="0.2">
      <c r="B130" s="8" t="s">
        <v>85</v>
      </c>
      <c r="C130" s="48">
        <f>C129/$C$33</f>
        <v>8.0051535087719297E-2</v>
      </c>
      <c r="D130" s="7" t="s">
        <v>45</v>
      </c>
      <c r="E130" s="44"/>
    </row>
    <row r="131" spans="2:5" x14ac:dyDescent="0.2">
      <c r="C131" s="9"/>
      <c r="E131" s="12"/>
    </row>
  </sheetData>
  <dataConsolidate/>
  <mergeCells count="2">
    <mergeCell ref="B2:D2"/>
    <mergeCell ref="B107:D107"/>
  </mergeCells>
  <dataValidations count="1">
    <dataValidation type="list" allowBlank="1" showErrorMessage="1" sqref="D31 F28" xr:uid="{4397D6FE-336A-7A41-85B7-6BAC76B19C2E}">
      <formula1>#REF!</formula1>
    </dataValidation>
  </dataValidation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EF4D2-519D-4746-8699-9981750D2801}">
  <dimension ref="B1:B22"/>
  <sheetViews>
    <sheetView workbookViewId="0"/>
  </sheetViews>
  <sheetFormatPr baseColWidth="10" defaultRowHeight="16" x14ac:dyDescent="0.2"/>
  <cols>
    <col min="1" max="1" width="3.5" customWidth="1"/>
    <col min="2" max="2" width="113.33203125" style="306" customWidth="1"/>
  </cols>
  <sheetData>
    <row r="1" spans="2:2" ht="17" thickBot="1" x14ac:dyDescent="0.25"/>
    <row r="2" spans="2:2" ht="18" thickBot="1" x14ac:dyDescent="0.25">
      <c r="B2" s="307" t="s">
        <v>381</v>
      </c>
    </row>
    <row r="3" spans="2:2" ht="48" x14ac:dyDescent="0.2">
      <c r="B3" s="305" t="s">
        <v>361</v>
      </c>
    </row>
    <row r="4" spans="2:2" ht="32" x14ac:dyDescent="0.2">
      <c r="B4" s="305" t="s">
        <v>362</v>
      </c>
    </row>
    <row r="5" spans="2:2" ht="32" x14ac:dyDescent="0.2">
      <c r="B5" s="305" t="s">
        <v>363</v>
      </c>
    </row>
    <row r="6" spans="2:2" ht="32" x14ac:dyDescent="0.2">
      <c r="B6" s="305" t="s">
        <v>364</v>
      </c>
    </row>
    <row r="7" spans="2:2" ht="32" x14ac:dyDescent="0.2">
      <c r="B7" s="305" t="s">
        <v>365</v>
      </c>
    </row>
    <row r="8" spans="2:2" ht="32" x14ac:dyDescent="0.2">
      <c r="B8" s="305" t="s">
        <v>366</v>
      </c>
    </row>
    <row r="9" spans="2:2" ht="32" x14ac:dyDescent="0.2">
      <c r="B9" s="305" t="s">
        <v>367</v>
      </c>
    </row>
    <row r="10" spans="2:2" x14ac:dyDescent="0.2">
      <c r="B10" s="305" t="s">
        <v>368</v>
      </c>
    </row>
    <row r="11" spans="2:2" ht="48" x14ac:dyDescent="0.2">
      <c r="B11" s="305" t="s">
        <v>369</v>
      </c>
    </row>
    <row r="12" spans="2:2" ht="32" x14ac:dyDescent="0.2">
      <c r="B12" s="305" t="s">
        <v>370</v>
      </c>
    </row>
    <row r="13" spans="2:2" ht="32" x14ac:dyDescent="0.2">
      <c r="B13" s="305" t="s">
        <v>371</v>
      </c>
    </row>
    <row r="14" spans="2:2" x14ac:dyDescent="0.2">
      <c r="B14" s="305" t="s">
        <v>372</v>
      </c>
    </row>
    <row r="15" spans="2:2" ht="32" x14ac:dyDescent="0.2">
      <c r="B15" s="305" t="s">
        <v>373</v>
      </c>
    </row>
    <row r="16" spans="2:2" ht="32" x14ac:dyDescent="0.2">
      <c r="B16" s="305" t="s">
        <v>374</v>
      </c>
    </row>
    <row r="17" spans="2:2" ht="48" x14ac:dyDescent="0.2">
      <c r="B17" s="305" t="s">
        <v>375</v>
      </c>
    </row>
    <row r="18" spans="2:2" ht="48" x14ac:dyDescent="0.2">
      <c r="B18" s="305" t="s">
        <v>376</v>
      </c>
    </row>
    <row r="19" spans="2:2" ht="32" x14ac:dyDescent="0.2">
      <c r="B19" s="305" t="s">
        <v>377</v>
      </c>
    </row>
    <row r="20" spans="2:2" x14ac:dyDescent="0.2">
      <c r="B20" s="305" t="s">
        <v>378</v>
      </c>
    </row>
    <row r="21" spans="2:2" ht="32" x14ac:dyDescent="0.2">
      <c r="B21" s="305" t="s">
        <v>379</v>
      </c>
    </row>
    <row r="22" spans="2:2" ht="32" x14ac:dyDescent="0.2">
      <c r="B22" s="305" t="s">
        <v>380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CAA3F-0BA6-464C-A5F0-38F5BFDC8281}">
  <dimension ref="B1:AE93"/>
  <sheetViews>
    <sheetView zoomScaleNormal="100" workbookViewId="0">
      <selection activeCell="D27" sqref="D27"/>
    </sheetView>
  </sheetViews>
  <sheetFormatPr baseColWidth="10" defaultRowHeight="16" x14ac:dyDescent="0.2"/>
  <cols>
    <col min="1" max="1" width="4.1640625" customWidth="1"/>
    <col min="2" max="2" width="34" customWidth="1"/>
    <col min="3" max="5" width="15.1640625" bestFit="1" customWidth="1"/>
    <col min="6" max="10" width="15.83203125" bestFit="1" customWidth="1"/>
    <col min="11" max="28" width="17" bestFit="1" customWidth="1"/>
    <col min="30" max="31" width="14.1640625" customWidth="1"/>
    <col min="33" max="33" width="13.6640625" customWidth="1"/>
  </cols>
  <sheetData>
    <row r="1" spans="2:29" ht="17" thickBot="1" x14ac:dyDescent="0.25"/>
    <row r="2" spans="2:29" ht="17" thickBot="1" x14ac:dyDescent="0.25">
      <c r="B2" s="73" t="s">
        <v>57</v>
      </c>
      <c r="C2" s="74">
        <v>2025</v>
      </c>
      <c r="D2" s="75">
        <f>C2+1</f>
        <v>2026</v>
      </c>
      <c r="E2" s="75">
        <f t="shared" ref="E2:AB2" si="0">D2+1</f>
        <v>2027</v>
      </c>
      <c r="F2" s="75">
        <f t="shared" si="0"/>
        <v>2028</v>
      </c>
      <c r="G2" s="75">
        <f t="shared" si="0"/>
        <v>2029</v>
      </c>
      <c r="H2" s="75">
        <f t="shared" si="0"/>
        <v>2030</v>
      </c>
      <c r="I2" s="75">
        <f t="shared" si="0"/>
        <v>2031</v>
      </c>
      <c r="J2" s="75">
        <f t="shared" si="0"/>
        <v>2032</v>
      </c>
      <c r="K2" s="75">
        <f t="shared" si="0"/>
        <v>2033</v>
      </c>
      <c r="L2" s="75">
        <f t="shared" si="0"/>
        <v>2034</v>
      </c>
      <c r="M2" s="75">
        <f t="shared" si="0"/>
        <v>2035</v>
      </c>
      <c r="N2" s="75">
        <f t="shared" si="0"/>
        <v>2036</v>
      </c>
      <c r="O2" s="75">
        <f t="shared" si="0"/>
        <v>2037</v>
      </c>
      <c r="P2" s="75">
        <f t="shared" si="0"/>
        <v>2038</v>
      </c>
      <c r="Q2" s="75">
        <f t="shared" si="0"/>
        <v>2039</v>
      </c>
      <c r="R2" s="75">
        <f t="shared" si="0"/>
        <v>2040</v>
      </c>
      <c r="S2" s="75">
        <f t="shared" si="0"/>
        <v>2041</v>
      </c>
      <c r="T2" s="75">
        <f t="shared" si="0"/>
        <v>2042</v>
      </c>
      <c r="U2" s="75">
        <f t="shared" si="0"/>
        <v>2043</v>
      </c>
      <c r="V2" s="75">
        <f t="shared" si="0"/>
        <v>2044</v>
      </c>
      <c r="W2" s="75">
        <f t="shared" si="0"/>
        <v>2045</v>
      </c>
      <c r="X2" s="75">
        <f t="shared" si="0"/>
        <v>2046</v>
      </c>
      <c r="Y2" s="75">
        <f t="shared" si="0"/>
        <v>2047</v>
      </c>
      <c r="Z2" s="75">
        <f t="shared" si="0"/>
        <v>2048</v>
      </c>
      <c r="AA2" s="75">
        <f t="shared" si="0"/>
        <v>2049</v>
      </c>
      <c r="AB2" s="76">
        <f t="shared" si="0"/>
        <v>2050</v>
      </c>
    </row>
    <row r="3" spans="2:29" ht="17" thickBot="1" x14ac:dyDescent="0.25"/>
    <row r="4" spans="2:29" ht="17" thickBot="1" x14ac:dyDescent="0.25">
      <c r="B4" s="319" t="s">
        <v>38</v>
      </c>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row>
    <row r="5" spans="2:29" x14ac:dyDescent="0.2">
      <c r="B5" s="66" t="s">
        <v>298</v>
      </c>
      <c r="C5" s="67">
        <f>SUM(Transportation!E$79:E$79)</f>
        <v>1891020.2811765282</v>
      </c>
      <c r="D5" s="67">
        <f>SUM(Transportation!F$79:F$79)</f>
        <v>1891020.2811765282</v>
      </c>
      <c r="E5" s="67">
        <f>SUM(Transportation!G$79:G$79)</f>
        <v>1935621.3979341947</v>
      </c>
      <c r="F5" s="67">
        <f>SUM(Transportation!H$79:H$79)</f>
        <v>1935621.3979341947</v>
      </c>
      <c r="G5" s="67">
        <f>SUM(Transportation!I$79:I$79)</f>
        <v>1983911.3288597879</v>
      </c>
      <c r="H5" s="67">
        <f>SUM(Transportation!J$79:J$79)</f>
        <v>1983911.3288597879</v>
      </c>
      <c r="I5" s="67">
        <f>SUM(Transportation!K$79:K$79)</f>
        <v>1983911.3288597879</v>
      </c>
      <c r="J5" s="67">
        <f>SUM(Transportation!L$79:L$79)</f>
        <v>1983911.3288597879</v>
      </c>
      <c r="K5" s="67">
        <f>SUM(Transportation!M$79:M$79)</f>
        <v>1983911.3288597879</v>
      </c>
      <c r="L5" s="67">
        <f>SUM(Transportation!N$79:N$79)</f>
        <v>1983911.3288597879</v>
      </c>
      <c r="M5" s="67">
        <f>SUM(Transportation!O$79:O$79)</f>
        <v>2028009.4255036456</v>
      </c>
      <c r="N5" s="67">
        <f>SUM(Transportation!P$79:P$79)</f>
        <v>2028009.4255036456</v>
      </c>
      <c r="O5" s="67">
        <f>SUM(Transportation!Q$79:Q$79)</f>
        <v>2064059.2003265708</v>
      </c>
      <c r="P5" s="67">
        <f>SUM(Transportation!R$79:R$79)</f>
        <v>2064059.2003265708</v>
      </c>
      <c r="Q5" s="67">
        <f>SUM(Transportation!S$79:S$79)</f>
        <v>2064059.2003265708</v>
      </c>
      <c r="R5" s="67">
        <f>SUM(Transportation!T$79:T$79)</f>
        <v>2064059.2003265708</v>
      </c>
      <c r="S5" s="67">
        <f>SUM(Transportation!U$79:U$79)</f>
        <v>2064059.2003265708</v>
      </c>
      <c r="T5" s="67">
        <f>SUM(Transportation!V$79:V$79)</f>
        <v>2064059.2003265708</v>
      </c>
      <c r="U5" s="67">
        <f>SUM(Transportation!W$79:W$79)</f>
        <v>2064059.2003265708</v>
      </c>
      <c r="V5" s="67">
        <f>SUM(Transportation!X$79:X$79)</f>
        <v>2064059.2003265708</v>
      </c>
      <c r="W5" s="67">
        <f>SUM(Transportation!Y$79:Y$79)</f>
        <v>2064059.2003265708</v>
      </c>
      <c r="X5" s="67">
        <f>SUM(Transportation!Z$79:Z$79)</f>
        <v>2064059.2003265708</v>
      </c>
      <c r="Y5" s="67">
        <f>SUM(Transportation!AA$79:AA$79)</f>
        <v>2064059.2003265708</v>
      </c>
      <c r="Z5" s="67">
        <f>SUM(Transportation!AB$79:AB$79)</f>
        <v>2064059.2003265708</v>
      </c>
      <c r="AA5" s="67">
        <f>SUM(Transportation!AC$79:AC$79)</f>
        <v>2126098.3476962564</v>
      </c>
      <c r="AB5" s="67">
        <f>SUM(Transportation!AD$79:AD$79)</f>
        <v>2126098.3476962564</v>
      </c>
      <c r="AC5" t="s">
        <v>167</v>
      </c>
    </row>
    <row r="6" spans="2:29" x14ac:dyDescent="0.2">
      <c r="B6" s="66" t="s">
        <v>59</v>
      </c>
      <c r="C6" s="67">
        <f>INDEX(Biosolids!$F$6:$F$31,MATCH(C$2,Biosolids!$B$6:$B$31,0))</f>
        <v>19613472.020459507</v>
      </c>
      <c r="D6" s="67">
        <f>INDEX(Biosolids!$F$6:$F$31,MATCH(D$2,Biosolids!$B$6:$B$31,0))</f>
        <v>29812674.666669123</v>
      </c>
      <c r="E6" s="67">
        <f>INDEX(Biosolids!$F$6:$F$31,MATCH(E$2,Biosolids!$B$6:$B$31,0))</f>
        <v>33826200.170794055</v>
      </c>
      <c r="F6" s="67">
        <f>INDEX(Biosolids!$F$6:$F$31,MATCH(F$2,Biosolids!$B$6:$B$31,0))</f>
        <v>38105604.773522265</v>
      </c>
      <c r="G6" s="67">
        <f>INDEX(Biosolids!$F$6:$F$31,MATCH(G$2,Biosolids!$B$6:$B$31,0))</f>
        <v>40716189.88946265</v>
      </c>
      <c r="H6" s="67">
        <f>INDEX(Biosolids!$F$6:$F$31,MATCH(H$2,Biosolids!$B$6:$B$31,0))</f>
        <v>42926291.683765382</v>
      </c>
      <c r="I6" s="67">
        <f>INDEX(Biosolids!$F$6:$F$31,MATCH(I$2,Biosolids!$B$6:$B$31,0))</f>
        <v>44935197.597140923</v>
      </c>
      <c r="J6" s="67">
        <f>INDEX(Biosolids!$F$6:$F$31,MATCH(J$2,Biosolids!$B$6:$B$31,0))</f>
        <v>47023283.975075476</v>
      </c>
      <c r="K6" s="67">
        <f>INDEX(Biosolids!$F$6:$F$31,MATCH(K$2,Biosolids!$B$6:$B$31,0))</f>
        <v>48920349.539177693</v>
      </c>
      <c r="L6" s="67">
        <f>INDEX(Biosolids!$F$6:$F$31,MATCH(L$2,Biosolids!$B$6:$B$31,0))</f>
        <v>50825924.533858322</v>
      </c>
      <c r="M6" s="67">
        <f>INDEX(Biosolids!$F$6:$F$31,MATCH(M$2,Biosolids!$B$6:$B$31,0))</f>
        <v>52804317.546643168</v>
      </c>
      <c r="N6" s="67">
        <f>INDEX(Biosolids!$F$6:$F$31,MATCH(N$2,Biosolids!$B$6:$B$31,0))</f>
        <v>54616089.914165474</v>
      </c>
      <c r="O6" s="67">
        <f>INDEX(Biosolids!$F$6:$F$31,MATCH(O$2,Biosolids!$B$6:$B$31,0))</f>
        <v>56090644.867748357</v>
      </c>
      <c r="P6" s="67">
        <f>INDEX(Biosolids!$F$6:$F$31,MATCH(P$2,Biosolids!$B$6:$B$31,0))</f>
        <v>57534091.15998368</v>
      </c>
      <c r="Q6" s="67">
        <f>INDEX(Biosolids!$F$6:$F$31,MATCH(Q$2,Biosolids!$B$6:$B$31,0))</f>
        <v>58723546.664087929</v>
      </c>
      <c r="R6" s="67">
        <f>INDEX(Biosolids!$F$6:$F$31,MATCH(R$2,Biosolids!$B$6:$B$31,0))</f>
        <v>60033029.991257057</v>
      </c>
      <c r="S6" s="67">
        <f>INDEX(Biosolids!$F$6:$F$31,MATCH(S$2,Biosolids!$B$6:$B$31,0))</f>
        <v>61087929.388609417</v>
      </c>
      <c r="T6" s="67">
        <f>INDEX(Biosolids!$F$6:$F$31,MATCH(T$2,Biosolids!$B$6:$B$31,0))</f>
        <v>62090490.465918973</v>
      </c>
      <c r="U6" s="67">
        <f>INDEX(Biosolids!$F$6:$F$31,MATCH(U$2,Biosolids!$B$6:$B$31,0))</f>
        <v>63144576.56020166</v>
      </c>
      <c r="V6" s="67">
        <f>INDEX(Biosolids!$F$6:$F$31,MATCH(V$2,Biosolids!$B$6:$B$31,0))</f>
        <v>64330151.711212926</v>
      </c>
      <c r="W6" s="67">
        <f>INDEX(Biosolids!$F$6:$F$31,MATCH(W$2,Biosolids!$B$6:$B$31,0))</f>
        <v>65301377.31032943</v>
      </c>
      <c r="X6" s="67">
        <f>INDEX(Biosolids!$F$6:$F$31,MATCH(X$2,Biosolids!$B$6:$B$31,0))</f>
        <v>66253569.491965175</v>
      </c>
      <c r="Y6" s="67">
        <f>INDEX(Biosolids!$F$6:$F$31,MATCH(Y$2,Biosolids!$B$6:$B$31,0))</f>
        <v>67275961.634628072</v>
      </c>
      <c r="Z6" s="67">
        <f>INDEX(Biosolids!$F$6:$F$31,MATCH(Z$2,Biosolids!$B$6:$B$31,0))</f>
        <v>68444226.441661388</v>
      </c>
      <c r="AA6" s="67">
        <f>INDEX(Biosolids!$F$6:$F$31,MATCH(AA$2,Biosolids!$B$6:$B$31,0))</f>
        <v>69384662.24411732</v>
      </c>
      <c r="AB6" s="67">
        <f>INDEX(Biosolids!$F$6:$F$31,MATCH(AB$2,Biosolids!$B$6:$B$31,0))</f>
        <v>70310843.439218372</v>
      </c>
      <c r="AC6" t="s">
        <v>167</v>
      </c>
    </row>
    <row r="7" spans="2:29" x14ac:dyDescent="0.2">
      <c r="B7" s="66" t="s">
        <v>238</v>
      </c>
      <c r="C7" s="67">
        <f>LandfillCap!F11</f>
        <v>331521854.93021327</v>
      </c>
      <c r="D7" s="67">
        <f>LandfillCap!G11</f>
        <v>349960141.12287527</v>
      </c>
      <c r="E7" s="67">
        <f>LandfillCap!H11</f>
        <v>368398427.31553721</v>
      </c>
      <c r="F7" s="67">
        <f>LandfillCap!I11</f>
        <v>386836713.50819921</v>
      </c>
      <c r="G7" s="67">
        <f>LandfillCap!J11</f>
        <v>405274999.70086116</v>
      </c>
      <c r="H7" s="67">
        <f>LandfillCap!K11</f>
        <v>423713285.89352322</v>
      </c>
      <c r="I7" s="67">
        <f>LandfillCap!L11</f>
        <v>442151572.08618534</v>
      </c>
      <c r="J7" s="67">
        <f>LandfillCap!M11</f>
        <v>460589858.2788471</v>
      </c>
      <c r="K7" s="67">
        <f>LandfillCap!N11</f>
        <v>475685745.97841692</v>
      </c>
      <c r="L7" s="67">
        <f>LandfillCap!O11</f>
        <v>490781633.67798662</v>
      </c>
      <c r="M7" s="67">
        <f>LandfillCap!P11</f>
        <v>505877521.37755656</v>
      </c>
      <c r="N7" s="67">
        <f>LandfillCap!Q11</f>
        <v>520973409.07712638</v>
      </c>
      <c r="O7" s="67">
        <f>LandfillCap!R11</f>
        <v>536069296.77669638</v>
      </c>
      <c r="P7" s="67">
        <f>LandfillCap!S11</f>
        <v>547792177.93836558</v>
      </c>
      <c r="Q7" s="67">
        <f>LandfillCap!T11</f>
        <v>559515059.10003495</v>
      </c>
      <c r="R7" s="67">
        <f>LandfillCap!U11</f>
        <v>571237940.26170409</v>
      </c>
      <c r="S7" s="67">
        <f>LandfillCap!V11</f>
        <v>582960821.42337334</v>
      </c>
      <c r="T7" s="67">
        <f>LandfillCap!W11</f>
        <v>594683702.58504272</v>
      </c>
      <c r="U7" s="67">
        <f>LandfillCap!X11</f>
        <v>606406583.74671197</v>
      </c>
      <c r="V7" s="67">
        <f>LandfillCap!Y11</f>
        <v>618129464.9083811</v>
      </c>
      <c r="W7" s="67">
        <f>LandfillCap!Z11</f>
        <v>629852346.07005024</v>
      </c>
      <c r="X7" s="67">
        <f>LandfillCap!AA11</f>
        <v>641575227.23171949</v>
      </c>
      <c r="Y7" s="67">
        <f>LandfillCap!AB11</f>
        <v>653298108.39338887</v>
      </c>
      <c r="Z7" s="67">
        <f>LandfillCap!AC11</f>
        <v>665020989.55505812</v>
      </c>
      <c r="AA7" s="67">
        <f>LandfillCap!AD11</f>
        <v>676743870.7167269</v>
      </c>
      <c r="AB7" s="67">
        <f>LandfillCap!AE11</f>
        <v>684852648.12600386</v>
      </c>
      <c r="AC7" t="s">
        <v>167</v>
      </c>
    </row>
    <row r="8" spans="2:29" x14ac:dyDescent="0.2">
      <c r="B8" s="68" t="s">
        <v>40</v>
      </c>
      <c r="C8" s="69">
        <f>SUM(C5:C7)</f>
        <v>353026347.23184931</v>
      </c>
      <c r="D8" s="69">
        <f t="shared" ref="D8:AB8" si="1">SUM(D5:D7)</f>
        <v>381663836.07072091</v>
      </c>
      <c r="E8" s="69">
        <f t="shared" si="1"/>
        <v>404160248.88426548</v>
      </c>
      <c r="F8" s="69">
        <f t="shared" si="1"/>
        <v>426877939.67965567</v>
      </c>
      <c r="G8" s="69">
        <f t="shared" si="1"/>
        <v>447975100.91918361</v>
      </c>
      <c r="H8" s="69">
        <f t="shared" si="1"/>
        <v>468623488.90614837</v>
      </c>
      <c r="I8" s="69">
        <f t="shared" si="1"/>
        <v>489070681.01218605</v>
      </c>
      <c r="J8" s="69">
        <f t="shared" si="1"/>
        <v>509597053.58278239</v>
      </c>
      <c r="K8" s="69">
        <f t="shared" si="1"/>
        <v>526590006.84645438</v>
      </c>
      <c r="L8" s="69">
        <f t="shared" si="1"/>
        <v>543591469.54070473</v>
      </c>
      <c r="M8" s="69">
        <f t="shared" si="1"/>
        <v>560709848.34970343</v>
      </c>
      <c r="N8" s="69">
        <f t="shared" si="1"/>
        <v>577617508.41679549</v>
      </c>
      <c r="O8" s="69">
        <f t="shared" si="1"/>
        <v>594224000.84477127</v>
      </c>
      <c r="P8" s="69">
        <f t="shared" si="1"/>
        <v>607390328.29867578</v>
      </c>
      <c r="Q8" s="69">
        <f t="shared" si="1"/>
        <v>620302664.96444941</v>
      </c>
      <c r="R8" s="69">
        <f t="shared" si="1"/>
        <v>633335029.45328772</v>
      </c>
      <c r="S8" s="69">
        <f t="shared" si="1"/>
        <v>646112810.01230931</v>
      </c>
      <c r="T8" s="69">
        <f t="shared" si="1"/>
        <v>658838252.25128829</v>
      </c>
      <c r="U8" s="69">
        <f t="shared" si="1"/>
        <v>671615219.50724018</v>
      </c>
      <c r="V8" s="69">
        <f t="shared" si="1"/>
        <v>684523675.81992054</v>
      </c>
      <c r="W8" s="69">
        <f t="shared" si="1"/>
        <v>697217782.58070624</v>
      </c>
      <c r="X8" s="69">
        <f t="shared" si="1"/>
        <v>709892855.92401123</v>
      </c>
      <c r="Y8" s="69">
        <f t="shared" si="1"/>
        <v>722638129.22834349</v>
      </c>
      <c r="Z8" s="69">
        <f t="shared" si="1"/>
        <v>735529275.19704604</v>
      </c>
      <c r="AA8" s="69">
        <f t="shared" si="1"/>
        <v>748254631.30854046</v>
      </c>
      <c r="AB8" s="69">
        <f t="shared" si="1"/>
        <v>757289589.91291845</v>
      </c>
      <c r="AC8" s="2" t="s">
        <v>167</v>
      </c>
    </row>
    <row r="9" spans="2:29" x14ac:dyDescent="0.2">
      <c r="C9" s="41"/>
      <c r="D9" s="41"/>
      <c r="E9" s="41"/>
      <c r="F9" s="41"/>
      <c r="G9" s="41"/>
      <c r="H9" s="41"/>
      <c r="I9" s="41"/>
      <c r="J9" s="41"/>
      <c r="K9" s="41"/>
      <c r="L9" s="41"/>
      <c r="M9" s="41"/>
      <c r="N9" s="41"/>
      <c r="O9" s="41"/>
      <c r="P9" s="41"/>
      <c r="Q9" s="41"/>
      <c r="R9" s="41"/>
      <c r="S9" s="41"/>
      <c r="T9" s="41"/>
      <c r="U9" s="41"/>
      <c r="V9" s="41"/>
      <c r="W9" s="41"/>
      <c r="X9" s="41"/>
      <c r="Y9" s="41"/>
      <c r="Z9" s="41"/>
      <c r="AA9" s="41"/>
      <c r="AB9" s="41"/>
    </row>
    <row r="10" spans="2:29" ht="17" thickBot="1" x14ac:dyDescent="0.25">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row>
    <row r="11" spans="2:29" ht="17" thickBot="1" x14ac:dyDescent="0.25">
      <c r="B11" s="320" t="s">
        <v>37</v>
      </c>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2"/>
      <c r="AC11" t="s">
        <v>167</v>
      </c>
    </row>
    <row r="12" spans="2:29" x14ac:dyDescent="0.2">
      <c r="B12" s="36" t="s">
        <v>299</v>
      </c>
      <c r="C12" s="70">
        <f>SUM(Transportation!E$82:E$82)</f>
        <v>1597348.5538571763</v>
      </c>
      <c r="D12" s="70">
        <f>SUM(Transportation!F$82:F$82)</f>
        <v>1597348.5538571763</v>
      </c>
      <c r="E12" s="70">
        <f>SUM(Transportation!G$82:G$82)</f>
        <v>1635023.2049767016</v>
      </c>
      <c r="F12" s="70">
        <f>SUM(Transportation!H$82:H$82)</f>
        <v>1635023.2049767016</v>
      </c>
      <c r="G12" s="70">
        <f>SUM(Transportation!I$82:I$82)</f>
        <v>1675813.8046850606</v>
      </c>
      <c r="H12" s="70">
        <f>SUM(Transportation!J$82:J$82)</f>
        <v>1675813.8046850606</v>
      </c>
      <c r="I12" s="70">
        <f>SUM(Transportation!K$82:K$82)</f>
        <v>1675813.8046850606</v>
      </c>
      <c r="J12" s="70">
        <f>SUM(Transportation!L$82:L$82)</f>
        <v>1675813.8046850606</v>
      </c>
      <c r="K12" s="70">
        <f>SUM(Transportation!M$82:M$82)</f>
        <v>1675813.8046850606</v>
      </c>
      <c r="L12" s="70">
        <f>SUM(Transportation!N$82:N$82)</f>
        <v>1675813.8046850606</v>
      </c>
      <c r="M12" s="70">
        <f>SUM(Transportation!O$82:O$82)</f>
        <v>1713063.5537242906</v>
      </c>
      <c r="N12" s="70">
        <f>SUM(Transportation!P$82:P$82)</f>
        <v>1713063.5537242906</v>
      </c>
      <c r="O12" s="70">
        <f>SUM(Transportation!Q$82:Q$82)</f>
        <v>1743514.8694787943</v>
      </c>
      <c r="P12" s="70">
        <f>SUM(Transportation!R$82:R$82)</f>
        <v>1743514.8694787943</v>
      </c>
      <c r="Q12" s="70">
        <f>SUM(Transportation!S$82:S$82)</f>
        <v>1743514.8694787943</v>
      </c>
      <c r="R12" s="70">
        <f>SUM(Transportation!T$82:T$82)</f>
        <v>1743514.8694787943</v>
      </c>
      <c r="S12" s="70">
        <f>SUM(Transportation!U$82:U$82)</f>
        <v>1743514.8694787943</v>
      </c>
      <c r="T12" s="70">
        <f>SUM(Transportation!V$82:V$82)</f>
        <v>1743514.8694787943</v>
      </c>
      <c r="U12" s="70">
        <f>SUM(Transportation!W$82:W$82)</f>
        <v>1743514.8694787943</v>
      </c>
      <c r="V12" s="70">
        <f>SUM(Transportation!X$82:X$82)</f>
        <v>1743514.8694787943</v>
      </c>
      <c r="W12" s="70">
        <f>SUM(Transportation!Y$82:Y$82)</f>
        <v>1743514.8694787943</v>
      </c>
      <c r="X12" s="70">
        <f>SUM(Transportation!Z$82:Z$82)</f>
        <v>1743514.8694787943</v>
      </c>
      <c r="Y12" s="70">
        <f>SUM(Transportation!AA$82:AA$82)</f>
        <v>1743514.8694787943</v>
      </c>
      <c r="Z12" s="70">
        <f>SUM(Transportation!AB$82:AB$82)</f>
        <v>1743514.8694787943</v>
      </c>
      <c r="AA12" s="70">
        <f>SUM(Transportation!AC$82:AC$82)</f>
        <v>1795919.4593818937</v>
      </c>
      <c r="AB12" s="70">
        <f>SUM(Transportation!AD$82:AD$82)</f>
        <v>1795919.4593818937</v>
      </c>
      <c r="AC12" t="s">
        <v>167</v>
      </c>
    </row>
    <row r="13" spans="2:29" x14ac:dyDescent="0.2">
      <c r="B13" s="36" t="s">
        <v>39</v>
      </c>
      <c r="C13" s="70">
        <f>Construction!$C$24</f>
        <v>5385804.421641767</v>
      </c>
      <c r="D13" s="70">
        <f>Construction!$C$24</f>
        <v>5385804.421641767</v>
      </c>
      <c r="E13" s="70">
        <v>0</v>
      </c>
      <c r="F13" s="70">
        <v>0</v>
      </c>
      <c r="G13" s="70">
        <v>0</v>
      </c>
      <c r="H13" s="70">
        <v>0</v>
      </c>
      <c r="I13" s="70">
        <v>0</v>
      </c>
      <c r="J13" s="70">
        <v>0</v>
      </c>
      <c r="K13" s="70">
        <v>0</v>
      </c>
      <c r="L13" s="70">
        <v>0</v>
      </c>
      <c r="M13" s="70">
        <v>0</v>
      </c>
      <c r="N13" s="70">
        <v>0</v>
      </c>
      <c r="O13" s="70">
        <v>0</v>
      </c>
      <c r="P13" s="70">
        <v>0</v>
      </c>
      <c r="Q13" s="70">
        <v>0</v>
      </c>
      <c r="R13" s="70">
        <v>0</v>
      </c>
      <c r="S13" s="70">
        <v>0</v>
      </c>
      <c r="T13" s="70">
        <v>0</v>
      </c>
      <c r="U13" s="70">
        <v>0</v>
      </c>
      <c r="V13" s="70">
        <v>0</v>
      </c>
      <c r="W13" s="70">
        <v>0</v>
      </c>
      <c r="X13" s="70">
        <v>0</v>
      </c>
      <c r="Y13" s="70">
        <v>0</v>
      </c>
      <c r="Z13" s="70">
        <v>0</v>
      </c>
      <c r="AA13" s="70">
        <v>0</v>
      </c>
      <c r="AB13" s="70">
        <v>0</v>
      </c>
      <c r="AC13" t="s">
        <v>167</v>
      </c>
    </row>
    <row r="14" spans="2:29" x14ac:dyDescent="0.2">
      <c r="B14" s="36" t="s">
        <v>41</v>
      </c>
      <c r="C14" s="70">
        <v>0</v>
      </c>
      <c r="D14" s="70">
        <v>0</v>
      </c>
      <c r="E14" s="70">
        <f>Plant!F40</f>
        <v>7462750.4507190511</v>
      </c>
      <c r="F14" s="70">
        <f>Plant!G40</f>
        <v>7616038.8396864487</v>
      </c>
      <c r="G14" s="70">
        <f>Plant!H40</f>
        <v>7769327.22865385</v>
      </c>
      <c r="H14" s="70">
        <f>Plant!I40</f>
        <v>7901550.6170231961</v>
      </c>
      <c r="I14" s="70">
        <f>Plant!J40</f>
        <v>8000394.0813679276</v>
      </c>
      <c r="J14" s="70">
        <f>Plant!K40</f>
        <v>8099237.5457126554</v>
      </c>
      <c r="K14" s="70">
        <f>Plant!L40</f>
        <v>8198081.0100573841</v>
      </c>
      <c r="L14" s="70">
        <f>Plant!M40</f>
        <v>8296924.4744021185</v>
      </c>
      <c r="M14" s="70">
        <f>Plant!N40</f>
        <v>8395767.9387468435</v>
      </c>
      <c r="N14" s="70">
        <f>Plant!O40</f>
        <v>8454101.7865568493</v>
      </c>
      <c r="O14" s="70">
        <f>Plant!P40</f>
        <v>8512435.634366855</v>
      </c>
      <c r="P14" s="70">
        <f>Plant!Q40</f>
        <v>8570769.4821768608</v>
      </c>
      <c r="Q14" s="70">
        <f>Plant!R40</f>
        <v>8629103.3299868628</v>
      </c>
      <c r="R14" s="70">
        <f>Plant!S40</f>
        <v>8687437.1777968686</v>
      </c>
      <c r="S14" s="70">
        <f>Plant!T40</f>
        <v>8742206.1793518141</v>
      </c>
      <c r="T14" s="70">
        <f>Plant!U40</f>
        <v>8796975.1809067633</v>
      </c>
      <c r="U14" s="70">
        <f>Plant!V40</f>
        <v>8851744.1824617125</v>
      </c>
      <c r="V14" s="70">
        <f>Plant!W40</f>
        <v>8906513.1840166617</v>
      </c>
      <c r="W14" s="70">
        <f>Plant!X40</f>
        <v>8961282.1855716109</v>
      </c>
      <c r="X14" s="70">
        <f>Plant!Y40</f>
        <v>9016051.1871265545</v>
      </c>
      <c r="Y14" s="70">
        <f>Plant!Z40</f>
        <v>9070820.1886815038</v>
      </c>
      <c r="Z14" s="70">
        <f>Plant!AA40</f>
        <v>9125589.1902364548</v>
      </c>
      <c r="AA14" s="70">
        <f>Plant!AB40</f>
        <v>9180358.1917914059</v>
      </c>
      <c r="AB14" s="70">
        <f>Plant!AC40</f>
        <v>9235127.193346357</v>
      </c>
      <c r="AC14" t="s">
        <v>167</v>
      </c>
    </row>
    <row r="15" spans="2:29" x14ac:dyDescent="0.2">
      <c r="B15" s="36" t="s">
        <v>93</v>
      </c>
      <c r="C15" s="70">
        <v>0</v>
      </c>
      <c r="D15" s="70">
        <v>0</v>
      </c>
      <c r="E15" s="70">
        <f>Plant!F37</f>
        <v>204800</v>
      </c>
      <c r="F15" s="70">
        <f>Plant!G37</f>
        <v>204800</v>
      </c>
      <c r="G15" s="70">
        <f>Plant!H37</f>
        <v>204800</v>
      </c>
      <c r="H15" s="70">
        <f>Plant!I37</f>
        <v>204800</v>
      </c>
      <c r="I15" s="70">
        <f>Plant!J37</f>
        <v>204800</v>
      </c>
      <c r="J15" s="70">
        <f>Plant!K37</f>
        <v>204800</v>
      </c>
      <c r="K15" s="70">
        <f>Plant!L37</f>
        <v>204800</v>
      </c>
      <c r="L15" s="70">
        <f>Plant!M37</f>
        <v>204800</v>
      </c>
      <c r="M15" s="70">
        <f>Plant!N37</f>
        <v>204800</v>
      </c>
      <c r="N15" s="70">
        <f>Plant!O37</f>
        <v>204800</v>
      </c>
      <c r="O15" s="70">
        <f>Plant!P37</f>
        <v>204800</v>
      </c>
      <c r="P15" s="70">
        <f>Plant!Q37</f>
        <v>204800</v>
      </c>
      <c r="Q15" s="70">
        <f>Plant!R37</f>
        <v>204800</v>
      </c>
      <c r="R15" s="70">
        <f>Plant!S37</f>
        <v>204800</v>
      </c>
      <c r="S15" s="70">
        <f>Plant!T37</f>
        <v>204800</v>
      </c>
      <c r="T15" s="70">
        <f>Plant!U37</f>
        <v>204800</v>
      </c>
      <c r="U15" s="70">
        <f>Plant!V37</f>
        <v>204800</v>
      </c>
      <c r="V15" s="70">
        <f>Plant!W37</f>
        <v>204800</v>
      </c>
      <c r="W15" s="70">
        <f>Plant!X37</f>
        <v>204800</v>
      </c>
      <c r="X15" s="70">
        <f>Plant!Y37</f>
        <v>204800</v>
      </c>
      <c r="Y15" s="70">
        <f>Plant!Z37</f>
        <v>204800</v>
      </c>
      <c r="Z15" s="70">
        <f>Plant!AA37</f>
        <v>204800</v>
      </c>
      <c r="AA15" s="70">
        <f>Plant!AB37</f>
        <v>204800</v>
      </c>
      <c r="AB15" s="70">
        <f>Plant!AC37</f>
        <v>204800</v>
      </c>
      <c r="AC15" t="s">
        <v>167</v>
      </c>
    </row>
    <row r="16" spans="2:29" x14ac:dyDescent="0.2">
      <c r="B16" s="36" t="s">
        <v>157</v>
      </c>
      <c r="C16" s="70">
        <v>0</v>
      </c>
      <c r="D16" s="70">
        <v>0</v>
      </c>
      <c r="E16" s="70">
        <f>Plant!C22</f>
        <v>3594904.5226132502</v>
      </c>
      <c r="F16" s="70">
        <f>Plant!D22</f>
        <v>3949308.9374396168</v>
      </c>
      <c r="G16" s="70">
        <f>Plant!E22</f>
        <v>4023642.9539798824</v>
      </c>
      <c r="H16" s="70">
        <f>Plant!F22</f>
        <v>4097976.9705201485</v>
      </c>
      <c r="I16" s="70">
        <f>Plant!G22</f>
        <v>4172310.9870604118</v>
      </c>
      <c r="J16" s="70">
        <f>Plant!H22</f>
        <v>4246645.0036006775</v>
      </c>
      <c r="K16" s="70">
        <f>Plant!I22</f>
        <v>4310763.986155496</v>
      </c>
      <c r="L16" s="70">
        <f>Plant!J22</f>
        <v>4358696.0687026018</v>
      </c>
      <c r="M16" s="70">
        <f>Plant!K22</f>
        <v>4406628.1512497067</v>
      </c>
      <c r="N16" s="70">
        <f>Plant!L22</f>
        <v>4454560.2337968126</v>
      </c>
      <c r="O16" s="70">
        <f>Plant!M22</f>
        <v>4502492.3163439184</v>
      </c>
      <c r="P16" s="70">
        <f>Plant!N22</f>
        <v>4550424.3988910234</v>
      </c>
      <c r="Q16" s="70">
        <f>Plant!O22</f>
        <v>4578712.1853122655</v>
      </c>
      <c r="R16" s="70">
        <f>Plant!P22</f>
        <v>4606999.9717335086</v>
      </c>
      <c r="S16" s="70">
        <f>Plant!Q22</f>
        <v>4635287.7581547527</v>
      </c>
      <c r="T16" s="70">
        <f>Plant!R22</f>
        <v>4663575.5445759948</v>
      </c>
      <c r="U16" s="70">
        <f>Plant!S22</f>
        <v>4691863.3309972379</v>
      </c>
      <c r="V16" s="70">
        <f>Plant!T22</f>
        <v>4718422.4193594037</v>
      </c>
      <c r="W16" s="70">
        <f>Plant!U22</f>
        <v>4744981.5077215694</v>
      </c>
      <c r="X16" s="70">
        <f>Plant!V22</f>
        <v>4771540.596083736</v>
      </c>
      <c r="Y16" s="70">
        <f>Plant!W22</f>
        <v>4798099.6844459027</v>
      </c>
      <c r="Z16" s="70">
        <f>Plant!X22</f>
        <v>4824658.7728080694</v>
      </c>
      <c r="AA16" s="70">
        <f>Plant!Y22</f>
        <v>4851217.861170236</v>
      </c>
      <c r="AB16" s="70">
        <f>Plant!Z22</f>
        <v>4877776.9495324017</v>
      </c>
      <c r="AC16" t="s">
        <v>167</v>
      </c>
    </row>
    <row r="17" spans="2:31" x14ac:dyDescent="0.2">
      <c r="B17" s="36" t="s">
        <v>287</v>
      </c>
      <c r="C17" s="70">
        <v>0</v>
      </c>
      <c r="D17" s="70">
        <v>0</v>
      </c>
      <c r="E17" s="70">
        <f>Plant!C25+Plant!C28</f>
        <v>1803093.318854271</v>
      </c>
      <c r="F17" s="70">
        <f>Plant!D25+Plant!D28</f>
        <v>1980851.6511065422</v>
      </c>
      <c r="G17" s="70">
        <f>Plant!E25+Plant!E28</f>
        <v>2018135.3029376967</v>
      </c>
      <c r="H17" s="70">
        <f>Plant!F25+Plant!F28</f>
        <v>2055418.9547688516</v>
      </c>
      <c r="I17" s="70">
        <f>Plant!G25+Plant!G28</f>
        <v>2092702.6066000054</v>
      </c>
      <c r="J17" s="70">
        <f>Plant!H25+Plant!H28</f>
        <v>2129986.2584311599</v>
      </c>
      <c r="K17" s="70">
        <f>Plant!I25+Plant!I28</f>
        <v>2162146.3640275905</v>
      </c>
      <c r="L17" s="70">
        <f>Plant!J25+Plant!J28</f>
        <v>2186187.6194366859</v>
      </c>
      <c r="M17" s="70">
        <f>Plant!K25+Plant!K28</f>
        <v>2210228.8748457809</v>
      </c>
      <c r="N17" s="70">
        <f>Plant!L25+Plant!L28</f>
        <v>2234270.1302548763</v>
      </c>
      <c r="O17" s="70">
        <f>Plant!M25+Plant!M28</f>
        <v>2258311.3856639722</v>
      </c>
      <c r="P17" s="70">
        <f>Plant!N25+Plant!N28</f>
        <v>2282352.6410730672</v>
      </c>
      <c r="Q17" s="70">
        <f>Plant!O25+Plant!O28</f>
        <v>2296540.9229538445</v>
      </c>
      <c r="R17" s="70">
        <f>Plant!P25+Plant!P28</f>
        <v>2310729.2048346233</v>
      </c>
      <c r="S17" s="70">
        <f>Plant!Q25+Plant!Q28</f>
        <v>2324917.4867154011</v>
      </c>
      <c r="T17" s="70">
        <f>Plant!R25+Plant!R28</f>
        <v>2339105.7685961789</v>
      </c>
      <c r="U17" s="70">
        <f>Plant!S25+Plant!S28</f>
        <v>2353294.0504769557</v>
      </c>
      <c r="V17" s="70">
        <f>Plant!T25+Plant!T28</f>
        <v>2366615.2706872416</v>
      </c>
      <c r="W17" s="70">
        <f>Plant!U25+Plant!U28</f>
        <v>2379936.490897526</v>
      </c>
      <c r="X17" s="70">
        <f>Plant!V25+Plant!V28</f>
        <v>2393257.7111078124</v>
      </c>
      <c r="Y17" s="70">
        <f>Plant!W25+Plant!W28</f>
        <v>2406578.9313180982</v>
      </c>
      <c r="Z17" s="70">
        <f>Plant!X25+Plant!X28</f>
        <v>2419900.1515283836</v>
      </c>
      <c r="AA17" s="70">
        <f>Plant!Y25+Plant!Y28</f>
        <v>2433221.371738669</v>
      </c>
      <c r="AB17" s="70">
        <f>Plant!Z25+Plant!Z28</f>
        <v>2446542.5919489544</v>
      </c>
      <c r="AC17" t="s">
        <v>167</v>
      </c>
    </row>
    <row r="18" spans="2:31" x14ac:dyDescent="0.2">
      <c r="B18" s="36" t="s">
        <v>158</v>
      </c>
      <c r="C18" s="70">
        <v>0</v>
      </c>
      <c r="D18" s="70">
        <v>0</v>
      </c>
      <c r="E18" s="70">
        <f>Plant!F32</f>
        <v>10520492.577542229</v>
      </c>
      <c r="F18" s="70">
        <f>Plant!G32</f>
        <v>10711325.877703868</v>
      </c>
      <c r="G18" s="70">
        <f>Plant!H32</f>
        <v>10902159.177865509</v>
      </c>
      <c r="H18" s="70">
        <f>Plant!I32</f>
        <v>11066768.028744899</v>
      </c>
      <c r="I18" s="70">
        <f>Plant!J32</f>
        <v>11189821.213838557</v>
      </c>
      <c r="J18" s="70">
        <f>Plant!K32</f>
        <v>11312874.398932213</v>
      </c>
      <c r="K18" s="70">
        <f>Plant!L32</f>
        <v>11435927.584025875</v>
      </c>
      <c r="L18" s="70">
        <f>Plant!M32</f>
        <v>11558980.769119537</v>
      </c>
      <c r="M18" s="70">
        <f>Plant!N32</f>
        <v>11682033.954213189</v>
      </c>
      <c r="N18" s="70">
        <f>Plant!O32</f>
        <v>11754655.506071741</v>
      </c>
      <c r="O18" s="70">
        <f>Plant!P32</f>
        <v>11827277.057930296</v>
      </c>
      <c r="P18" s="70">
        <f>Plant!Q32</f>
        <v>11899898.609788852</v>
      </c>
      <c r="Q18" s="70">
        <f>Plant!R32</f>
        <v>11972520.161647404</v>
      </c>
      <c r="R18" s="70">
        <f>Plant!S32</f>
        <v>12045141.71350595</v>
      </c>
      <c r="S18" s="70">
        <f>Plant!T32</f>
        <v>12113325.281639814</v>
      </c>
      <c r="T18" s="70">
        <f>Plant!U32</f>
        <v>12181508.849773677</v>
      </c>
      <c r="U18" s="70">
        <f>Plant!V32</f>
        <v>12249692.41790754</v>
      </c>
      <c r="V18" s="70">
        <f>Plant!W32</f>
        <v>12317875.98604141</v>
      </c>
      <c r="W18" s="70">
        <f>Plant!X32</f>
        <v>12386059.554175267</v>
      </c>
      <c r="X18" s="70">
        <f>Plant!Y32</f>
        <v>12454243.122309132</v>
      </c>
      <c r="Y18" s="70">
        <f>Plant!Z32</f>
        <v>12522426.690442992</v>
      </c>
      <c r="Z18" s="70">
        <f>Plant!AA32</f>
        <v>12590610.258576857</v>
      </c>
      <c r="AA18" s="70">
        <f>Plant!AB32</f>
        <v>12658793.826710721</v>
      </c>
      <c r="AB18" s="70">
        <f>Plant!AC32</f>
        <v>12726977.39484459</v>
      </c>
      <c r="AC18" t="s">
        <v>167</v>
      </c>
    </row>
    <row r="19" spans="2:31" x14ac:dyDescent="0.2">
      <c r="B19" s="36" t="s">
        <v>60</v>
      </c>
      <c r="C19" s="67">
        <f>INDEX(Biosolids!$F$6:$F$31,MATCH(C$2,Biosolids!$B$6:$B$31,0))</f>
        <v>19613472.020459507</v>
      </c>
      <c r="D19" s="67">
        <f>INDEX(Biosolids!$F$6:$F$31,MATCH(D$2,Biosolids!$B$6:$B$31,0))</f>
        <v>29812674.666669123</v>
      </c>
      <c r="E19" s="70">
        <f>INDEX(Biosolids!$K$6:$K$31,MATCH(E$2,Biosolids!$B$6:$B$31,0))</f>
        <v>218006.80012436243</v>
      </c>
      <c r="F19" s="70">
        <f>INDEX(Biosolids!$K$6:$K$31,MATCH(F$2,Biosolids!$B$6:$B$31,0))</f>
        <v>222236.26655267776</v>
      </c>
      <c r="G19" s="70">
        <f>INDEX(Biosolids!$K$6:$K$31,MATCH(G$2,Biosolids!$B$6:$B$31,0))</f>
        <v>225854.56530404038</v>
      </c>
      <c r="H19" s="70">
        <f>INDEX(Biosolids!$K$6:$K$31,MATCH(H$2,Biosolids!$B$6:$B$31,0))</f>
        <v>229325.95153058288</v>
      </c>
      <c r="I19" s="70">
        <f>INDEX(Biosolids!$K$6:$K$31,MATCH(I$2,Biosolids!$B$6:$B$31,0))</f>
        <v>231755.31378956043</v>
      </c>
      <c r="J19" s="70">
        <f>INDEX(Biosolids!$K$6:$K$31,MATCH(J$2,Biosolids!$B$6:$B$31,0))</f>
        <v>234212.9535677869</v>
      </c>
      <c r="K19" s="70">
        <f>INDEX(Biosolids!$K$6:$K$31,MATCH(K$2,Biosolids!$B$6:$B$31,0))</f>
        <v>236600.35724154694</v>
      </c>
      <c r="L19" s="70">
        <f>INDEX(Biosolids!$K$6:$K$31,MATCH(L$2,Biosolids!$B$6:$B$31,0))</f>
        <v>238990.26799760771</v>
      </c>
      <c r="M19" s="70">
        <f>INDEX(Biosolids!$K$6:$K$31,MATCH(M$2,Biosolids!$B$6:$B$31,0))</f>
        <v>241406.26725452719</v>
      </c>
      <c r="N19" s="70">
        <f>INDEX(Biosolids!$K$6:$K$31,MATCH(N$2,Biosolids!$B$6:$B$31,0))</f>
        <v>243020.68944865363</v>
      </c>
      <c r="O19" s="70">
        <f>INDEX(Biosolids!$K$6:$K$31,MATCH(O$2,Biosolids!$B$6:$B$31,0))</f>
        <v>244511.61544163121</v>
      </c>
      <c r="P19" s="70">
        <f>INDEX(Biosolids!$K$6:$K$31,MATCH(P$2,Biosolids!$B$6:$B$31,0))</f>
        <v>245990.74430893562</v>
      </c>
      <c r="Q19" s="70">
        <f>INDEX(Biosolids!$K$6:$K$31,MATCH(Q$2,Biosolids!$B$6:$B$31,0))</f>
        <v>247386.70694476299</v>
      </c>
      <c r="R19" s="70">
        <f>INDEX(Biosolids!$K$6:$K$31,MATCH(R$2,Biosolids!$B$6:$B$31,0))</f>
        <v>248826.88915104096</v>
      </c>
      <c r="S19" s="70">
        <f>INDEX(Biosolids!$K$6:$K$31,MATCH(S$2,Biosolids!$B$6:$B$31,0))</f>
        <v>250127.73743628804</v>
      </c>
      <c r="T19" s="70">
        <f>INDEX(Biosolids!$K$6:$K$31,MATCH(T$2,Biosolids!$B$6:$B$31,0))</f>
        <v>251409.95072519133</v>
      </c>
      <c r="U19" s="70">
        <f>INDEX(Biosolids!$K$6:$K$31,MATCH(U$2,Biosolids!$B$6:$B$31,0))</f>
        <v>252711.45484814013</v>
      </c>
      <c r="V19" s="70">
        <f>INDEX(Biosolids!$K$6:$K$31,MATCH(V$2,Biosolids!$B$6:$B$31,0))</f>
        <v>254061.10623787629</v>
      </c>
      <c r="W19" s="70">
        <f>INDEX(Biosolids!$K$6:$K$31,MATCH(W$2,Biosolids!$B$6:$B$31,0))</f>
        <v>255332.82513572159</v>
      </c>
      <c r="X19" s="70">
        <f>INDEX(Biosolids!$K$6:$K$31,MATCH(X$2,Biosolids!$B$6:$B$31,0))</f>
        <v>256597.81785423929</v>
      </c>
      <c r="Y19" s="70">
        <f>INDEX(Biosolids!$K$6:$K$31,MATCH(Y$2,Biosolids!$B$6:$B$31,0))</f>
        <v>257888.63572735802</v>
      </c>
      <c r="Z19" s="70">
        <f>INDEX(Biosolids!$K$6:$K$31,MATCH(Z$2,Biosolids!$B$6:$B$31,0))</f>
        <v>259232.85088700446</v>
      </c>
      <c r="AA19" s="70">
        <f>INDEX(Biosolids!$K$6:$K$31,MATCH(AA$2,Biosolids!$B$6:$B$31,0))</f>
        <v>260494.21907038448</v>
      </c>
      <c r="AB19" s="70">
        <f>INDEX(Biosolids!$K$6:$K$31,MATCH(AB$2,Biosolids!$B$6:$B$31,0))</f>
        <v>261750.41902289502</v>
      </c>
      <c r="AC19" t="s">
        <v>167</v>
      </c>
    </row>
    <row r="20" spans="2:31" x14ac:dyDescent="0.2">
      <c r="B20" s="36" t="s">
        <v>239</v>
      </c>
      <c r="C20" s="70">
        <f>LandfillCap!F18</f>
        <v>201744396.43457261</v>
      </c>
      <c r="D20" s="70">
        <f>LandfillCap!G18</f>
        <v>212964835.94378549</v>
      </c>
      <c r="E20" s="70">
        <f>LandfillCap!H18</f>
        <v>224185275.45299837</v>
      </c>
      <c r="F20" s="70">
        <f>LandfillCap!I18</f>
        <v>235405714.96221125</v>
      </c>
      <c r="G20" s="70">
        <f>LandfillCap!J18</f>
        <v>246626154.4714241</v>
      </c>
      <c r="H20" s="70">
        <f>LandfillCap!K18</f>
        <v>257846593.98063701</v>
      </c>
      <c r="I20" s="70">
        <f>LandfillCap!L18</f>
        <v>269067033.48984998</v>
      </c>
      <c r="J20" s="70">
        <f>LandfillCap!M18</f>
        <v>280287472.99906272</v>
      </c>
      <c r="K20" s="70">
        <f>LandfillCap!N18</f>
        <v>289473928.45381671</v>
      </c>
      <c r="L20" s="70">
        <f>LandfillCap!O18</f>
        <v>298660383.90857059</v>
      </c>
      <c r="M20" s="70">
        <f>LandfillCap!P18</f>
        <v>307846839.36332452</v>
      </c>
      <c r="N20" s="70">
        <f>LandfillCap!Q18</f>
        <v>317033294.81807852</v>
      </c>
      <c r="O20" s="70">
        <f>LandfillCap!R18</f>
        <v>326219750.27283257</v>
      </c>
      <c r="P20" s="70">
        <f>LandfillCap!S18</f>
        <v>333353595.44552267</v>
      </c>
      <c r="Q20" s="70">
        <f>LandfillCap!T18</f>
        <v>340487440.61821288</v>
      </c>
      <c r="R20" s="70">
        <f>LandfillCap!U18</f>
        <v>347621285.79090297</v>
      </c>
      <c r="S20" s="70">
        <f>LandfillCap!V18</f>
        <v>354755130.96359313</v>
      </c>
      <c r="T20" s="70">
        <f>LandfillCap!W18</f>
        <v>361888976.13628328</v>
      </c>
      <c r="U20" s="70">
        <f>LandfillCap!X18</f>
        <v>369022821.30897343</v>
      </c>
      <c r="V20" s="70">
        <f>LandfillCap!Y18</f>
        <v>376156666.48166353</v>
      </c>
      <c r="W20" s="70">
        <f>LandfillCap!Z18</f>
        <v>383290511.65435362</v>
      </c>
      <c r="X20" s="70">
        <f>LandfillCap!AA18</f>
        <v>390424356.82704383</v>
      </c>
      <c r="Y20" s="70">
        <f>LandfillCap!AB18</f>
        <v>397558201.99973398</v>
      </c>
      <c r="Z20" s="70">
        <f>LandfillCap!AC18</f>
        <v>404692047.17242414</v>
      </c>
      <c r="AA20" s="70">
        <f>LandfillCap!AD18</f>
        <v>411825892.34511405</v>
      </c>
      <c r="AB20" s="70">
        <f>LandfillCap!AE18</f>
        <v>416760409.87368309</v>
      </c>
      <c r="AC20" t="s">
        <v>167</v>
      </c>
    </row>
    <row r="21" spans="2:31" x14ac:dyDescent="0.2">
      <c r="B21" s="71" t="s">
        <v>40</v>
      </c>
      <c r="C21" s="72">
        <f>SUM(C12:C20)</f>
        <v>228341021.43053105</v>
      </c>
      <c r="D21" s="72">
        <f t="shared" ref="D21:AB21" si="2">SUM(D12:D20)</f>
        <v>249760663.58595356</v>
      </c>
      <c r="E21" s="72">
        <f t="shared" si="2"/>
        <v>249624346.32782823</v>
      </c>
      <c r="F21" s="72">
        <f t="shared" si="2"/>
        <v>261725299.7396771</v>
      </c>
      <c r="G21" s="72">
        <f t="shared" si="2"/>
        <v>273445887.50485015</v>
      </c>
      <c r="H21" s="72">
        <f t="shared" si="2"/>
        <v>285078248.30790973</v>
      </c>
      <c r="I21" s="72">
        <f t="shared" si="2"/>
        <v>296634631.49719149</v>
      </c>
      <c r="J21" s="72">
        <f t="shared" si="2"/>
        <v>308191042.96399224</v>
      </c>
      <c r="K21" s="72">
        <f t="shared" si="2"/>
        <v>317698061.56000966</v>
      </c>
      <c r="L21" s="72">
        <f t="shared" si="2"/>
        <v>327180776.91291422</v>
      </c>
      <c r="M21" s="72">
        <f t="shared" si="2"/>
        <v>336700768.10335886</v>
      </c>
      <c r="N21" s="72">
        <f t="shared" si="2"/>
        <v>346091766.71793175</v>
      </c>
      <c r="O21" s="72">
        <f t="shared" si="2"/>
        <v>355513093.15205806</v>
      </c>
      <c r="P21" s="72">
        <f t="shared" si="2"/>
        <v>362851346.19124019</v>
      </c>
      <c r="Q21" s="72">
        <f t="shared" si="2"/>
        <v>370160018.79453683</v>
      </c>
      <c r="R21" s="72">
        <f t="shared" si="2"/>
        <v>377468735.61740375</v>
      </c>
      <c r="S21" s="72">
        <f t="shared" si="2"/>
        <v>384769310.27636999</v>
      </c>
      <c r="T21" s="72">
        <f t="shared" si="2"/>
        <v>392069866.30033988</v>
      </c>
      <c r="U21" s="72">
        <f t="shared" si="2"/>
        <v>399370441.61514384</v>
      </c>
      <c r="V21" s="72">
        <f t="shared" si="2"/>
        <v>406668469.31748492</v>
      </c>
      <c r="W21" s="72">
        <f t="shared" si="2"/>
        <v>413966419.0873341</v>
      </c>
      <c r="X21" s="72">
        <f t="shared" si="2"/>
        <v>421264362.1310041</v>
      </c>
      <c r="Y21" s="72">
        <f t="shared" si="2"/>
        <v>428562330.99982864</v>
      </c>
      <c r="Z21" s="72">
        <f t="shared" si="2"/>
        <v>435860353.26593971</v>
      </c>
      <c r="AA21" s="72">
        <f t="shared" si="2"/>
        <v>443210697.27497739</v>
      </c>
      <c r="AB21" s="72">
        <f t="shared" si="2"/>
        <v>448309303.88176018</v>
      </c>
      <c r="AC21" s="2" t="s">
        <v>167</v>
      </c>
    </row>
    <row r="22" spans="2:31" ht="17" thickBot="1" x14ac:dyDescent="0.25">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row>
    <row r="23" spans="2:31" x14ac:dyDescent="0.2">
      <c r="B23" s="77" t="s">
        <v>346</v>
      </c>
      <c r="C23" s="78">
        <f>C21-C8</f>
        <v>-124685325.80131826</v>
      </c>
      <c r="D23" s="79">
        <f t="shared" ref="D23:AB23" si="3">D21-D8</f>
        <v>-131903172.48476735</v>
      </c>
      <c r="E23" s="79">
        <f t="shared" si="3"/>
        <v>-154535902.55643725</v>
      </c>
      <c r="F23" s="79">
        <f t="shared" si="3"/>
        <v>-165152639.93997857</v>
      </c>
      <c r="G23" s="79">
        <f t="shared" si="3"/>
        <v>-174529213.41433346</v>
      </c>
      <c r="H23" s="79">
        <f t="shared" si="3"/>
        <v>-183545240.59823865</v>
      </c>
      <c r="I23" s="79">
        <f t="shared" si="3"/>
        <v>-192436049.51499456</v>
      </c>
      <c r="J23" s="79">
        <f t="shared" si="3"/>
        <v>-201406010.61879015</v>
      </c>
      <c r="K23" s="79">
        <f t="shared" si="3"/>
        <v>-208891945.28644472</v>
      </c>
      <c r="L23" s="79">
        <f t="shared" si="3"/>
        <v>-216410692.62779051</v>
      </c>
      <c r="M23" s="79">
        <f t="shared" si="3"/>
        <v>-224009080.24634457</v>
      </c>
      <c r="N23" s="79">
        <f t="shared" si="3"/>
        <v>-231525741.69886374</v>
      </c>
      <c r="O23" s="79">
        <f t="shared" si="3"/>
        <v>-238710907.6927132</v>
      </c>
      <c r="P23" s="79">
        <f t="shared" si="3"/>
        <v>-244538982.10743558</v>
      </c>
      <c r="Q23" s="79">
        <f t="shared" si="3"/>
        <v>-250142646.16991258</v>
      </c>
      <c r="R23" s="79">
        <f t="shared" si="3"/>
        <v>-255866293.83588398</v>
      </c>
      <c r="S23" s="79">
        <f t="shared" si="3"/>
        <v>-261343499.73593932</v>
      </c>
      <c r="T23" s="79">
        <f t="shared" si="3"/>
        <v>-266768385.95094842</v>
      </c>
      <c r="U23" s="79">
        <f t="shared" si="3"/>
        <v>-272244777.89209634</v>
      </c>
      <c r="V23" s="79">
        <f t="shared" si="3"/>
        <v>-277855206.50243562</v>
      </c>
      <c r="W23" s="79">
        <f t="shared" si="3"/>
        <v>-283251363.49337214</v>
      </c>
      <c r="X23" s="79">
        <f t="shared" si="3"/>
        <v>-288628493.79300714</v>
      </c>
      <c r="Y23" s="79">
        <f t="shared" si="3"/>
        <v>-294075798.22851485</v>
      </c>
      <c r="Z23" s="79">
        <f t="shared" si="3"/>
        <v>-299668921.93110633</v>
      </c>
      <c r="AA23" s="79">
        <f t="shared" si="3"/>
        <v>-305043934.03356308</v>
      </c>
      <c r="AB23" s="80">
        <f t="shared" si="3"/>
        <v>-308980286.03115827</v>
      </c>
      <c r="AC23" s="2" t="s">
        <v>167</v>
      </c>
    </row>
    <row r="24" spans="2:31" ht="17" thickBot="1" x14ac:dyDescent="0.25">
      <c r="B24" s="81" t="s">
        <v>347</v>
      </c>
      <c r="C24" s="82">
        <f>SUM($C$23:C23)</f>
        <v>-124685325.80131826</v>
      </c>
      <c r="D24" s="83">
        <f>SUM($C$23:D23)</f>
        <v>-256588498.28608561</v>
      </c>
      <c r="E24" s="83">
        <f>SUM($C$23:E23)</f>
        <v>-411124400.84252286</v>
      </c>
      <c r="F24" s="83">
        <f>SUM($C$23:F23)</f>
        <v>-576277040.78250146</v>
      </c>
      <c r="G24" s="83">
        <f>SUM($C$23:G23)</f>
        <v>-750806254.19683492</v>
      </c>
      <c r="H24" s="83">
        <f>SUM($C$23:H23)</f>
        <v>-934351494.79507351</v>
      </c>
      <c r="I24" s="83">
        <f>SUM($C$23:I23)</f>
        <v>-1126787544.3100681</v>
      </c>
      <c r="J24" s="83">
        <f>SUM($C$23:J23)</f>
        <v>-1328193554.9288583</v>
      </c>
      <c r="K24" s="83">
        <f>SUM($C$23:K23)</f>
        <v>-1537085500.2153029</v>
      </c>
      <c r="L24" s="83">
        <f>SUM($C$23:L23)</f>
        <v>-1753496192.8430934</v>
      </c>
      <c r="M24" s="83">
        <f>SUM($C$23:M23)</f>
        <v>-1977505273.089438</v>
      </c>
      <c r="N24" s="83">
        <f>SUM($C$23:N23)</f>
        <v>-2209031014.7883015</v>
      </c>
      <c r="O24" s="83">
        <f>SUM($C$23:O23)</f>
        <v>-2447741922.4810147</v>
      </c>
      <c r="P24" s="83">
        <f>SUM($C$23:P23)</f>
        <v>-2692280904.5884504</v>
      </c>
      <c r="Q24" s="83">
        <f>SUM($C$23:Q23)</f>
        <v>-2942423550.7583628</v>
      </c>
      <c r="R24" s="83">
        <f>SUM($C$23:R23)</f>
        <v>-3198289844.5942469</v>
      </c>
      <c r="S24" s="83">
        <f>SUM($C$23:S23)</f>
        <v>-3459633344.3301864</v>
      </c>
      <c r="T24" s="83">
        <f>SUM($C$23:T23)</f>
        <v>-3726401730.2811346</v>
      </c>
      <c r="U24" s="83">
        <f>SUM($C$23:U23)</f>
        <v>-3998646508.1732311</v>
      </c>
      <c r="V24" s="83">
        <f>SUM($C$23:V23)</f>
        <v>-4276501714.6756668</v>
      </c>
      <c r="W24" s="83">
        <f>SUM($C$23:W23)</f>
        <v>-4559753078.1690388</v>
      </c>
      <c r="X24" s="83">
        <f>SUM($C$23:X23)</f>
        <v>-4848381571.9620457</v>
      </c>
      <c r="Y24" s="83">
        <f>SUM($C$23:Y23)</f>
        <v>-5142457370.1905603</v>
      </c>
      <c r="Z24" s="83">
        <f>SUM($C$23:Z23)</f>
        <v>-5442126292.1216669</v>
      </c>
      <c r="AA24" s="83">
        <f>SUM($C$23:AA23)</f>
        <v>-5747170226.1552296</v>
      </c>
      <c r="AB24" s="84">
        <f>SUM($C$23:AB23)</f>
        <v>-6056150512.186388</v>
      </c>
      <c r="AC24" t="s">
        <v>167</v>
      </c>
    </row>
    <row r="26" spans="2:31" x14ac:dyDescent="0.2">
      <c r="C26" s="5"/>
      <c r="D26" s="5"/>
      <c r="E26" s="5"/>
      <c r="F26" s="5"/>
      <c r="G26" s="5"/>
      <c r="H26" s="5"/>
      <c r="I26" s="5"/>
      <c r="J26" s="5"/>
      <c r="K26" s="5"/>
      <c r="L26" s="5"/>
      <c r="M26" s="5"/>
      <c r="N26" s="5"/>
      <c r="O26" s="5"/>
      <c r="P26" s="5"/>
      <c r="Q26" s="5"/>
      <c r="R26" s="5"/>
      <c r="S26" s="5"/>
      <c r="T26" s="5"/>
      <c r="U26" s="5"/>
      <c r="V26" s="5"/>
      <c r="W26" s="5"/>
      <c r="X26" s="5"/>
      <c r="Y26" s="5"/>
      <c r="Z26" s="5"/>
      <c r="AA26" s="5"/>
      <c r="AB26" s="5"/>
    </row>
    <row r="27" spans="2:31" x14ac:dyDescent="0.2">
      <c r="C27" s="41"/>
      <c r="M27" s="5"/>
      <c r="N27" s="5"/>
      <c r="O27" s="5"/>
      <c r="P27" s="5"/>
      <c r="Q27" s="5"/>
      <c r="R27" s="5"/>
      <c r="S27" s="5"/>
      <c r="T27" s="5"/>
      <c r="U27" s="5"/>
      <c r="V27" s="5"/>
      <c r="W27" s="5"/>
      <c r="X27" s="5"/>
      <c r="Y27" s="5"/>
      <c r="Z27" s="5"/>
      <c r="AA27" s="5"/>
      <c r="AB27" s="5"/>
    </row>
    <row r="29" spans="2:31" x14ac:dyDescent="0.2">
      <c r="B29" s="2"/>
      <c r="C29" s="53"/>
      <c r="D29" s="53"/>
      <c r="M29" s="40"/>
      <c r="N29" s="40"/>
      <c r="O29" s="40"/>
      <c r="P29" s="40"/>
      <c r="Q29" s="40"/>
      <c r="R29" s="40"/>
      <c r="S29" s="40"/>
      <c r="T29" s="40"/>
      <c r="AA29" s="40"/>
      <c r="AB29" s="40"/>
      <c r="AD29" s="41"/>
      <c r="AE29" s="41"/>
    </row>
    <row r="30" spans="2:31" x14ac:dyDescent="0.2">
      <c r="C30" s="41"/>
      <c r="D30" s="41"/>
      <c r="M30" s="40"/>
      <c r="N30" s="40"/>
      <c r="O30" s="40"/>
      <c r="P30" s="40"/>
      <c r="Q30" s="40"/>
      <c r="R30" s="40"/>
      <c r="S30" s="40"/>
      <c r="T30" s="40"/>
      <c r="AA30" s="40"/>
      <c r="AB30" s="50"/>
      <c r="AD30" s="41"/>
      <c r="AE30" s="41"/>
    </row>
    <row r="31" spans="2:31" x14ac:dyDescent="0.2">
      <c r="C31" s="41"/>
      <c r="D31" s="41"/>
      <c r="M31" s="40"/>
      <c r="N31" s="40"/>
      <c r="O31" s="40"/>
      <c r="P31" s="40"/>
      <c r="Q31" s="40"/>
      <c r="R31" s="40"/>
      <c r="S31" s="40"/>
      <c r="T31" s="40"/>
      <c r="AA31" s="40"/>
      <c r="AB31" s="50"/>
      <c r="AD31" s="41"/>
      <c r="AE31" s="41"/>
    </row>
    <row r="32" spans="2:31" x14ac:dyDescent="0.2">
      <c r="C32" s="41"/>
      <c r="D32" s="41"/>
      <c r="M32" s="40"/>
      <c r="N32" s="40"/>
      <c r="O32" s="40"/>
      <c r="P32" s="40"/>
      <c r="Q32" s="40"/>
      <c r="R32" s="40"/>
      <c r="S32" s="40"/>
      <c r="T32" s="40"/>
      <c r="AA32" s="40"/>
      <c r="AB32" s="50"/>
    </row>
    <row r="33" spans="2:28" x14ac:dyDescent="0.2">
      <c r="B33" s="2"/>
      <c r="C33" s="42"/>
      <c r="D33" s="42"/>
      <c r="E33" s="2"/>
      <c r="M33" s="40"/>
      <c r="N33" s="40"/>
      <c r="O33" s="40"/>
      <c r="P33" s="40"/>
      <c r="Q33" s="40"/>
      <c r="R33" s="40"/>
      <c r="S33" s="40"/>
      <c r="T33" s="40"/>
      <c r="AA33" s="40"/>
      <c r="AB33" s="50"/>
    </row>
    <row r="34" spans="2:28" x14ac:dyDescent="0.2">
      <c r="C34" s="41"/>
      <c r="D34" s="41"/>
      <c r="M34" s="40"/>
      <c r="N34" s="40"/>
      <c r="O34" s="40"/>
      <c r="P34" s="40"/>
      <c r="Q34" s="40"/>
      <c r="R34" s="40"/>
      <c r="S34" s="40"/>
      <c r="T34" s="40"/>
      <c r="AA34" s="40"/>
      <c r="AB34" s="50"/>
    </row>
    <row r="35" spans="2:28" x14ac:dyDescent="0.2">
      <c r="C35" s="41"/>
      <c r="D35" s="41"/>
      <c r="G35" s="2"/>
      <c r="H35" s="2"/>
      <c r="M35" s="40"/>
      <c r="N35" s="40"/>
      <c r="O35" s="40"/>
      <c r="P35" s="40"/>
      <c r="Q35" s="40"/>
      <c r="R35" s="40"/>
      <c r="S35" s="40"/>
      <c r="T35" s="40"/>
      <c r="AA35" s="40"/>
      <c r="AB35" s="50"/>
    </row>
    <row r="36" spans="2:28" x14ac:dyDescent="0.2">
      <c r="C36" s="41"/>
      <c r="D36" s="41"/>
      <c r="M36" s="40"/>
      <c r="N36" s="40"/>
      <c r="O36" s="40"/>
      <c r="P36" s="40"/>
      <c r="Q36" s="40"/>
      <c r="R36" s="40"/>
      <c r="S36" s="40"/>
      <c r="T36" s="40"/>
      <c r="AA36" s="40"/>
      <c r="AB36" s="50"/>
    </row>
    <row r="37" spans="2:28" x14ac:dyDescent="0.2">
      <c r="C37" s="41"/>
      <c r="D37" s="41"/>
      <c r="G37" s="41"/>
      <c r="H37" s="41"/>
      <c r="M37" s="40"/>
      <c r="N37" s="40"/>
      <c r="O37" s="40"/>
      <c r="P37" s="40"/>
      <c r="Q37" s="40"/>
      <c r="R37" s="40"/>
      <c r="S37" s="40"/>
      <c r="T37" s="40"/>
      <c r="AA37" s="40"/>
      <c r="AB37" s="50"/>
    </row>
    <row r="38" spans="2:28" x14ac:dyDescent="0.2">
      <c r="C38" s="41"/>
      <c r="D38" s="41"/>
      <c r="G38" s="41"/>
      <c r="H38" s="41"/>
      <c r="M38" s="40"/>
      <c r="N38" s="40"/>
      <c r="O38" s="40"/>
      <c r="P38" s="40"/>
      <c r="Q38" s="40"/>
      <c r="R38" s="40"/>
      <c r="S38" s="40"/>
      <c r="T38" s="40"/>
      <c r="AA38" s="40"/>
      <c r="AB38" s="50"/>
    </row>
    <row r="39" spans="2:28" x14ac:dyDescent="0.2">
      <c r="C39" s="41"/>
      <c r="D39" s="41"/>
      <c r="G39" s="41"/>
      <c r="H39" s="41"/>
      <c r="M39" s="40"/>
      <c r="N39" s="40"/>
      <c r="O39" s="40"/>
      <c r="P39" s="40"/>
      <c r="Q39" s="40"/>
      <c r="R39" s="40"/>
      <c r="S39" s="40"/>
      <c r="T39" s="40"/>
      <c r="AA39" s="40"/>
      <c r="AB39" s="50"/>
    </row>
    <row r="40" spans="2:28" x14ac:dyDescent="0.2">
      <c r="C40" s="41"/>
      <c r="D40" s="41"/>
      <c r="G40" s="41"/>
      <c r="H40" s="41"/>
      <c r="M40" s="40"/>
      <c r="N40" s="40"/>
      <c r="O40" s="40"/>
      <c r="P40" s="40"/>
      <c r="Q40" s="40"/>
      <c r="R40" s="40"/>
      <c r="S40" s="40"/>
      <c r="T40" s="40"/>
      <c r="AA40" s="40"/>
      <c r="AB40" s="50"/>
    </row>
    <row r="41" spans="2:28" x14ac:dyDescent="0.2">
      <c r="C41" s="41"/>
      <c r="D41" s="41"/>
      <c r="G41" s="41"/>
      <c r="H41" s="41"/>
      <c r="M41" s="40"/>
      <c r="N41" s="40"/>
      <c r="O41" s="40"/>
      <c r="P41" s="40"/>
      <c r="Q41" s="40"/>
      <c r="R41" s="40"/>
      <c r="S41" s="40"/>
      <c r="T41" s="40"/>
      <c r="AA41" s="40"/>
      <c r="AB41" s="50"/>
    </row>
    <row r="42" spans="2:28" x14ac:dyDescent="0.2">
      <c r="C42" s="41"/>
      <c r="D42" s="41"/>
      <c r="G42" s="41"/>
      <c r="H42" s="41"/>
      <c r="M42" s="40"/>
      <c r="N42" s="40"/>
      <c r="O42" s="40"/>
      <c r="P42" s="40"/>
      <c r="Q42" s="40"/>
      <c r="R42" s="40"/>
      <c r="S42" s="40"/>
      <c r="T42" s="40"/>
      <c r="AA42" s="40"/>
      <c r="AB42" s="50"/>
    </row>
    <row r="43" spans="2:28" x14ac:dyDescent="0.2">
      <c r="B43" s="2"/>
      <c r="C43" s="42"/>
      <c r="D43" s="42"/>
      <c r="E43" s="2"/>
      <c r="G43" s="41"/>
      <c r="H43" s="41"/>
      <c r="M43" s="40"/>
      <c r="N43" s="40"/>
      <c r="O43" s="40"/>
      <c r="P43" s="40"/>
      <c r="Q43" s="40"/>
      <c r="R43" s="40"/>
      <c r="S43" s="40"/>
      <c r="T43" s="40"/>
      <c r="AA43" s="40"/>
      <c r="AB43" s="50"/>
    </row>
    <row r="44" spans="2:28" x14ac:dyDescent="0.2">
      <c r="G44" s="42"/>
      <c r="H44" s="42"/>
      <c r="M44" s="40"/>
      <c r="N44" s="40"/>
      <c r="O44" s="40"/>
      <c r="P44" s="40"/>
      <c r="Q44" s="40"/>
      <c r="R44" s="40"/>
      <c r="S44" s="40"/>
      <c r="T44" s="40"/>
      <c r="AA44" s="40"/>
      <c r="AB44" s="50"/>
    </row>
    <row r="45" spans="2:28" x14ac:dyDescent="0.2">
      <c r="B45" s="2"/>
      <c r="C45" s="42"/>
      <c r="D45" s="42"/>
      <c r="E45" s="2"/>
      <c r="M45" s="40"/>
      <c r="N45" s="40"/>
      <c r="O45" s="40"/>
      <c r="P45" s="40"/>
      <c r="Q45" s="40"/>
      <c r="R45" s="40"/>
      <c r="S45" s="40"/>
      <c r="T45" s="40"/>
      <c r="AA45" s="40"/>
      <c r="AB45" s="50"/>
    </row>
    <row r="46" spans="2:28" x14ac:dyDescent="0.2">
      <c r="B46" s="2"/>
      <c r="C46" s="304"/>
      <c r="D46" s="304"/>
      <c r="E46" s="2"/>
      <c r="M46" s="40"/>
      <c r="N46" s="40"/>
      <c r="O46" s="40"/>
      <c r="P46" s="40"/>
      <c r="Q46" s="40"/>
      <c r="R46" s="40"/>
      <c r="S46" s="40"/>
      <c r="T46" s="40"/>
      <c r="AA46" s="40"/>
      <c r="AB46" s="50"/>
    </row>
    <row r="47" spans="2:28" x14ac:dyDescent="0.2">
      <c r="AB47" s="50"/>
    </row>
    <row r="48" spans="2:28" x14ac:dyDescent="0.2">
      <c r="AB48" s="50"/>
    </row>
    <row r="49" spans="3:28" x14ac:dyDescent="0.2">
      <c r="AB49" s="50"/>
    </row>
    <row r="50" spans="3:28" x14ac:dyDescent="0.2">
      <c r="C50" s="41"/>
      <c r="D50" s="41"/>
      <c r="AB50" s="50"/>
    </row>
    <row r="51" spans="3:28" x14ac:dyDescent="0.2">
      <c r="C51" s="41"/>
      <c r="D51" s="41"/>
      <c r="AB51" s="50"/>
    </row>
    <row r="52" spans="3:28" x14ac:dyDescent="0.2">
      <c r="C52" s="41"/>
      <c r="D52" s="41"/>
      <c r="AB52" s="50"/>
    </row>
    <row r="53" spans="3:28" x14ac:dyDescent="0.2">
      <c r="C53" s="41"/>
      <c r="D53" s="41"/>
      <c r="AB53" s="50"/>
    </row>
    <row r="54" spans="3:28" x14ac:dyDescent="0.2">
      <c r="AB54" s="50"/>
    </row>
    <row r="55" spans="3:28" x14ac:dyDescent="0.2">
      <c r="AB55" s="50"/>
    </row>
    <row r="56" spans="3:28" x14ac:dyDescent="0.2">
      <c r="AB56" s="50"/>
    </row>
    <row r="57" spans="3:28" x14ac:dyDescent="0.2">
      <c r="AB57" s="50"/>
    </row>
    <row r="58" spans="3:28" x14ac:dyDescent="0.2">
      <c r="AB58" s="50"/>
    </row>
    <row r="59" spans="3:28" x14ac:dyDescent="0.2">
      <c r="AB59" s="50"/>
    </row>
    <row r="60" spans="3:28" x14ac:dyDescent="0.2">
      <c r="AB60" s="50"/>
    </row>
    <row r="61" spans="3:28" x14ac:dyDescent="0.2">
      <c r="AB61" s="50"/>
    </row>
    <row r="62" spans="3:28" x14ac:dyDescent="0.2">
      <c r="AB62" s="50"/>
    </row>
    <row r="63" spans="3:28" x14ac:dyDescent="0.2">
      <c r="AB63" s="50"/>
    </row>
    <row r="64" spans="3:28" x14ac:dyDescent="0.2">
      <c r="AB64" s="50"/>
    </row>
    <row r="65" spans="28:28" x14ac:dyDescent="0.2">
      <c r="AB65" s="50"/>
    </row>
    <row r="66" spans="28:28" x14ac:dyDescent="0.2">
      <c r="AB66" s="50"/>
    </row>
    <row r="67" spans="28:28" x14ac:dyDescent="0.2">
      <c r="AB67" s="50"/>
    </row>
    <row r="68" spans="28:28" x14ac:dyDescent="0.2">
      <c r="AB68" s="50"/>
    </row>
    <row r="69" spans="28:28" x14ac:dyDescent="0.2">
      <c r="AB69" s="50"/>
    </row>
    <row r="70" spans="28:28" x14ac:dyDescent="0.2">
      <c r="AB70" s="50"/>
    </row>
    <row r="71" spans="28:28" x14ac:dyDescent="0.2">
      <c r="AB71" s="50"/>
    </row>
    <row r="72" spans="28:28" x14ac:dyDescent="0.2">
      <c r="AB72" s="50"/>
    </row>
    <row r="73" spans="28:28" x14ac:dyDescent="0.2">
      <c r="AB73" s="50"/>
    </row>
    <row r="74" spans="28:28" x14ac:dyDescent="0.2">
      <c r="AB74" s="50"/>
    </row>
    <row r="75" spans="28:28" x14ac:dyDescent="0.2">
      <c r="AB75" s="50"/>
    </row>
    <row r="76" spans="28:28" x14ac:dyDescent="0.2">
      <c r="AB76" s="50"/>
    </row>
    <row r="77" spans="28:28" x14ac:dyDescent="0.2">
      <c r="AB77" s="50"/>
    </row>
    <row r="78" spans="28:28" x14ac:dyDescent="0.2">
      <c r="AB78" s="50"/>
    </row>
    <row r="79" spans="28:28" x14ac:dyDescent="0.2">
      <c r="AB79" s="50"/>
    </row>
    <row r="80" spans="28:28" x14ac:dyDescent="0.2">
      <c r="AB80" s="50"/>
    </row>
    <row r="81" spans="28:28" x14ac:dyDescent="0.2">
      <c r="AB81" s="50"/>
    </row>
    <row r="82" spans="28:28" x14ac:dyDescent="0.2">
      <c r="AB82" s="50"/>
    </row>
    <row r="83" spans="28:28" x14ac:dyDescent="0.2">
      <c r="AB83" s="50"/>
    </row>
    <row r="84" spans="28:28" x14ac:dyDescent="0.2">
      <c r="AB84" s="50"/>
    </row>
    <row r="85" spans="28:28" x14ac:dyDescent="0.2">
      <c r="AB85" s="50"/>
    </row>
    <row r="86" spans="28:28" x14ac:dyDescent="0.2">
      <c r="AB86" s="50"/>
    </row>
    <row r="87" spans="28:28" x14ac:dyDescent="0.2">
      <c r="AB87" s="50"/>
    </row>
    <row r="88" spans="28:28" x14ac:dyDescent="0.2">
      <c r="AB88" s="50"/>
    </row>
    <row r="89" spans="28:28" x14ac:dyDescent="0.2">
      <c r="AB89" s="50"/>
    </row>
    <row r="90" spans="28:28" x14ac:dyDescent="0.2">
      <c r="AB90" s="50"/>
    </row>
    <row r="91" spans="28:28" x14ac:dyDescent="0.2">
      <c r="AB91" s="50"/>
    </row>
    <row r="92" spans="28:28" x14ac:dyDescent="0.2">
      <c r="AB92" s="50"/>
    </row>
    <row r="93" spans="28:28" x14ac:dyDescent="0.2">
      <c r="AB93" s="50"/>
    </row>
  </sheetData>
  <mergeCells count="2">
    <mergeCell ref="B4:AB4"/>
    <mergeCell ref="B11:AB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5940C-ECDD-1846-8BA9-78822C41F659}">
  <dimension ref="B1:BF99"/>
  <sheetViews>
    <sheetView topLeftCell="A2" zoomScaleNormal="100" workbookViewId="0">
      <selection activeCell="AX3" sqref="AX3"/>
    </sheetView>
  </sheetViews>
  <sheetFormatPr baseColWidth="10" defaultRowHeight="16" x14ac:dyDescent="0.2"/>
  <cols>
    <col min="1" max="1" width="4.1640625" customWidth="1"/>
    <col min="2" max="2" width="15.1640625" customWidth="1"/>
    <col min="3" max="6" width="12.33203125" customWidth="1"/>
    <col min="7" max="7" width="5.33203125" customWidth="1"/>
    <col min="8" max="11" width="12.33203125" customWidth="1"/>
    <col min="12" max="12" width="4.1640625" customWidth="1"/>
    <col min="13" max="13" width="4.1640625" style="317" customWidth="1"/>
    <col min="14" max="14" width="4.1640625" customWidth="1"/>
    <col min="15" max="15" width="15.6640625" customWidth="1"/>
    <col min="16" max="16" width="20.1640625" customWidth="1"/>
    <col min="17" max="17" width="16.33203125" customWidth="1"/>
    <col min="18" max="18" width="16.83203125" customWidth="1"/>
    <col min="19" max="19" width="11" bestFit="1" customWidth="1"/>
    <col min="20" max="20" width="15.5" customWidth="1"/>
    <col min="21" max="21" width="13.83203125" customWidth="1"/>
    <col min="22" max="23" width="11" bestFit="1" customWidth="1"/>
    <col min="24" max="24" width="17.5" customWidth="1"/>
    <col min="25" max="25" width="18.5" customWidth="1"/>
    <col min="26" max="26" width="13.83203125" customWidth="1"/>
    <col min="27" max="27" width="19.1640625" customWidth="1"/>
    <col min="28" max="28" width="16" customWidth="1"/>
    <col min="29" max="29" width="15.83203125" customWidth="1"/>
    <col min="30" max="30" width="11" bestFit="1" customWidth="1"/>
    <col min="31" max="31" width="15.33203125" customWidth="1"/>
    <col min="32" max="32" width="13" customWidth="1"/>
    <col min="33" max="34" width="11" bestFit="1" customWidth="1"/>
    <col min="35" max="35" width="18.1640625" customWidth="1"/>
    <col min="36" max="36" width="17.5" customWidth="1"/>
    <col min="37" max="37" width="12.1640625" bestFit="1" customWidth="1"/>
    <col min="38" max="38" width="20" customWidth="1"/>
    <col min="39" max="39" width="16.83203125" customWidth="1"/>
    <col min="40" max="40" width="16.6640625" customWidth="1"/>
    <col min="41" max="41" width="11" bestFit="1" customWidth="1"/>
    <col min="42" max="42" width="14.33203125" customWidth="1"/>
    <col min="43" max="43" width="13.6640625" customWidth="1"/>
    <col min="44" max="45" width="11" bestFit="1" customWidth="1"/>
    <col min="46" max="46" width="18.6640625" customWidth="1"/>
    <col min="47" max="47" width="17.83203125" customWidth="1"/>
    <col min="48" max="48" width="14" customWidth="1"/>
    <col min="50" max="50" width="13.6640625" customWidth="1"/>
    <col min="54" max="54" width="13.83203125" customWidth="1"/>
    <col min="55" max="55" width="7.33203125" customWidth="1"/>
    <col min="59" max="59" width="13.33203125" customWidth="1"/>
  </cols>
  <sheetData>
    <row r="1" spans="2:58" ht="17" thickBot="1" x14ac:dyDescent="0.25"/>
    <row r="2" spans="2:58" ht="17" thickBot="1" x14ac:dyDescent="0.25">
      <c r="P2" s="332" t="s">
        <v>342</v>
      </c>
      <c r="Q2" s="333"/>
      <c r="R2" s="333"/>
      <c r="S2" s="333"/>
      <c r="T2" s="333"/>
      <c r="U2" s="333"/>
      <c r="V2" s="333"/>
      <c r="W2" s="333"/>
      <c r="X2" s="333"/>
      <c r="Y2" s="333"/>
      <c r="Z2" s="333"/>
      <c r="AA2" s="333"/>
      <c r="AB2" s="333"/>
      <c r="AC2" s="333"/>
      <c r="AD2" s="333"/>
      <c r="AE2" s="333"/>
      <c r="AF2" s="333"/>
      <c r="AG2" s="333"/>
      <c r="AH2" s="333"/>
      <c r="AI2" s="333"/>
      <c r="AJ2" s="333"/>
      <c r="AK2" s="333"/>
      <c r="AL2" s="333"/>
      <c r="AM2" s="333"/>
      <c r="AN2" s="333"/>
      <c r="AO2" s="333"/>
      <c r="AP2" s="333"/>
      <c r="AQ2" s="333"/>
      <c r="AR2" s="333"/>
      <c r="AS2" s="333"/>
      <c r="AT2" s="333"/>
      <c r="AU2" s="333"/>
      <c r="AV2" s="334"/>
    </row>
    <row r="3" spans="2:58" ht="17" thickBot="1" x14ac:dyDescent="0.25">
      <c r="B3" s="341" t="s">
        <v>341</v>
      </c>
      <c r="C3" s="341"/>
      <c r="D3" s="341"/>
      <c r="E3" s="341"/>
      <c r="F3" s="341"/>
      <c r="G3" s="341"/>
      <c r="H3" s="341"/>
      <c r="I3" s="341"/>
      <c r="J3" s="341"/>
      <c r="K3" s="341"/>
      <c r="O3" s="2"/>
      <c r="P3" s="323" t="s">
        <v>325</v>
      </c>
      <c r="Q3" s="324"/>
      <c r="R3" s="324"/>
      <c r="S3" s="324"/>
      <c r="T3" s="324"/>
      <c r="U3" s="324"/>
      <c r="V3" s="324"/>
      <c r="W3" s="324"/>
      <c r="X3" s="324"/>
      <c r="Y3" s="324"/>
      <c r="Z3" s="325"/>
      <c r="AA3" s="326" t="s">
        <v>326</v>
      </c>
      <c r="AB3" s="327"/>
      <c r="AC3" s="327"/>
      <c r="AD3" s="327"/>
      <c r="AE3" s="327"/>
      <c r="AF3" s="327"/>
      <c r="AG3" s="327"/>
      <c r="AH3" s="327"/>
      <c r="AI3" s="327"/>
      <c r="AJ3" s="327"/>
      <c r="AK3" s="328"/>
      <c r="AL3" s="329" t="s">
        <v>327</v>
      </c>
      <c r="AM3" s="330"/>
      <c r="AN3" s="330"/>
      <c r="AO3" s="330"/>
      <c r="AP3" s="330"/>
      <c r="AQ3" s="330"/>
      <c r="AR3" s="330"/>
      <c r="AS3" s="330"/>
      <c r="AT3" s="330"/>
      <c r="AU3" s="330"/>
      <c r="AV3" s="331"/>
    </row>
    <row r="4" spans="2:58" s="60" customFormat="1" ht="17" thickBot="1" x14ac:dyDescent="0.25">
      <c r="B4" s="95" t="s">
        <v>160</v>
      </c>
      <c r="C4" s="309" t="s">
        <v>210</v>
      </c>
      <c r="D4" s="309"/>
      <c r="E4" s="309"/>
      <c r="F4" s="309"/>
      <c r="H4" s="309" t="s">
        <v>211</v>
      </c>
      <c r="I4" s="309"/>
      <c r="J4" s="309"/>
      <c r="K4" s="309"/>
      <c r="M4" s="318"/>
      <c r="P4" s="341" t="s">
        <v>14</v>
      </c>
      <c r="Q4" s="341"/>
      <c r="R4" s="341"/>
      <c r="S4" s="341" t="s">
        <v>328</v>
      </c>
      <c r="T4" s="341"/>
      <c r="U4" s="341"/>
      <c r="V4" s="341"/>
      <c r="W4" s="341"/>
      <c r="X4" s="222" t="s">
        <v>27</v>
      </c>
      <c r="Y4" s="341" t="s">
        <v>219</v>
      </c>
      <c r="Z4" s="341"/>
      <c r="AA4" s="341" t="s">
        <v>14</v>
      </c>
      <c r="AB4" s="341"/>
      <c r="AC4" s="341"/>
      <c r="AD4" s="341" t="s">
        <v>328</v>
      </c>
      <c r="AE4" s="341"/>
      <c r="AF4" s="341"/>
      <c r="AG4" s="341"/>
      <c r="AH4" s="341"/>
      <c r="AI4" s="222" t="s">
        <v>27</v>
      </c>
      <c r="AJ4" s="341" t="s">
        <v>219</v>
      </c>
      <c r="AK4" s="341"/>
      <c r="AL4" s="341" t="s">
        <v>14</v>
      </c>
      <c r="AM4" s="341"/>
      <c r="AN4" s="341"/>
      <c r="AO4" s="341" t="s">
        <v>328</v>
      </c>
      <c r="AP4" s="341"/>
      <c r="AQ4" s="341"/>
      <c r="AR4" s="341"/>
      <c r="AS4" s="341"/>
      <c r="AT4" s="222" t="s">
        <v>27</v>
      </c>
      <c r="AU4" s="341" t="s">
        <v>219</v>
      </c>
      <c r="AV4" s="341"/>
    </row>
    <row r="5" spans="2:58" ht="17" thickBot="1" x14ac:dyDescent="0.25">
      <c r="B5" s="73" t="s">
        <v>340</v>
      </c>
      <c r="C5" s="73" t="s">
        <v>53</v>
      </c>
      <c r="D5" s="73" t="s">
        <v>56</v>
      </c>
      <c r="E5" s="73" t="s">
        <v>58</v>
      </c>
      <c r="F5" s="73" t="s">
        <v>202</v>
      </c>
      <c r="G5" s="2"/>
      <c r="H5" s="73" t="s">
        <v>53</v>
      </c>
      <c r="I5" s="73" t="s">
        <v>56</v>
      </c>
      <c r="J5" s="73" t="s">
        <v>58</v>
      </c>
      <c r="K5" s="73" t="s">
        <v>202</v>
      </c>
      <c r="O5" s="74" t="s">
        <v>57</v>
      </c>
      <c r="P5" s="73" t="s">
        <v>329</v>
      </c>
      <c r="Q5" s="73" t="s">
        <v>330</v>
      </c>
      <c r="R5" s="73" t="s">
        <v>331</v>
      </c>
      <c r="S5" s="73" t="s">
        <v>332</v>
      </c>
      <c r="T5" s="73" t="s">
        <v>333</v>
      </c>
      <c r="U5" s="73" t="s">
        <v>334</v>
      </c>
      <c r="V5" s="73" t="s">
        <v>335</v>
      </c>
      <c r="W5" s="73" t="s">
        <v>336</v>
      </c>
      <c r="X5" s="73" t="s">
        <v>337</v>
      </c>
      <c r="Y5" s="73" t="s">
        <v>338</v>
      </c>
      <c r="Z5" s="73" t="s">
        <v>339</v>
      </c>
      <c r="AA5" s="73" t="s">
        <v>329</v>
      </c>
      <c r="AB5" s="73" t="s">
        <v>330</v>
      </c>
      <c r="AC5" s="73" t="s">
        <v>331</v>
      </c>
      <c r="AD5" s="73" t="s">
        <v>332</v>
      </c>
      <c r="AE5" s="73" t="s">
        <v>333</v>
      </c>
      <c r="AF5" s="73" t="s">
        <v>334</v>
      </c>
      <c r="AG5" s="73" t="s">
        <v>335</v>
      </c>
      <c r="AH5" s="73" t="s">
        <v>336</v>
      </c>
      <c r="AI5" s="73" t="s">
        <v>337</v>
      </c>
      <c r="AJ5" s="73" t="s">
        <v>338</v>
      </c>
      <c r="AK5" s="73" t="s">
        <v>339</v>
      </c>
      <c r="AL5" s="73" t="s">
        <v>329</v>
      </c>
      <c r="AM5" s="73" t="s">
        <v>330</v>
      </c>
      <c r="AN5" s="73" t="s">
        <v>331</v>
      </c>
      <c r="AO5" s="73" t="s">
        <v>332</v>
      </c>
      <c r="AP5" s="73" t="s">
        <v>333</v>
      </c>
      <c r="AQ5" s="73" t="s">
        <v>334</v>
      </c>
      <c r="AR5" s="73" t="s">
        <v>335</v>
      </c>
      <c r="AS5" s="73" t="s">
        <v>336</v>
      </c>
      <c r="AT5" s="73" t="s">
        <v>337</v>
      </c>
      <c r="AU5" s="73" t="s">
        <v>338</v>
      </c>
      <c r="AV5" s="73" t="s">
        <v>339</v>
      </c>
    </row>
    <row r="6" spans="2:58" x14ac:dyDescent="0.2">
      <c r="B6" s="259">
        <f t="shared" ref="B6:B31" si="0">O6</f>
        <v>2025</v>
      </c>
      <c r="C6" s="223">
        <f t="shared" ref="C6:C31" si="1">SUM(P6:Z6)/1000</f>
        <v>1357.4515364793399</v>
      </c>
      <c r="D6" s="224">
        <f t="shared" ref="D6:D31" si="2">SUM(AA6:AK6)/1000</f>
        <v>318.07836344665083</v>
      </c>
      <c r="E6" s="225">
        <f>SUM(AL6:AV6)/1000</f>
        <v>35.282363424429967</v>
      </c>
      <c r="F6" s="286">
        <f>SUM(C6,D6*Coefficients!$C$76,E6*Coefficients!$C$77)*1000</f>
        <v>19613472.020459507</v>
      </c>
      <c r="H6" s="232">
        <f t="shared" ref="H6:H31" si="3">SUM(P38:Z38)/1000</f>
        <v>0.31675871571702835</v>
      </c>
      <c r="I6" s="233">
        <f t="shared" ref="I6:I31" si="4">SUM(AA38:AK38)/1000</f>
        <v>0.11600019079540662</v>
      </c>
      <c r="J6" s="234">
        <f t="shared" ref="J6:J31" si="5">SUM(AL38:AV38)/1000</f>
        <v>0.76947933838465898</v>
      </c>
      <c r="K6" s="286">
        <f>SUM(H6,I6*Coefficients!$C$76,J6*Coefficients!$C$77)*1000</f>
        <v>207476.78872992305</v>
      </c>
      <c r="O6" s="93">
        <v>2025</v>
      </c>
      <c r="P6" s="195">
        <v>196008.35218331558</v>
      </c>
      <c r="Q6" s="196">
        <v>99964.259613490925</v>
      </c>
      <c r="R6" s="196">
        <v>40671.733078037978</v>
      </c>
      <c r="S6" s="196">
        <v>40905.323393881088</v>
      </c>
      <c r="T6" s="196">
        <v>171829.618373556</v>
      </c>
      <c r="U6" s="196">
        <v>24874.85882060336</v>
      </c>
      <c r="V6" s="196">
        <v>10880.932396380886</v>
      </c>
      <c r="W6" s="196">
        <v>48469.607947514858</v>
      </c>
      <c r="X6" s="196">
        <v>39978.369262260007</v>
      </c>
      <c r="Y6" s="196">
        <v>355976.14016933512</v>
      </c>
      <c r="Z6" s="197">
        <v>327892.34124096419</v>
      </c>
      <c r="AA6" s="204">
        <v>0</v>
      </c>
      <c r="AB6" s="205">
        <v>0</v>
      </c>
      <c r="AC6" s="205">
        <v>0</v>
      </c>
      <c r="AD6" s="205">
        <v>0</v>
      </c>
      <c r="AE6" s="205">
        <v>0</v>
      </c>
      <c r="AF6" s="205">
        <v>0</v>
      </c>
      <c r="AG6" s="205">
        <v>0</v>
      </c>
      <c r="AH6" s="205">
        <v>0</v>
      </c>
      <c r="AI6" s="205">
        <v>0</v>
      </c>
      <c r="AJ6" s="205">
        <v>165570.29775317913</v>
      </c>
      <c r="AK6" s="206">
        <v>152508.06569347173</v>
      </c>
      <c r="AL6" s="213">
        <v>4307.8758721607828</v>
      </c>
      <c r="AM6" s="214">
        <v>2636.4200337623988</v>
      </c>
      <c r="AN6" s="214">
        <v>893.88424347336218</v>
      </c>
      <c r="AO6" s="214">
        <v>899.01809656881517</v>
      </c>
      <c r="AP6" s="214">
        <v>3776.4751290891427</v>
      </c>
      <c r="AQ6" s="214">
        <v>546.70019385941453</v>
      </c>
      <c r="AR6" s="214">
        <v>239.14137134903046</v>
      </c>
      <c r="AS6" s="214">
        <v>1065.2661087365905</v>
      </c>
      <c r="AT6" s="214">
        <v>878.6454782914285</v>
      </c>
      <c r="AU6" s="214">
        <v>10430.928758450285</v>
      </c>
      <c r="AV6" s="215">
        <v>9608.0081386887177</v>
      </c>
      <c r="AX6" s="4"/>
      <c r="AY6" s="4"/>
      <c r="AZ6" s="4"/>
      <c r="BA6" s="4"/>
      <c r="BF6" s="4"/>
    </row>
    <row r="7" spans="2:58" x14ac:dyDescent="0.2">
      <c r="B7" s="259">
        <f t="shared" si="0"/>
        <v>2026</v>
      </c>
      <c r="C7" s="226">
        <f t="shared" si="1"/>
        <v>1423.025837750987</v>
      </c>
      <c r="D7" s="227">
        <f t="shared" si="2"/>
        <v>662.41125041028954</v>
      </c>
      <c r="E7" s="228">
        <f>SUM(AL7:AV7)/1000</f>
        <v>37.140127612943509</v>
      </c>
      <c r="F7" s="287">
        <f>SUM(C7,D7*Coefficients!$C$76,E7*Coefficients!$C$77)*1000</f>
        <v>29812674.666669123</v>
      </c>
      <c r="H7" s="235">
        <f t="shared" si="3"/>
        <v>0.33825719612733779</v>
      </c>
      <c r="I7" s="236">
        <f t="shared" si="4"/>
        <v>0.24157515965560267</v>
      </c>
      <c r="J7" s="237">
        <f t="shared" si="5"/>
        <v>0.78026900974990576</v>
      </c>
      <c r="K7" s="287">
        <f>SUM(H7,I7*Coefficients!$C$76,J7*Coefficients!$C$77)*1000</f>
        <v>213873.64925020924</v>
      </c>
      <c r="O7" s="94">
        <v>2026</v>
      </c>
      <c r="P7" s="198">
        <v>197406.42282838939</v>
      </c>
      <c r="Q7" s="199">
        <v>100677.27564247855</v>
      </c>
      <c r="R7" s="199">
        <v>40961.832736890778</v>
      </c>
      <c r="S7" s="199">
        <v>41831.792831593782</v>
      </c>
      <c r="T7" s="199">
        <v>175721.40742956806</v>
      </c>
      <c r="U7" s="199">
        <v>25438.252397590819</v>
      </c>
      <c r="V7" s="199">
        <v>11127.375902571894</v>
      </c>
      <c r="W7" s="199">
        <v>49567.401747820251</v>
      </c>
      <c r="X7" s="199">
        <v>39978.369262260007</v>
      </c>
      <c r="Y7" s="199">
        <v>385358.78613836825</v>
      </c>
      <c r="Z7" s="200">
        <v>354956.92083345511</v>
      </c>
      <c r="AA7" s="207">
        <v>0</v>
      </c>
      <c r="AB7" s="208">
        <v>0</v>
      </c>
      <c r="AC7" s="208">
        <v>0</v>
      </c>
      <c r="AD7" s="208">
        <v>0</v>
      </c>
      <c r="AE7" s="208">
        <v>0</v>
      </c>
      <c r="AF7" s="208">
        <v>0</v>
      </c>
      <c r="AG7" s="208">
        <v>0</v>
      </c>
      <c r="AH7" s="208">
        <v>0</v>
      </c>
      <c r="AI7" s="208">
        <v>0</v>
      </c>
      <c r="AJ7" s="208">
        <v>344806.94246869918</v>
      </c>
      <c r="AK7" s="209">
        <v>317604.30794159032</v>
      </c>
      <c r="AL7" s="216">
        <v>4338.6026995250413</v>
      </c>
      <c r="AM7" s="217">
        <v>2655.2248521093243</v>
      </c>
      <c r="AN7" s="217">
        <v>900.26006015144583</v>
      </c>
      <c r="AO7" s="217">
        <v>919.38006223283048</v>
      </c>
      <c r="AP7" s="217">
        <v>3862.0089544960001</v>
      </c>
      <c r="AQ7" s="217">
        <v>559.08247027672121</v>
      </c>
      <c r="AR7" s="217">
        <v>244.5577121444372</v>
      </c>
      <c r="AS7" s="217">
        <v>1089.3934450070381</v>
      </c>
      <c r="AT7" s="217">
        <v>878.6454782914285</v>
      </c>
      <c r="AU7" s="217">
        <v>11291.908617077768</v>
      </c>
      <c r="AV7" s="218">
        <v>10401.063261631474</v>
      </c>
      <c r="AX7" s="4"/>
      <c r="AY7" s="4"/>
      <c r="AZ7" s="4"/>
      <c r="BA7" s="4"/>
    </row>
    <row r="8" spans="2:58" x14ac:dyDescent="0.2">
      <c r="B8" s="259">
        <f t="shared" si="0"/>
        <v>2027</v>
      </c>
      <c r="C8" s="226">
        <f t="shared" si="1"/>
        <v>1488.600139022634</v>
      </c>
      <c r="D8" s="227">
        <f t="shared" si="2"/>
        <v>785.82709658518945</v>
      </c>
      <c r="E8" s="228">
        <f t="shared" ref="E8:E30" si="6">SUM(AL8:AV8)/1000</f>
        <v>38.997891801457065</v>
      </c>
      <c r="F8" s="287">
        <f>SUM(C8,D8*Coefficients!$C$76,E8*Coefficients!$C$77)*1000</f>
        <v>33826200.170794055</v>
      </c>
      <c r="H8" s="235">
        <f t="shared" si="3"/>
        <v>0.35975567653764723</v>
      </c>
      <c r="I8" s="236">
        <f t="shared" si="4"/>
        <v>0.28630335543961866</v>
      </c>
      <c r="J8" s="237">
        <f t="shared" si="5"/>
        <v>0.79105868111515265</v>
      </c>
      <c r="K8" s="287">
        <f>SUM(H8,I8*Coefficients!$C$76,J8*Coefficients!$C$77)*1000</f>
        <v>218006.80012436243</v>
      </c>
      <c r="O8" s="94">
        <v>2027</v>
      </c>
      <c r="P8" s="198">
        <v>198804.49347346314</v>
      </c>
      <c r="Q8" s="199">
        <v>101390.2916714662</v>
      </c>
      <c r="R8" s="199">
        <v>41251.932395743592</v>
      </c>
      <c r="S8" s="199">
        <v>42758.262269306491</v>
      </c>
      <c r="T8" s="199">
        <v>179613.19648558006</v>
      </c>
      <c r="U8" s="199">
        <v>26001.645974578274</v>
      </c>
      <c r="V8" s="199">
        <v>11373.819408762894</v>
      </c>
      <c r="W8" s="199">
        <v>50665.195548125637</v>
      </c>
      <c r="X8" s="199">
        <v>39978.369262260007</v>
      </c>
      <c r="Y8" s="199">
        <v>414741.4321074016</v>
      </c>
      <c r="Z8" s="200">
        <v>382021.50042594614</v>
      </c>
      <c r="AA8" s="207">
        <v>0</v>
      </c>
      <c r="AB8" s="208">
        <v>0</v>
      </c>
      <c r="AC8" s="208">
        <v>0</v>
      </c>
      <c r="AD8" s="208">
        <v>0</v>
      </c>
      <c r="AE8" s="208">
        <v>0</v>
      </c>
      <c r="AF8" s="208">
        <v>0</v>
      </c>
      <c r="AG8" s="208">
        <v>0</v>
      </c>
      <c r="AH8" s="208">
        <v>0</v>
      </c>
      <c r="AI8" s="208">
        <v>0</v>
      </c>
      <c r="AJ8" s="208">
        <v>409048.96816708025</v>
      </c>
      <c r="AK8" s="209">
        <v>376778.12841810921</v>
      </c>
      <c r="AL8" s="216">
        <v>4369.3295268892998</v>
      </c>
      <c r="AM8" s="217">
        <v>2674.0296704562511</v>
      </c>
      <c r="AN8" s="217">
        <v>906.63587682952948</v>
      </c>
      <c r="AO8" s="217">
        <v>939.74202789684625</v>
      </c>
      <c r="AP8" s="217">
        <v>3947.542779902858</v>
      </c>
      <c r="AQ8" s="217">
        <v>571.46474669402812</v>
      </c>
      <c r="AR8" s="217">
        <v>249.97405293984389</v>
      </c>
      <c r="AS8" s="217">
        <v>1113.5207812774868</v>
      </c>
      <c r="AT8" s="217">
        <v>878.6454782914285</v>
      </c>
      <c r="AU8" s="217">
        <v>12152.888475705256</v>
      </c>
      <c r="AV8" s="218">
        <v>11194.118384574236</v>
      </c>
      <c r="AX8" s="4"/>
      <c r="AY8" s="4"/>
      <c r="AZ8" s="4"/>
      <c r="BA8" s="4"/>
    </row>
    <row r="9" spans="2:58" x14ac:dyDescent="0.2">
      <c r="B9" s="259">
        <f t="shared" si="0"/>
        <v>2028</v>
      </c>
      <c r="C9" s="226">
        <f t="shared" si="1"/>
        <v>1558.8559687278882</v>
      </c>
      <c r="D9" s="227">
        <f t="shared" si="2"/>
        <v>917.27311981433718</v>
      </c>
      <c r="E9" s="228">
        <f t="shared" si="6"/>
        <v>40.992835660350735</v>
      </c>
      <c r="F9" s="287">
        <f>SUM(C9,D9*Coefficients!$C$76,E9*Coefficients!$C$77)*1000</f>
        <v>38105604.773522265</v>
      </c>
      <c r="H9" s="235">
        <f t="shared" si="3"/>
        <v>0.38296146638462542</v>
      </c>
      <c r="I9" s="236">
        <f t="shared" si="4"/>
        <v>0.33393693652454237</v>
      </c>
      <c r="J9" s="237">
        <f t="shared" si="5"/>
        <v>0.80189838061738095</v>
      </c>
      <c r="K9" s="287">
        <f>SUM(H9,I9*Coefficients!$C$76,J9*Coefficients!$C$77)*1000</f>
        <v>222236.26655267776</v>
      </c>
      <c r="O9" s="94">
        <v>2028</v>
      </c>
      <c r="P9" s="198">
        <v>200202.56411853689</v>
      </c>
      <c r="Q9" s="199">
        <v>102103.30770045378</v>
      </c>
      <c r="R9" s="199">
        <v>41542.032054596384</v>
      </c>
      <c r="S9" s="199">
        <v>43684.731707019208</v>
      </c>
      <c r="T9" s="199">
        <v>183504.985541592</v>
      </c>
      <c r="U9" s="199">
        <v>26565.039551565736</v>
      </c>
      <c r="V9" s="199">
        <v>11620.262914953901</v>
      </c>
      <c r="W9" s="199">
        <v>51762.989348431023</v>
      </c>
      <c r="X9" s="199">
        <v>39978.369262260007</v>
      </c>
      <c r="Y9" s="199">
        <v>446560.96830780187</v>
      </c>
      <c r="Z9" s="200">
        <v>411330.71822067746</v>
      </c>
      <c r="AA9" s="207">
        <v>0</v>
      </c>
      <c r="AB9" s="208">
        <v>0</v>
      </c>
      <c r="AC9" s="208">
        <v>0</v>
      </c>
      <c r="AD9" s="208">
        <v>0</v>
      </c>
      <c r="AE9" s="208">
        <v>0</v>
      </c>
      <c r="AF9" s="208">
        <v>0</v>
      </c>
      <c r="AG9" s="208">
        <v>0</v>
      </c>
      <c r="AH9" s="208">
        <v>0</v>
      </c>
      <c r="AI9" s="208">
        <v>0</v>
      </c>
      <c r="AJ9" s="208">
        <v>477470.96634606534</v>
      </c>
      <c r="AK9" s="209">
        <v>439802.15346827189</v>
      </c>
      <c r="AL9" s="216">
        <v>4400.0563542535574</v>
      </c>
      <c r="AM9" s="217">
        <v>2692.8344888031766</v>
      </c>
      <c r="AN9" s="217">
        <v>913.0116935076129</v>
      </c>
      <c r="AO9" s="217">
        <v>960.10399356086157</v>
      </c>
      <c r="AP9" s="217">
        <v>4033.0766053097145</v>
      </c>
      <c r="AQ9" s="217">
        <v>583.84702311133481</v>
      </c>
      <c r="AR9" s="217">
        <v>255.39039373525054</v>
      </c>
      <c r="AS9" s="217">
        <v>1137.6481175479344</v>
      </c>
      <c r="AT9" s="217">
        <v>878.6454782914285</v>
      </c>
      <c r="AU9" s="217">
        <v>13085.27488529838</v>
      </c>
      <c r="AV9" s="218">
        <v>12052.946626931482</v>
      </c>
      <c r="AX9" s="4"/>
      <c r="AY9" s="4"/>
      <c r="AZ9" s="4"/>
      <c r="BA9" s="4"/>
    </row>
    <row r="10" spans="2:58" x14ac:dyDescent="0.2">
      <c r="B10" s="259">
        <f t="shared" si="0"/>
        <v>2029</v>
      </c>
      <c r="C10" s="226">
        <f t="shared" si="1"/>
        <v>1619.7487415659282</v>
      </c>
      <c r="D10" s="227">
        <f t="shared" si="2"/>
        <v>992.04945716422935</v>
      </c>
      <c r="E10" s="228">
        <f t="shared" si="6"/>
        <v>42.713420178484157</v>
      </c>
      <c r="F10" s="287">
        <f>SUM(C10,D10*Coefficients!$C$76,E10*Coefficients!$C$77)*1000</f>
        <v>40716189.88946265</v>
      </c>
      <c r="H10" s="235">
        <f t="shared" si="3"/>
        <v>0.40275263735826616</v>
      </c>
      <c r="I10" s="236">
        <f t="shared" si="4"/>
        <v>0.36081201241378036</v>
      </c>
      <c r="J10" s="237">
        <f t="shared" si="5"/>
        <v>0.81263802384564632</v>
      </c>
      <c r="K10" s="287">
        <f>SUM(H10,I10*Coefficients!$C$76,J10*Coefficients!$C$77)*1000</f>
        <v>225854.56530404038</v>
      </c>
      <c r="O10" s="94">
        <v>2029</v>
      </c>
      <c r="P10" s="198">
        <v>201600.63476361072</v>
      </c>
      <c r="Q10" s="199">
        <v>102816.32372944144</v>
      </c>
      <c r="R10" s="199">
        <v>41832.131713449206</v>
      </c>
      <c r="S10" s="199">
        <v>44611.201144731916</v>
      </c>
      <c r="T10" s="199">
        <v>187396.77459760403</v>
      </c>
      <c r="U10" s="199">
        <v>27128.433128553188</v>
      </c>
      <c r="V10" s="199">
        <v>11866.706421144909</v>
      </c>
      <c r="W10" s="199">
        <v>52860.783148736409</v>
      </c>
      <c r="X10" s="199">
        <v>39978.369262260007</v>
      </c>
      <c r="Y10" s="199">
        <v>473506.72404546809</v>
      </c>
      <c r="Z10" s="200">
        <v>436150.65961092809</v>
      </c>
      <c r="AA10" s="207">
        <v>0</v>
      </c>
      <c r="AB10" s="208">
        <v>0</v>
      </c>
      <c r="AC10" s="208">
        <v>0</v>
      </c>
      <c r="AD10" s="208">
        <v>0</v>
      </c>
      <c r="AE10" s="208">
        <v>0</v>
      </c>
      <c r="AF10" s="208">
        <v>0</v>
      </c>
      <c r="AG10" s="208">
        <v>0</v>
      </c>
      <c r="AH10" s="208">
        <v>0</v>
      </c>
      <c r="AI10" s="208">
        <v>0</v>
      </c>
      <c r="AJ10" s="208">
        <v>516394.52061036014</v>
      </c>
      <c r="AK10" s="209">
        <v>475654.93655386922</v>
      </c>
      <c r="AL10" s="216">
        <v>4430.7831816178177</v>
      </c>
      <c r="AM10" s="217">
        <v>2711.6393071501038</v>
      </c>
      <c r="AN10" s="217">
        <v>919.3875101856969</v>
      </c>
      <c r="AO10" s="217">
        <v>980.46595922487734</v>
      </c>
      <c r="AP10" s="217">
        <v>4118.6104307165715</v>
      </c>
      <c r="AQ10" s="217">
        <v>596.2292995286416</v>
      </c>
      <c r="AR10" s="217">
        <v>260.80673453065731</v>
      </c>
      <c r="AS10" s="217">
        <v>1161.7754538183826</v>
      </c>
      <c r="AT10" s="217">
        <v>878.6454782914285</v>
      </c>
      <c r="AU10" s="217">
        <v>13874.848192960229</v>
      </c>
      <c r="AV10" s="218">
        <v>12780.228630459753</v>
      </c>
      <c r="AX10" s="4"/>
      <c r="AY10" s="4"/>
      <c r="AZ10" s="4"/>
      <c r="BA10" s="4"/>
    </row>
    <row r="11" spans="2:58" x14ac:dyDescent="0.2">
      <c r="B11" s="259">
        <f t="shared" si="0"/>
        <v>2030</v>
      </c>
      <c r="C11" s="226">
        <f t="shared" si="1"/>
        <v>1666.1132540339149</v>
      </c>
      <c r="D11" s="227">
        <f t="shared" si="2"/>
        <v>1057.070743436924</v>
      </c>
      <c r="E11" s="228">
        <f t="shared" si="6"/>
        <v>44.008292881123019</v>
      </c>
      <c r="F11" s="287">
        <f>SUM(C11,D11*Coefficients!$C$76,E11*Coefficients!$C$77)*1000</f>
        <v>42926291.683765382</v>
      </c>
      <c r="H11" s="235">
        <f t="shared" si="3"/>
        <v>0.41724548826829128</v>
      </c>
      <c r="I11" s="236">
        <f t="shared" si="4"/>
        <v>0.38409879782520207</v>
      </c>
      <c r="J11" s="237">
        <f t="shared" si="5"/>
        <v>0.82322241397437323</v>
      </c>
      <c r="K11" s="287">
        <f>SUM(H11,I11*Coefficients!$C$76,J11*Coefficients!$C$77)*1000</f>
        <v>229325.95153058288</v>
      </c>
      <c r="O11" s="94">
        <v>2030</v>
      </c>
      <c r="P11" s="198">
        <v>202998.70540868441</v>
      </c>
      <c r="Q11" s="199">
        <v>103529.33975842904</v>
      </c>
      <c r="R11" s="199">
        <v>42122.23137230202</v>
      </c>
      <c r="S11" s="199">
        <v>45537.67058244464</v>
      </c>
      <c r="T11" s="199">
        <v>191288.56365361603</v>
      </c>
      <c r="U11" s="199">
        <v>27691.826705540658</v>
      </c>
      <c r="V11" s="199">
        <v>12113.149927335915</v>
      </c>
      <c r="W11" s="199">
        <v>53958.576949041817</v>
      </c>
      <c r="X11" s="199">
        <v>39978.369262260007</v>
      </c>
      <c r="Y11" s="199">
        <v>492890.04023446393</v>
      </c>
      <c r="Z11" s="200">
        <v>454004.78017979657</v>
      </c>
      <c r="AA11" s="207">
        <v>0</v>
      </c>
      <c r="AB11" s="208">
        <v>0</v>
      </c>
      <c r="AC11" s="208">
        <v>0</v>
      </c>
      <c r="AD11" s="208">
        <v>0</v>
      </c>
      <c r="AE11" s="208">
        <v>0</v>
      </c>
      <c r="AF11" s="208">
        <v>0</v>
      </c>
      <c r="AG11" s="208">
        <v>0</v>
      </c>
      <c r="AH11" s="208">
        <v>0</v>
      </c>
      <c r="AI11" s="208">
        <v>0</v>
      </c>
      <c r="AJ11" s="208">
        <v>550240.2484738034</v>
      </c>
      <c r="AK11" s="209">
        <v>506830.49496312055</v>
      </c>
      <c r="AL11" s="216">
        <v>4461.5100089820753</v>
      </c>
      <c r="AM11" s="217">
        <v>2730.4441254970297</v>
      </c>
      <c r="AN11" s="217">
        <v>925.76332686378043</v>
      </c>
      <c r="AO11" s="217">
        <v>1000.827924888893</v>
      </c>
      <c r="AP11" s="217">
        <v>4204.1442561234289</v>
      </c>
      <c r="AQ11" s="217">
        <v>608.61157594594852</v>
      </c>
      <c r="AR11" s="217">
        <v>266.22307532606402</v>
      </c>
      <c r="AS11" s="217">
        <v>1185.9027900888309</v>
      </c>
      <c r="AT11" s="217">
        <v>878.6454782914285</v>
      </c>
      <c r="AU11" s="217">
        <v>14442.824434777314</v>
      </c>
      <c r="AV11" s="218">
        <v>13303.395884338224</v>
      </c>
      <c r="AX11" s="4"/>
      <c r="AY11" s="4"/>
      <c r="AZ11" s="4"/>
      <c r="BA11" s="4"/>
    </row>
    <row r="12" spans="2:58" x14ac:dyDescent="0.2">
      <c r="B12" s="259">
        <f t="shared" si="0"/>
        <v>2031</v>
      </c>
      <c r="C12" s="226">
        <f t="shared" si="1"/>
        <v>1709.1861580748559</v>
      </c>
      <c r="D12" s="227">
        <f t="shared" si="2"/>
        <v>1115.721081680686</v>
      </c>
      <c r="E12" s="228">
        <f t="shared" si="6"/>
        <v>45.229513781157969</v>
      </c>
      <c r="F12" s="287">
        <f>SUM(C12,D12*Coefficients!$C$76,E12*Coefficients!$C$77)*1000</f>
        <v>44935197.597140923</v>
      </c>
      <c r="H12" s="235">
        <f t="shared" si="3"/>
        <v>0.43140917833561182</v>
      </c>
      <c r="I12" s="236">
        <f t="shared" si="4"/>
        <v>0.40503528244303555</v>
      </c>
      <c r="J12" s="237">
        <f t="shared" si="5"/>
        <v>0.83012421397290503</v>
      </c>
      <c r="K12" s="287">
        <f>SUM(H12,I12*Coefficients!$C$76,J12*Coefficients!$C$77)*1000</f>
        <v>231755.31378956043</v>
      </c>
      <c r="O12" s="94">
        <v>2031</v>
      </c>
      <c r="P12" s="198">
        <v>203812.96633383728</v>
      </c>
      <c r="Q12" s="199">
        <v>103944.61283025699</v>
      </c>
      <c r="R12" s="199">
        <v>42291.190514271228</v>
      </c>
      <c r="S12" s="199">
        <v>46148.849373815327</v>
      </c>
      <c r="T12" s="199">
        <v>193855.92187904805</v>
      </c>
      <c r="U12" s="199">
        <v>28063.489484076894</v>
      </c>
      <c r="V12" s="199">
        <v>12275.72522461375</v>
      </c>
      <c r="W12" s="199">
        <v>54682.77600055217</v>
      </c>
      <c r="X12" s="199">
        <v>39978.369262260007</v>
      </c>
      <c r="Y12" s="199">
        <v>512273.35642345954</v>
      </c>
      <c r="Z12" s="200">
        <v>471858.9007486648</v>
      </c>
      <c r="AA12" s="207">
        <v>0</v>
      </c>
      <c r="AB12" s="208">
        <v>0</v>
      </c>
      <c r="AC12" s="208">
        <v>0</v>
      </c>
      <c r="AD12" s="208">
        <v>0</v>
      </c>
      <c r="AE12" s="208">
        <v>0</v>
      </c>
      <c r="AF12" s="208">
        <v>0</v>
      </c>
      <c r="AG12" s="208">
        <v>0</v>
      </c>
      <c r="AH12" s="208">
        <v>0</v>
      </c>
      <c r="AI12" s="208">
        <v>0</v>
      </c>
      <c r="AJ12" s="208">
        <v>580769.68738665502</v>
      </c>
      <c r="AK12" s="209">
        <v>534951.39429403096</v>
      </c>
      <c r="AL12" s="216">
        <v>4479.40585349093</v>
      </c>
      <c r="AM12" s="217">
        <v>2741.3963823364484</v>
      </c>
      <c r="AN12" s="217">
        <v>929.4767145993676</v>
      </c>
      <c r="AO12" s="217">
        <v>1014.2604257981391</v>
      </c>
      <c r="AP12" s="217">
        <v>4260.5697116274296</v>
      </c>
      <c r="AQ12" s="217">
        <v>616.77998866103053</v>
      </c>
      <c r="AR12" s="217">
        <v>269.79615878271983</v>
      </c>
      <c r="AS12" s="217">
        <v>1201.8192527593883</v>
      </c>
      <c r="AT12" s="217">
        <v>878.6454782914285</v>
      </c>
      <c r="AU12" s="217">
        <v>15010.800676594397</v>
      </c>
      <c r="AV12" s="218">
        <v>13826.56313821669</v>
      </c>
      <c r="AX12" s="4"/>
      <c r="AY12" s="4"/>
      <c r="AZ12" s="4"/>
      <c r="BA12" s="4"/>
    </row>
    <row r="13" spans="2:58" x14ac:dyDescent="0.2">
      <c r="B13" s="259">
        <f t="shared" si="0"/>
        <v>2032</v>
      </c>
      <c r="C13" s="226">
        <f t="shared" si="1"/>
        <v>1757.8632748856439</v>
      </c>
      <c r="D13" s="227">
        <f t="shared" si="2"/>
        <v>1175.4449516379714</v>
      </c>
      <c r="E13" s="228">
        <f t="shared" si="6"/>
        <v>46.614951148402383</v>
      </c>
      <c r="F13" s="287">
        <f>SUM(C13,D13*Coefficients!$C$76,E13*Coefficients!$C$77)*1000</f>
        <v>47023283.975075476</v>
      </c>
      <c r="H13" s="235">
        <f t="shared" si="3"/>
        <v>0.44761667214838657</v>
      </c>
      <c r="I13" s="236">
        <f t="shared" si="4"/>
        <v>0.42634188640973947</v>
      </c>
      <c r="J13" s="237">
        <f t="shared" si="5"/>
        <v>0.83708590217421064</v>
      </c>
      <c r="K13" s="287">
        <f>SUM(H13,I13*Coefficients!$C$76,J13*Coefficients!$C$77)*1000</f>
        <v>234212.9535677869</v>
      </c>
      <c r="O13" s="94">
        <v>2032</v>
      </c>
      <c r="P13" s="198">
        <v>204627.22725899011</v>
      </c>
      <c r="Q13" s="199">
        <v>104359.88590208493</v>
      </c>
      <c r="R13" s="199">
        <v>42460.14965624045</v>
      </c>
      <c r="S13" s="199">
        <v>46760.028165186006</v>
      </c>
      <c r="T13" s="199">
        <v>196423.28010448007</v>
      </c>
      <c r="U13" s="199">
        <v>28435.152262613123</v>
      </c>
      <c r="V13" s="199">
        <v>12438.300521891586</v>
      </c>
      <c r="W13" s="199">
        <v>55406.975052062524</v>
      </c>
      <c r="X13" s="199">
        <v>39978.369262260007</v>
      </c>
      <c r="Y13" s="199">
        <v>534573.85052710876</v>
      </c>
      <c r="Z13" s="200">
        <v>492400.05617272644</v>
      </c>
      <c r="AA13" s="207">
        <v>0</v>
      </c>
      <c r="AB13" s="208">
        <v>0</v>
      </c>
      <c r="AC13" s="208">
        <v>0</v>
      </c>
      <c r="AD13" s="208">
        <v>0</v>
      </c>
      <c r="AE13" s="208">
        <v>0</v>
      </c>
      <c r="AF13" s="208">
        <v>0</v>
      </c>
      <c r="AG13" s="208">
        <v>0</v>
      </c>
      <c r="AH13" s="208">
        <v>0</v>
      </c>
      <c r="AI13" s="208">
        <v>0</v>
      </c>
      <c r="AJ13" s="208">
        <v>611857.9350267949</v>
      </c>
      <c r="AK13" s="209">
        <v>563587.01661117654</v>
      </c>
      <c r="AL13" s="216">
        <v>4497.3016979997838</v>
      </c>
      <c r="AM13" s="217">
        <v>2752.3486391758665</v>
      </c>
      <c r="AN13" s="217">
        <v>933.19010233495487</v>
      </c>
      <c r="AO13" s="217">
        <v>1027.6929267073849</v>
      </c>
      <c r="AP13" s="217">
        <v>4316.9951671314293</v>
      </c>
      <c r="AQ13" s="217">
        <v>624.94840137611232</v>
      </c>
      <c r="AR13" s="217">
        <v>273.36924223937552</v>
      </c>
      <c r="AS13" s="217">
        <v>1217.7357154299455</v>
      </c>
      <c r="AT13" s="217">
        <v>878.6454782914285</v>
      </c>
      <c r="AU13" s="217">
        <v>15664.257015445513</v>
      </c>
      <c r="AV13" s="218">
        <v>14428.466762270589</v>
      </c>
      <c r="AX13" s="4"/>
      <c r="AY13" s="4"/>
      <c r="AZ13" s="4"/>
      <c r="BA13" s="4"/>
    </row>
    <row r="14" spans="2:58" x14ac:dyDescent="0.2">
      <c r="B14" s="259">
        <f t="shared" si="0"/>
        <v>2033</v>
      </c>
      <c r="C14" s="226">
        <f t="shared" si="1"/>
        <v>1795.3319661567391</v>
      </c>
      <c r="D14" s="227">
        <f t="shared" si="2"/>
        <v>1231.8553337141275</v>
      </c>
      <c r="E14" s="228">
        <f t="shared" si="6"/>
        <v>47.671955581227877</v>
      </c>
      <c r="F14" s="287">
        <f>SUM(C14,D14*Coefficients!$C$76,E14*Coefficients!$C$77)*1000</f>
        <v>48920349.539177693</v>
      </c>
      <c r="H14" s="235">
        <f t="shared" si="3"/>
        <v>0.45973655847025269</v>
      </c>
      <c r="I14" s="236">
        <f t="shared" si="4"/>
        <v>0.44641964217981855</v>
      </c>
      <c r="J14" s="237">
        <f t="shared" si="5"/>
        <v>0.84392781396996885</v>
      </c>
      <c r="K14" s="287">
        <f>SUM(H14,I14*Coefficients!$C$76,J14*Coefficients!$C$77)*1000</f>
        <v>236600.35724154694</v>
      </c>
      <c r="O14" s="94">
        <v>2033</v>
      </c>
      <c r="P14" s="198">
        <v>205441.488184143</v>
      </c>
      <c r="Q14" s="199">
        <v>104775.15897391293</v>
      </c>
      <c r="R14" s="199">
        <v>42629.108798209665</v>
      </c>
      <c r="S14" s="199">
        <v>47371.206956556707</v>
      </c>
      <c r="T14" s="199">
        <v>198990.63832991209</v>
      </c>
      <c r="U14" s="199">
        <v>28806.815041149344</v>
      </c>
      <c r="V14" s="199">
        <v>12600.875819169427</v>
      </c>
      <c r="W14" s="199">
        <v>56131.174103572892</v>
      </c>
      <c r="X14" s="199">
        <v>39978.369262260007</v>
      </c>
      <c r="Y14" s="199">
        <v>551039.98880145117</v>
      </c>
      <c r="Z14" s="200">
        <v>507567.14188640169</v>
      </c>
      <c r="AA14" s="207">
        <v>0</v>
      </c>
      <c r="AB14" s="208">
        <v>0</v>
      </c>
      <c r="AC14" s="208">
        <v>0</v>
      </c>
      <c r="AD14" s="208">
        <v>0</v>
      </c>
      <c r="AE14" s="208">
        <v>0</v>
      </c>
      <c r="AF14" s="208">
        <v>0</v>
      </c>
      <c r="AG14" s="208">
        <v>0</v>
      </c>
      <c r="AH14" s="208">
        <v>0</v>
      </c>
      <c r="AI14" s="208">
        <v>0</v>
      </c>
      <c r="AJ14" s="208">
        <v>641221.4027443541</v>
      </c>
      <c r="AK14" s="209">
        <v>590633.93096977344</v>
      </c>
      <c r="AL14" s="216">
        <v>4515.1975425086375</v>
      </c>
      <c r="AM14" s="217">
        <v>2763.3008960152852</v>
      </c>
      <c r="AN14" s="217">
        <v>936.90349007054226</v>
      </c>
      <c r="AO14" s="217">
        <v>1041.1254276166308</v>
      </c>
      <c r="AP14" s="217">
        <v>4373.4206226354299</v>
      </c>
      <c r="AQ14" s="217">
        <v>633.11681409119456</v>
      </c>
      <c r="AR14" s="217">
        <v>276.94232569603139</v>
      </c>
      <c r="AS14" s="217">
        <v>1233.6521781005031</v>
      </c>
      <c r="AT14" s="217">
        <v>878.6454782914285</v>
      </c>
      <c r="AU14" s="217">
        <v>16146.753160228567</v>
      </c>
      <c r="AV14" s="218">
        <v>14872.89764597363</v>
      </c>
      <c r="AX14" s="4"/>
      <c r="AY14" s="4"/>
      <c r="AZ14" s="4"/>
      <c r="BA14" s="4"/>
    </row>
    <row r="15" spans="2:58" x14ac:dyDescent="0.2">
      <c r="B15" s="259">
        <f t="shared" si="0"/>
        <v>2034</v>
      </c>
      <c r="C15" s="226">
        <f t="shared" si="1"/>
        <v>1838.4048701976801</v>
      </c>
      <c r="D15" s="227">
        <f t="shared" si="2"/>
        <v>1286.8152820044997</v>
      </c>
      <c r="E15" s="228">
        <f t="shared" si="6"/>
        <v>48.893176481262834</v>
      </c>
      <c r="F15" s="287">
        <f>SUM(C15,D15*Coefficients!$C$76,E15*Coefficients!$C$77)*1000</f>
        <v>50825924.533858322</v>
      </c>
      <c r="H15" s="235">
        <f t="shared" si="3"/>
        <v>0.47390024853757334</v>
      </c>
      <c r="I15" s="236">
        <f t="shared" si="4"/>
        <v>0.46594714455062236</v>
      </c>
      <c r="J15" s="237">
        <f t="shared" si="5"/>
        <v>0.85082961396850076</v>
      </c>
      <c r="K15" s="287">
        <f>SUM(H15,I15*Coefficients!$C$76,J15*Coefficients!$C$77)*1000</f>
        <v>238990.26799760771</v>
      </c>
      <c r="O15" s="94">
        <v>2034</v>
      </c>
      <c r="P15" s="198">
        <v>206255.74910929587</v>
      </c>
      <c r="Q15" s="199">
        <v>105190.43204574086</v>
      </c>
      <c r="R15" s="199">
        <v>42798.067940178873</v>
      </c>
      <c r="S15" s="199">
        <v>47982.385747927401</v>
      </c>
      <c r="T15" s="199">
        <v>201557.99655534406</v>
      </c>
      <c r="U15" s="199">
        <v>29178.47781968558</v>
      </c>
      <c r="V15" s="199">
        <v>12763.451116447261</v>
      </c>
      <c r="W15" s="199">
        <v>56855.37315508326</v>
      </c>
      <c r="X15" s="199">
        <v>39978.369262260007</v>
      </c>
      <c r="Y15" s="199">
        <v>570423.30499044689</v>
      </c>
      <c r="Z15" s="200">
        <v>525421.26245526993</v>
      </c>
      <c r="AA15" s="207">
        <v>0</v>
      </c>
      <c r="AB15" s="208">
        <v>0</v>
      </c>
      <c r="AC15" s="208">
        <v>0</v>
      </c>
      <c r="AD15" s="208">
        <v>0</v>
      </c>
      <c r="AE15" s="208">
        <v>0</v>
      </c>
      <c r="AF15" s="208">
        <v>0</v>
      </c>
      <c r="AG15" s="208">
        <v>0</v>
      </c>
      <c r="AH15" s="208">
        <v>0</v>
      </c>
      <c r="AI15" s="208">
        <v>0</v>
      </c>
      <c r="AJ15" s="208">
        <v>669829.87175284885</v>
      </c>
      <c r="AK15" s="209">
        <v>616985.41025165096</v>
      </c>
      <c r="AL15" s="216">
        <v>4533.0933870174913</v>
      </c>
      <c r="AM15" s="217">
        <v>2774.2531528547042</v>
      </c>
      <c r="AN15" s="217">
        <v>940.61687780612897</v>
      </c>
      <c r="AO15" s="217">
        <v>1054.5579285258771</v>
      </c>
      <c r="AP15" s="217">
        <v>4429.8460781394297</v>
      </c>
      <c r="AQ15" s="217">
        <v>641.28522680627657</v>
      </c>
      <c r="AR15" s="217">
        <v>280.51540915268708</v>
      </c>
      <c r="AS15" s="217">
        <v>1249.5686407710607</v>
      </c>
      <c r="AT15" s="217">
        <v>878.6454782914285</v>
      </c>
      <c r="AU15" s="217">
        <v>16714.72940204565</v>
      </c>
      <c r="AV15" s="218">
        <v>15396.064899852097</v>
      </c>
      <c r="AX15" s="4"/>
      <c r="AY15" s="4"/>
      <c r="AZ15" s="4"/>
      <c r="BA15" s="4"/>
    </row>
    <row r="16" spans="2:58" x14ac:dyDescent="0.2">
      <c r="B16" s="259">
        <f t="shared" si="0"/>
        <v>2035</v>
      </c>
      <c r="C16" s="226">
        <f t="shared" si="1"/>
        <v>1881.4777742386214</v>
      </c>
      <c r="D16" s="227">
        <f t="shared" si="2"/>
        <v>1344.3758737985945</v>
      </c>
      <c r="E16" s="228">
        <f t="shared" si="6"/>
        <v>50.114397381297778</v>
      </c>
      <c r="F16" s="287">
        <f>SUM(C16,D16*Coefficients!$C$76,E16*Coefficients!$C$77)*1000</f>
        <v>52804317.546643168</v>
      </c>
      <c r="H16" s="235">
        <f t="shared" si="3"/>
        <v>0.48806393860489378</v>
      </c>
      <c r="I16" s="236">
        <f t="shared" si="4"/>
        <v>0.48640637909495738</v>
      </c>
      <c r="J16" s="237">
        <f t="shared" si="5"/>
        <v>0.85773141396703212</v>
      </c>
      <c r="K16" s="287">
        <f>SUM(H16,I16*Coefficients!$C$76,J16*Coefficients!$C$77)*1000</f>
        <v>241406.26725452719</v>
      </c>
      <c r="O16" s="94">
        <v>2035</v>
      </c>
      <c r="P16" s="198">
        <v>207070.01003444867</v>
      </c>
      <c r="Q16" s="199">
        <v>105605.70511756881</v>
      </c>
      <c r="R16" s="199">
        <v>42967.027082148088</v>
      </c>
      <c r="S16" s="199">
        <v>48593.56453929808</v>
      </c>
      <c r="T16" s="199">
        <v>204125.35478077605</v>
      </c>
      <c r="U16" s="199">
        <v>29550.140598221806</v>
      </c>
      <c r="V16" s="199">
        <v>12926.026413725094</v>
      </c>
      <c r="W16" s="199">
        <v>57579.572206593599</v>
      </c>
      <c r="X16" s="199">
        <v>39978.369262260007</v>
      </c>
      <c r="Y16" s="199">
        <v>589806.62117944262</v>
      </c>
      <c r="Z16" s="200">
        <v>543275.3830241384</v>
      </c>
      <c r="AA16" s="207">
        <v>0</v>
      </c>
      <c r="AB16" s="208">
        <v>0</v>
      </c>
      <c r="AC16" s="208">
        <v>0</v>
      </c>
      <c r="AD16" s="208">
        <v>0</v>
      </c>
      <c r="AE16" s="208">
        <v>0</v>
      </c>
      <c r="AF16" s="208">
        <v>0</v>
      </c>
      <c r="AG16" s="208">
        <v>0</v>
      </c>
      <c r="AH16" s="208">
        <v>0</v>
      </c>
      <c r="AI16" s="208">
        <v>0</v>
      </c>
      <c r="AJ16" s="208">
        <v>699792.06163250073</v>
      </c>
      <c r="AK16" s="209">
        <v>644583.81216609385</v>
      </c>
      <c r="AL16" s="216">
        <v>4550.9892315263451</v>
      </c>
      <c r="AM16" s="217">
        <v>2785.2054096941224</v>
      </c>
      <c r="AN16" s="217">
        <v>944.33026554171659</v>
      </c>
      <c r="AO16" s="217">
        <v>1067.9904294351225</v>
      </c>
      <c r="AP16" s="217">
        <v>4486.2715336434285</v>
      </c>
      <c r="AQ16" s="217">
        <v>649.45363952135835</v>
      </c>
      <c r="AR16" s="217">
        <v>284.08849260934267</v>
      </c>
      <c r="AS16" s="217">
        <v>1265.4851034416176</v>
      </c>
      <c r="AT16" s="217">
        <v>878.6454782914285</v>
      </c>
      <c r="AU16" s="217">
        <v>17282.705643862737</v>
      </c>
      <c r="AV16" s="218">
        <v>15919.232153730565</v>
      </c>
      <c r="AX16" s="4"/>
      <c r="AY16" s="4"/>
      <c r="AZ16" s="4"/>
      <c r="BA16" s="4"/>
    </row>
    <row r="17" spans="2:53" x14ac:dyDescent="0.2">
      <c r="B17" s="259">
        <f t="shared" si="0"/>
        <v>2036</v>
      </c>
      <c r="C17" s="226">
        <f t="shared" si="1"/>
        <v>1915.0919491736549</v>
      </c>
      <c r="D17" s="227">
        <f t="shared" si="2"/>
        <v>1398.7842317913887</v>
      </c>
      <c r="E17" s="228">
        <f t="shared" si="6"/>
        <v>51.075620659746917</v>
      </c>
      <c r="F17" s="287">
        <f>SUM(C17,D17*Coefficients!$C$76,E17*Coefficients!$C$77)*1000</f>
        <v>54616089.914165474</v>
      </c>
      <c r="H17" s="235">
        <f t="shared" si="3"/>
        <v>0.49944200722732046</v>
      </c>
      <c r="I17" s="236">
        <f t="shared" si="4"/>
        <v>0.50569646662829737</v>
      </c>
      <c r="J17" s="237">
        <f t="shared" si="5"/>
        <v>0.86174243915409043</v>
      </c>
      <c r="K17" s="287">
        <f>SUM(H17,I17*Coefficients!$C$76,J17*Coefficients!$C$77)*1000</f>
        <v>243020.68944865363</v>
      </c>
      <c r="O17" s="94">
        <v>2036</v>
      </c>
      <c r="P17" s="198">
        <v>207346.55148072701</v>
      </c>
      <c r="Q17" s="199">
        <v>105746.74125517077</v>
      </c>
      <c r="R17" s="199">
        <v>43024.409432250846</v>
      </c>
      <c r="S17" s="199">
        <v>48986.465190893527</v>
      </c>
      <c r="T17" s="199">
        <v>205775.79935426803</v>
      </c>
      <c r="U17" s="199">
        <v>29789.066670137949</v>
      </c>
      <c r="V17" s="199">
        <v>13030.539104832274</v>
      </c>
      <c r="W17" s="199">
        <v>58045.128739707412</v>
      </c>
      <c r="X17" s="199">
        <v>39978.369262260007</v>
      </c>
      <c r="Y17" s="199">
        <v>605571.94005024049</v>
      </c>
      <c r="Z17" s="200">
        <v>557796.93863316684</v>
      </c>
      <c r="AA17" s="207">
        <v>0</v>
      </c>
      <c r="AB17" s="208">
        <v>0</v>
      </c>
      <c r="AC17" s="208">
        <v>0</v>
      </c>
      <c r="AD17" s="208">
        <v>0</v>
      </c>
      <c r="AE17" s="208">
        <v>0</v>
      </c>
      <c r="AF17" s="208">
        <v>0</v>
      </c>
      <c r="AG17" s="208">
        <v>0</v>
      </c>
      <c r="AH17" s="208">
        <v>0</v>
      </c>
      <c r="AI17" s="208">
        <v>0</v>
      </c>
      <c r="AJ17" s="208">
        <v>728113.40966609435</v>
      </c>
      <c r="AK17" s="209">
        <v>670670.82212529436</v>
      </c>
      <c r="AL17" s="216">
        <v>4557.0670655104841</v>
      </c>
      <c r="AM17" s="217">
        <v>2788.9250440924156</v>
      </c>
      <c r="AN17" s="217">
        <v>945.59141609342521</v>
      </c>
      <c r="AO17" s="217">
        <v>1076.6256085910663</v>
      </c>
      <c r="AP17" s="217">
        <v>4522.5450407531434</v>
      </c>
      <c r="AQ17" s="217">
        <v>654.70476198105382</v>
      </c>
      <c r="AR17" s="217">
        <v>286.38547483147846</v>
      </c>
      <c r="AS17" s="217">
        <v>1275.7171151584046</v>
      </c>
      <c r="AT17" s="217">
        <v>878.6454782914285</v>
      </c>
      <c r="AU17" s="217">
        <v>17744.666150309371</v>
      </c>
      <c r="AV17" s="218">
        <v>16344.747504134653</v>
      </c>
      <c r="AX17" s="4"/>
      <c r="AY17" s="4"/>
      <c r="AZ17" s="4"/>
      <c r="BA17" s="4"/>
    </row>
    <row r="18" spans="2:53" x14ac:dyDescent="0.2">
      <c r="B18" s="259">
        <f t="shared" si="0"/>
        <v>2037</v>
      </c>
      <c r="C18" s="226">
        <f t="shared" si="1"/>
        <v>1936.0090795520048</v>
      </c>
      <c r="D18" s="227">
        <f t="shared" si="2"/>
        <v>1445.1237918556276</v>
      </c>
      <c r="E18" s="228">
        <f t="shared" si="6"/>
        <v>51.664791004674626</v>
      </c>
      <c r="F18" s="287">
        <f>SUM(C18,D18*Coefficients!$C$76,E18*Coefficients!$C$77)*1000</f>
        <v>56090644.867748357</v>
      </c>
      <c r="H18" s="235">
        <f t="shared" si="3"/>
        <v>0.50618958298895189</v>
      </c>
      <c r="I18" s="236">
        <f t="shared" si="4"/>
        <v>0.5220255044189771</v>
      </c>
      <c r="J18" s="237">
        <f t="shared" si="5"/>
        <v>0.86561778013173918</v>
      </c>
      <c r="K18" s="287">
        <f>SUM(H18,I18*Coefficients!$C$76,J18*Coefficients!$C$77)*1000</f>
        <v>244511.61544163121</v>
      </c>
      <c r="O18" s="94">
        <v>2037</v>
      </c>
      <c r="P18" s="198">
        <v>207623.09292700535</v>
      </c>
      <c r="Q18" s="199">
        <v>105887.77739277274</v>
      </c>
      <c r="R18" s="199">
        <v>43081.791782353612</v>
      </c>
      <c r="S18" s="199">
        <v>49379.365842488958</v>
      </c>
      <c r="T18" s="199">
        <v>207426.24392775999</v>
      </c>
      <c r="U18" s="199">
        <v>30027.992742054103</v>
      </c>
      <c r="V18" s="199">
        <v>13135.051795939456</v>
      </c>
      <c r="W18" s="199">
        <v>58510.685272821211</v>
      </c>
      <c r="X18" s="199">
        <v>39978.369262260007</v>
      </c>
      <c r="Y18" s="199">
        <v>614728.02770815161</v>
      </c>
      <c r="Z18" s="200">
        <v>566230.68089839793</v>
      </c>
      <c r="AA18" s="207">
        <v>0</v>
      </c>
      <c r="AB18" s="208">
        <v>0</v>
      </c>
      <c r="AC18" s="208">
        <v>0</v>
      </c>
      <c r="AD18" s="208">
        <v>0</v>
      </c>
      <c r="AE18" s="208">
        <v>0</v>
      </c>
      <c r="AF18" s="208">
        <v>0</v>
      </c>
      <c r="AG18" s="208">
        <v>0</v>
      </c>
      <c r="AH18" s="208">
        <v>0</v>
      </c>
      <c r="AI18" s="208">
        <v>0</v>
      </c>
      <c r="AJ18" s="208">
        <v>752234.6817779406</v>
      </c>
      <c r="AK18" s="209">
        <v>692889.11007768707</v>
      </c>
      <c r="AL18" s="216">
        <v>4563.1448994946222</v>
      </c>
      <c r="AM18" s="217">
        <v>2792.6446784907098</v>
      </c>
      <c r="AN18" s="217">
        <v>946.85256664513406</v>
      </c>
      <c r="AO18" s="217">
        <v>1085.2607877470102</v>
      </c>
      <c r="AP18" s="217">
        <v>4558.8185478628584</v>
      </c>
      <c r="AQ18" s="217">
        <v>659.95588444074929</v>
      </c>
      <c r="AR18" s="217">
        <v>288.68245705361443</v>
      </c>
      <c r="AS18" s="217">
        <v>1285.9491268751915</v>
      </c>
      <c r="AT18" s="217">
        <v>878.6454782914285</v>
      </c>
      <c r="AU18" s="217">
        <v>18012.960811913279</v>
      </c>
      <c r="AV18" s="218">
        <v>16591.875765860033</v>
      </c>
      <c r="AX18" s="4"/>
      <c r="AY18" s="4"/>
      <c r="AZ18" s="4"/>
      <c r="BA18" s="4"/>
    </row>
    <row r="19" spans="2:53" x14ac:dyDescent="0.2">
      <c r="B19" s="259">
        <f t="shared" si="0"/>
        <v>2038</v>
      </c>
      <c r="C19" s="226">
        <f t="shared" si="1"/>
        <v>1963.2747322086964</v>
      </c>
      <c r="D19" s="227">
        <f t="shared" si="2"/>
        <v>1488.3649877299563</v>
      </c>
      <c r="E19" s="228">
        <f t="shared" si="6"/>
        <v>52.439987816363036</v>
      </c>
      <c r="F19" s="287">
        <f>SUM(C19,D19*Coefficients!$C$76,E19*Coefficients!$C$77)*1000</f>
        <v>57534091.15998368</v>
      </c>
      <c r="H19" s="235">
        <f t="shared" si="3"/>
        <v>0.51525240518098081</v>
      </c>
      <c r="I19" s="236">
        <f t="shared" si="4"/>
        <v>0.5372084518578607</v>
      </c>
      <c r="J19" s="237">
        <f t="shared" si="5"/>
        <v>0.86956096321409271</v>
      </c>
      <c r="K19" s="287">
        <f>SUM(H19,I19*Coefficients!$C$76,J19*Coefficients!$C$77)*1000</f>
        <v>245990.74430893562</v>
      </c>
      <c r="O19" s="94">
        <v>2038</v>
      </c>
      <c r="P19" s="198">
        <v>207899.63437328365</v>
      </c>
      <c r="Q19" s="199">
        <v>106028.81353037467</v>
      </c>
      <c r="R19" s="199">
        <v>43139.174132456363</v>
      </c>
      <c r="S19" s="199">
        <v>49772.266494084397</v>
      </c>
      <c r="T19" s="199">
        <v>209076.68850125207</v>
      </c>
      <c r="U19" s="199">
        <v>30266.918813970253</v>
      </c>
      <c r="V19" s="199">
        <v>13239.564487046635</v>
      </c>
      <c r="W19" s="199">
        <v>58976.241805935009</v>
      </c>
      <c r="X19" s="199">
        <v>39978.369262260007</v>
      </c>
      <c r="Y19" s="199">
        <v>627188.73097250587</v>
      </c>
      <c r="Z19" s="200">
        <v>577708.32983552734</v>
      </c>
      <c r="AA19" s="207">
        <v>0</v>
      </c>
      <c r="AB19" s="208">
        <v>0</v>
      </c>
      <c r="AC19" s="208">
        <v>0</v>
      </c>
      <c r="AD19" s="208">
        <v>0</v>
      </c>
      <c r="AE19" s="208">
        <v>0</v>
      </c>
      <c r="AF19" s="208">
        <v>0</v>
      </c>
      <c r="AG19" s="208">
        <v>0</v>
      </c>
      <c r="AH19" s="208">
        <v>0</v>
      </c>
      <c r="AI19" s="208">
        <v>0</v>
      </c>
      <c r="AJ19" s="208">
        <v>774743.1529563549</v>
      </c>
      <c r="AK19" s="209">
        <v>713621.8347736015</v>
      </c>
      <c r="AL19" s="216">
        <v>4569.2227334787622</v>
      </c>
      <c r="AM19" s="217">
        <v>2796.3643128890026</v>
      </c>
      <c r="AN19" s="217">
        <v>948.11371719684303</v>
      </c>
      <c r="AO19" s="217">
        <v>1093.8959669029541</v>
      </c>
      <c r="AP19" s="217">
        <v>4595.0920549725715</v>
      </c>
      <c r="AQ19" s="217">
        <v>665.20700690044509</v>
      </c>
      <c r="AR19" s="217">
        <v>290.97943927575022</v>
      </c>
      <c r="AS19" s="217">
        <v>1296.1811385919782</v>
      </c>
      <c r="AT19" s="217">
        <v>878.6454782914285</v>
      </c>
      <c r="AU19" s="217">
        <v>18378.088395938546</v>
      </c>
      <c r="AV19" s="218">
        <v>16928.197571924757</v>
      </c>
      <c r="AX19" s="4"/>
      <c r="AY19" s="4"/>
      <c r="AZ19" s="4"/>
      <c r="BA19" s="4"/>
    </row>
    <row r="20" spans="2:53" x14ac:dyDescent="0.2">
      <c r="B20" s="259">
        <f t="shared" si="0"/>
        <v>2039</v>
      </c>
      <c r="C20" s="226">
        <f t="shared" si="1"/>
        <v>1990.5403848653882</v>
      </c>
      <c r="D20" s="227">
        <f t="shared" si="2"/>
        <v>1522.5350840281751</v>
      </c>
      <c r="E20" s="228">
        <f t="shared" si="6"/>
        <v>53.21518462805146</v>
      </c>
      <c r="F20" s="287">
        <f>SUM(C20,D20*Coefficients!$C$76,E20*Coefficients!$C$77)*1000</f>
        <v>58723546.664087929</v>
      </c>
      <c r="H20" s="235">
        <f t="shared" si="3"/>
        <v>0.52431522737300984</v>
      </c>
      <c r="I20" s="236">
        <f t="shared" si="4"/>
        <v>0.54942117674399105</v>
      </c>
      <c r="J20" s="237">
        <f t="shared" si="5"/>
        <v>0.87350414629644613</v>
      </c>
      <c r="K20" s="287">
        <f>SUM(H20,I20*Coefficients!$C$76,J20*Coefficients!$C$77)*1000</f>
        <v>247386.70694476299</v>
      </c>
      <c r="O20" s="94">
        <v>2039</v>
      </c>
      <c r="P20" s="198">
        <v>208176.17581956205</v>
      </c>
      <c r="Q20" s="199">
        <v>106169.84966797664</v>
      </c>
      <c r="R20" s="199">
        <v>43196.556482559114</v>
      </c>
      <c r="S20" s="199">
        <v>50165.167145679843</v>
      </c>
      <c r="T20" s="199">
        <v>210727.13307474405</v>
      </c>
      <c r="U20" s="199">
        <v>30505.844885886396</v>
      </c>
      <c r="V20" s="199">
        <v>13344.077178153819</v>
      </c>
      <c r="W20" s="199">
        <v>59441.79833904883</v>
      </c>
      <c r="X20" s="199">
        <v>39978.369262260007</v>
      </c>
      <c r="Y20" s="199">
        <v>639649.43423686025</v>
      </c>
      <c r="Z20" s="200">
        <v>589185.97877265711</v>
      </c>
      <c r="AA20" s="207">
        <v>0</v>
      </c>
      <c r="AB20" s="208">
        <v>0</v>
      </c>
      <c r="AC20" s="208">
        <v>0</v>
      </c>
      <c r="AD20" s="208">
        <v>0</v>
      </c>
      <c r="AE20" s="208">
        <v>0</v>
      </c>
      <c r="AF20" s="208">
        <v>0</v>
      </c>
      <c r="AG20" s="208">
        <v>0</v>
      </c>
      <c r="AH20" s="208">
        <v>0</v>
      </c>
      <c r="AI20" s="208">
        <v>0</v>
      </c>
      <c r="AJ20" s="208">
        <v>792529.81708857208</v>
      </c>
      <c r="AK20" s="209">
        <v>730005.26693960303</v>
      </c>
      <c r="AL20" s="216">
        <v>4575.3005674629021</v>
      </c>
      <c r="AM20" s="217">
        <v>2800.0839472872958</v>
      </c>
      <c r="AN20" s="217">
        <v>949.37486774855199</v>
      </c>
      <c r="AO20" s="217">
        <v>1102.5311460588978</v>
      </c>
      <c r="AP20" s="217">
        <v>4631.3655620822865</v>
      </c>
      <c r="AQ20" s="217">
        <v>670.45812936014056</v>
      </c>
      <c r="AR20" s="217">
        <v>293.27642149788608</v>
      </c>
      <c r="AS20" s="217">
        <v>1306.4131503087654</v>
      </c>
      <c r="AT20" s="217">
        <v>878.6454782914285</v>
      </c>
      <c r="AU20" s="217">
        <v>18743.215979963814</v>
      </c>
      <c r="AV20" s="218">
        <v>17264.519377989487</v>
      </c>
      <c r="AX20" s="4"/>
      <c r="AY20" s="4"/>
      <c r="AZ20" s="4"/>
      <c r="BA20" s="4"/>
    </row>
    <row r="21" spans="2:53" x14ac:dyDescent="0.2">
      <c r="B21" s="259">
        <f t="shared" si="0"/>
        <v>2040</v>
      </c>
      <c r="C21" s="226">
        <f t="shared" si="1"/>
        <v>2024.6799547475946</v>
      </c>
      <c r="D21" s="227">
        <f t="shared" si="2"/>
        <v>1558.8400781581988</v>
      </c>
      <c r="E21" s="228">
        <f t="shared" si="6"/>
        <v>54.191803200301479</v>
      </c>
      <c r="F21" s="287">
        <f>SUM(C21,D21*Coefficients!$C$76,E21*Coefficients!$C$77)*1000</f>
        <v>60033029.991257057</v>
      </c>
      <c r="H21" s="235">
        <f t="shared" si="3"/>
        <v>0.53588490259657273</v>
      </c>
      <c r="I21" s="236">
        <f t="shared" si="4"/>
        <v>0.56242842706350504</v>
      </c>
      <c r="J21" s="237">
        <f t="shared" si="5"/>
        <v>0.87752078600251415</v>
      </c>
      <c r="K21" s="287">
        <f>SUM(H21,I21*Coefficients!$C$76,J21*Coefficients!$C$77)*1000</f>
        <v>248826.88915104096</v>
      </c>
      <c r="O21" s="94">
        <v>2040</v>
      </c>
      <c r="P21" s="198">
        <v>208452.7172658403</v>
      </c>
      <c r="Q21" s="199">
        <v>106310.88580557852</v>
      </c>
      <c r="R21" s="199">
        <v>43253.938832661843</v>
      </c>
      <c r="S21" s="199">
        <v>50558.067797275282</v>
      </c>
      <c r="T21" s="199">
        <v>212377.57764823601</v>
      </c>
      <c r="U21" s="199">
        <v>30744.770957802539</v>
      </c>
      <c r="V21" s="199">
        <v>13448.589869260995</v>
      </c>
      <c r="W21" s="199">
        <v>59907.354872162614</v>
      </c>
      <c r="X21" s="199">
        <v>39978.369262260007</v>
      </c>
      <c r="Y21" s="199">
        <v>655688.23853715695</v>
      </c>
      <c r="Z21" s="200">
        <v>603959.44389935979</v>
      </c>
      <c r="AA21" s="207">
        <v>0</v>
      </c>
      <c r="AB21" s="208">
        <v>0</v>
      </c>
      <c r="AC21" s="208">
        <v>0</v>
      </c>
      <c r="AD21" s="208">
        <v>0</v>
      </c>
      <c r="AE21" s="208">
        <v>0</v>
      </c>
      <c r="AF21" s="208">
        <v>0</v>
      </c>
      <c r="AG21" s="208">
        <v>0</v>
      </c>
      <c r="AH21" s="208">
        <v>0</v>
      </c>
      <c r="AI21" s="208">
        <v>0</v>
      </c>
      <c r="AJ21" s="208">
        <v>811427.76608108077</v>
      </c>
      <c r="AK21" s="209">
        <v>747412.31207711808</v>
      </c>
      <c r="AL21" s="216">
        <v>4581.3784014470402</v>
      </c>
      <c r="AM21" s="217">
        <v>2803.8035816855877</v>
      </c>
      <c r="AN21" s="217">
        <v>950.63601830026039</v>
      </c>
      <c r="AO21" s="217">
        <v>1111.1663252148414</v>
      </c>
      <c r="AP21" s="217">
        <v>4667.6390691920014</v>
      </c>
      <c r="AQ21" s="217">
        <v>675.70925181983603</v>
      </c>
      <c r="AR21" s="217">
        <v>295.57340372002187</v>
      </c>
      <c r="AS21" s="217">
        <v>1316.6451620255518</v>
      </c>
      <c r="AT21" s="217">
        <v>878.6454782914285</v>
      </c>
      <c r="AU21" s="217">
        <v>19213.190245507387</v>
      </c>
      <c r="AV21" s="218">
        <v>17697.416263097519</v>
      </c>
      <c r="AX21" s="4"/>
      <c r="AY21" s="4"/>
      <c r="AZ21" s="4"/>
      <c r="BA21" s="4"/>
    </row>
    <row r="22" spans="2:53" x14ac:dyDescent="0.2">
      <c r="B22" s="259">
        <f t="shared" si="0"/>
        <v>2041</v>
      </c>
      <c r="C22" s="226">
        <f t="shared" si="1"/>
        <v>2042.8356051176586</v>
      </c>
      <c r="D22" s="227">
        <f t="shared" si="2"/>
        <v>1591.0438154471985</v>
      </c>
      <c r="E22" s="228">
        <f t="shared" si="6"/>
        <v>54.701384720642267</v>
      </c>
      <c r="F22" s="287">
        <f>SUM(C22,D22*Coefficients!$C$76,E22*Coefficients!$C$77)*1000</f>
        <v>61087929.388609417</v>
      </c>
      <c r="H22" s="235">
        <f t="shared" si="3"/>
        <v>0.54166968549188843</v>
      </c>
      <c r="I22" s="236">
        <f t="shared" si="4"/>
        <v>0.57395720682787588</v>
      </c>
      <c r="J22" s="237">
        <f t="shared" si="5"/>
        <v>0.88118968286647403</v>
      </c>
      <c r="K22" s="287">
        <f>SUM(H22,I22*Coefficients!$C$76,J22*Coefficients!$C$77)*1000</f>
        <v>250127.73743628804</v>
      </c>
      <c r="O22" s="94">
        <v>2041</v>
      </c>
      <c r="P22" s="198">
        <v>208775.34895316508</v>
      </c>
      <c r="Q22" s="199">
        <v>106475.42796611416</v>
      </c>
      <c r="R22" s="199">
        <v>43320.884907781729</v>
      </c>
      <c r="S22" s="199">
        <v>50917.014071572346</v>
      </c>
      <c r="T22" s="199">
        <v>213885.39120920398</v>
      </c>
      <c r="U22" s="199">
        <v>30963.049097577779</v>
      </c>
      <c r="V22" s="199">
        <v>13544.070599408298</v>
      </c>
      <c r="W22" s="199">
        <v>60332.678124636957</v>
      </c>
      <c r="X22" s="199">
        <v>39978.369262260007</v>
      </c>
      <c r="Y22" s="199">
        <v>663493.98986618081</v>
      </c>
      <c r="Z22" s="200">
        <v>611149.38105975743</v>
      </c>
      <c r="AA22" s="207">
        <v>0</v>
      </c>
      <c r="AB22" s="208">
        <v>0</v>
      </c>
      <c r="AC22" s="208">
        <v>0</v>
      </c>
      <c r="AD22" s="208">
        <v>0</v>
      </c>
      <c r="AE22" s="208">
        <v>0</v>
      </c>
      <c r="AF22" s="208">
        <v>0</v>
      </c>
      <c r="AG22" s="208">
        <v>0</v>
      </c>
      <c r="AH22" s="208">
        <v>0</v>
      </c>
      <c r="AI22" s="208">
        <v>0</v>
      </c>
      <c r="AJ22" s="208">
        <v>828190.87537882815</v>
      </c>
      <c r="AK22" s="209">
        <v>762852.94006837031</v>
      </c>
      <c r="AL22" s="216">
        <v>4588.4692077618693</v>
      </c>
      <c r="AM22" s="217">
        <v>2808.1431551502633</v>
      </c>
      <c r="AN22" s="217">
        <v>952.10736061058753</v>
      </c>
      <c r="AO22" s="217">
        <v>1119.0552543202716</v>
      </c>
      <c r="AP22" s="217">
        <v>4700.7778287737137</v>
      </c>
      <c r="AQ22" s="217">
        <v>680.5065735731381</v>
      </c>
      <c r="AR22" s="217">
        <v>297.67188130567683</v>
      </c>
      <c r="AS22" s="217">
        <v>1325.9929258161967</v>
      </c>
      <c r="AT22" s="217">
        <v>878.6454782914285</v>
      </c>
      <c r="AU22" s="217">
        <v>19441.916912357854</v>
      </c>
      <c r="AV22" s="218">
        <v>17908.098142681265</v>
      </c>
      <c r="AX22" s="4"/>
      <c r="AY22" s="4"/>
      <c r="AZ22" s="4"/>
      <c r="BA22" s="4"/>
    </row>
    <row r="23" spans="2:53" x14ac:dyDescent="0.2">
      <c r="B23" s="259">
        <f t="shared" si="0"/>
        <v>2042</v>
      </c>
      <c r="C23" s="226">
        <f t="shared" si="1"/>
        <v>2067.8651727132365</v>
      </c>
      <c r="D23" s="227">
        <f t="shared" si="2"/>
        <v>1619.2265168855856</v>
      </c>
      <c r="E23" s="228">
        <f t="shared" si="6"/>
        <v>55.412388001544642</v>
      </c>
      <c r="F23" s="287">
        <f>SUM(C23,D23*Coefficients!$C$76,E23*Coefficients!$C$77)*1000</f>
        <v>62090490.465918973</v>
      </c>
      <c r="H23" s="235">
        <f t="shared" si="3"/>
        <v>0.54996132141873788</v>
      </c>
      <c r="I23" s="236">
        <f t="shared" si="4"/>
        <v>0.58403570606868371</v>
      </c>
      <c r="J23" s="237">
        <f t="shared" si="5"/>
        <v>0.88493203635414874</v>
      </c>
      <c r="K23" s="287">
        <f>SUM(H23,I23*Coefficients!$C$76,J23*Coefficients!$C$77)*1000</f>
        <v>251409.95072519133</v>
      </c>
      <c r="O23" s="94">
        <v>2042</v>
      </c>
      <c r="P23" s="198">
        <v>209097.98064048972</v>
      </c>
      <c r="Q23" s="199">
        <v>106639.97012664977</v>
      </c>
      <c r="R23" s="199">
        <v>43387.830982901614</v>
      </c>
      <c r="S23" s="199">
        <v>51275.960345869433</v>
      </c>
      <c r="T23" s="199">
        <v>215393.20477017201</v>
      </c>
      <c r="U23" s="199">
        <v>31181.327237353031</v>
      </c>
      <c r="V23" s="199">
        <v>13639.551329555596</v>
      </c>
      <c r="W23" s="199">
        <v>60758.001377111301</v>
      </c>
      <c r="X23" s="199">
        <v>39978.369262260007</v>
      </c>
      <c r="Y23" s="199">
        <v>674877.84223114641</v>
      </c>
      <c r="Z23" s="200">
        <v>621635.13440972765</v>
      </c>
      <c r="AA23" s="207">
        <v>0</v>
      </c>
      <c r="AB23" s="208">
        <v>0</v>
      </c>
      <c r="AC23" s="208">
        <v>0</v>
      </c>
      <c r="AD23" s="208">
        <v>0</v>
      </c>
      <c r="AE23" s="208">
        <v>0</v>
      </c>
      <c r="AF23" s="208">
        <v>0</v>
      </c>
      <c r="AG23" s="208">
        <v>0</v>
      </c>
      <c r="AH23" s="208">
        <v>0</v>
      </c>
      <c r="AI23" s="208">
        <v>0</v>
      </c>
      <c r="AJ23" s="208">
        <v>842860.90265789314</v>
      </c>
      <c r="AK23" s="209">
        <v>776365.61422769248</v>
      </c>
      <c r="AL23" s="216">
        <v>4595.5600140766974</v>
      </c>
      <c r="AM23" s="217">
        <v>2812.4827286149389</v>
      </c>
      <c r="AN23" s="217">
        <v>953.57870292091457</v>
      </c>
      <c r="AO23" s="217">
        <v>1126.9441834257016</v>
      </c>
      <c r="AP23" s="217">
        <v>4733.9165883554278</v>
      </c>
      <c r="AQ23" s="217">
        <v>685.3038953264404</v>
      </c>
      <c r="AR23" s="217">
        <v>299.7703588913318</v>
      </c>
      <c r="AS23" s="217">
        <v>1335.3406896068416</v>
      </c>
      <c r="AT23" s="217">
        <v>878.6454782914285</v>
      </c>
      <c r="AU23" s="217">
        <v>19775.490260726619</v>
      </c>
      <c r="AV23" s="218">
        <v>18215.355101308298</v>
      </c>
      <c r="AX23" s="4"/>
      <c r="AY23" s="4"/>
      <c r="AZ23" s="4"/>
      <c r="BA23" s="4"/>
    </row>
    <row r="24" spans="2:53" x14ac:dyDescent="0.2">
      <c r="B24" s="259">
        <f t="shared" si="0"/>
        <v>2043</v>
      </c>
      <c r="C24" s="226">
        <f t="shared" si="1"/>
        <v>2092.894740308815</v>
      </c>
      <c r="D24" s="227">
        <f t="shared" si="2"/>
        <v>1649.2493975015852</v>
      </c>
      <c r="E24" s="228">
        <f t="shared" si="6"/>
        <v>56.123391282447024</v>
      </c>
      <c r="F24" s="287">
        <f>SUM(C24,D24*Coefficients!$C$76,E24*Coefficients!$C$77)*1000</f>
        <v>63144576.56020166</v>
      </c>
      <c r="H24" s="235">
        <f t="shared" si="3"/>
        <v>0.55825295734558744</v>
      </c>
      <c r="I24" s="236">
        <f t="shared" si="4"/>
        <v>0.59480316366826103</v>
      </c>
      <c r="J24" s="237">
        <f t="shared" si="5"/>
        <v>0.88867438984182356</v>
      </c>
      <c r="K24" s="287">
        <f>SUM(H24,I24*Coefficients!$C$76,J24*Coefficients!$C$77)*1000</f>
        <v>252711.45484814013</v>
      </c>
      <c r="O24" s="94">
        <v>2043</v>
      </c>
      <c r="P24" s="198">
        <v>209420.61232781442</v>
      </c>
      <c r="Q24" s="199">
        <v>106804.51228718534</v>
      </c>
      <c r="R24" s="199">
        <v>43454.777058021493</v>
      </c>
      <c r="S24" s="199">
        <v>51634.906620166497</v>
      </c>
      <c r="T24" s="199">
        <v>216901.01833114002</v>
      </c>
      <c r="U24" s="199">
        <v>31399.605377128271</v>
      </c>
      <c r="V24" s="199">
        <v>13735.032059702899</v>
      </c>
      <c r="W24" s="199">
        <v>61183.324629585637</v>
      </c>
      <c r="X24" s="199">
        <v>39978.369262260007</v>
      </c>
      <c r="Y24" s="199">
        <v>686261.69459611224</v>
      </c>
      <c r="Z24" s="200">
        <v>632120.88775969809</v>
      </c>
      <c r="AA24" s="207">
        <v>0</v>
      </c>
      <c r="AB24" s="208">
        <v>0</v>
      </c>
      <c r="AC24" s="208">
        <v>0</v>
      </c>
      <c r="AD24" s="208">
        <v>0</v>
      </c>
      <c r="AE24" s="208">
        <v>0</v>
      </c>
      <c r="AF24" s="208">
        <v>0</v>
      </c>
      <c r="AG24" s="208">
        <v>0</v>
      </c>
      <c r="AH24" s="208">
        <v>0</v>
      </c>
      <c r="AI24" s="208">
        <v>0</v>
      </c>
      <c r="AJ24" s="208">
        <v>858488.8039999879</v>
      </c>
      <c r="AK24" s="209">
        <v>790760.59350159741</v>
      </c>
      <c r="AL24" s="216">
        <v>4602.6508203915264</v>
      </c>
      <c r="AM24" s="217">
        <v>2816.8223020796131</v>
      </c>
      <c r="AN24" s="217">
        <v>955.05004523124148</v>
      </c>
      <c r="AO24" s="217">
        <v>1134.8331125311317</v>
      </c>
      <c r="AP24" s="217">
        <v>4767.0553479371429</v>
      </c>
      <c r="AQ24" s="217">
        <v>690.10121707974224</v>
      </c>
      <c r="AR24" s="217">
        <v>301.86883647698676</v>
      </c>
      <c r="AS24" s="217">
        <v>1344.6884533974862</v>
      </c>
      <c r="AT24" s="217">
        <v>878.6454782914285</v>
      </c>
      <c r="AU24" s="217">
        <v>20109.063609095385</v>
      </c>
      <c r="AV24" s="218">
        <v>18522.612059935338</v>
      </c>
      <c r="AX24" s="4"/>
      <c r="AY24" s="4"/>
      <c r="AZ24" s="4"/>
      <c r="BA24" s="4"/>
    </row>
    <row r="25" spans="2:53" x14ac:dyDescent="0.2">
      <c r="B25" s="259">
        <f t="shared" si="0"/>
        <v>2044</v>
      </c>
      <c r="C25" s="226">
        <f t="shared" si="1"/>
        <v>2125.278215575474</v>
      </c>
      <c r="D25" s="227">
        <f t="shared" si="2"/>
        <v>1681.6662495777989</v>
      </c>
      <c r="E25" s="228">
        <f t="shared" si="6"/>
        <v>57.049881160222924</v>
      </c>
      <c r="F25" s="287">
        <f>SUM(C25,D25*Coefficients!$C$76,E25*Coefficients!$C$77)*1000</f>
        <v>64330151.711212926</v>
      </c>
      <c r="H25" s="235">
        <f t="shared" si="3"/>
        <v>0.56922649430994743</v>
      </c>
      <c r="I25" s="236">
        <f t="shared" si="4"/>
        <v>0.60645062456586318</v>
      </c>
      <c r="J25" s="237">
        <f t="shared" si="5"/>
        <v>0.89249532926687603</v>
      </c>
      <c r="K25" s="287">
        <f>SUM(H25,I25*Coefficients!$C$76,J25*Coefficients!$C$77)*1000</f>
        <v>254061.10623787629</v>
      </c>
      <c r="O25" s="94">
        <v>2044</v>
      </c>
      <c r="P25" s="198">
        <v>209743.24401513909</v>
      </c>
      <c r="Q25" s="199">
        <v>106969.05444772092</v>
      </c>
      <c r="R25" s="199">
        <v>43521.72313314135</v>
      </c>
      <c r="S25" s="199">
        <v>51993.852894463555</v>
      </c>
      <c r="T25" s="199">
        <v>218408.83189210793</v>
      </c>
      <c r="U25" s="199">
        <v>31617.883516903516</v>
      </c>
      <c r="V25" s="199">
        <v>13830.5127898502</v>
      </c>
      <c r="W25" s="199">
        <v>61608.647882059951</v>
      </c>
      <c r="X25" s="199">
        <v>39978.369262260007</v>
      </c>
      <c r="Y25" s="199">
        <v>701473.49888322898</v>
      </c>
      <c r="Z25" s="200">
        <v>646132.59685859829</v>
      </c>
      <c r="AA25" s="207">
        <v>0</v>
      </c>
      <c r="AB25" s="208">
        <v>0</v>
      </c>
      <c r="AC25" s="208">
        <v>0</v>
      </c>
      <c r="AD25" s="208">
        <v>0</v>
      </c>
      <c r="AE25" s="208">
        <v>0</v>
      </c>
      <c r="AF25" s="208">
        <v>0</v>
      </c>
      <c r="AG25" s="208">
        <v>0</v>
      </c>
      <c r="AH25" s="208">
        <v>0</v>
      </c>
      <c r="AI25" s="208">
        <v>0</v>
      </c>
      <c r="AJ25" s="208">
        <v>875362.84658597363</v>
      </c>
      <c r="AK25" s="209">
        <v>806303.40299182525</v>
      </c>
      <c r="AL25" s="216">
        <v>4609.7416267063536</v>
      </c>
      <c r="AM25" s="217">
        <v>2821.1618755442883</v>
      </c>
      <c r="AN25" s="217">
        <v>956.52138754156829</v>
      </c>
      <c r="AO25" s="217">
        <v>1142.7220416365619</v>
      </c>
      <c r="AP25" s="217">
        <v>4800.194107518857</v>
      </c>
      <c r="AQ25" s="217">
        <v>694.89853883304431</v>
      </c>
      <c r="AR25" s="217">
        <v>303.96731406264166</v>
      </c>
      <c r="AS25" s="217">
        <v>1354.0362171881311</v>
      </c>
      <c r="AT25" s="217">
        <v>878.6454782914285</v>
      </c>
      <c r="AU25" s="217">
        <v>20554.804850996941</v>
      </c>
      <c r="AV25" s="218">
        <v>18933.187721903112</v>
      </c>
      <c r="AX25" s="4"/>
      <c r="AY25" s="4"/>
      <c r="AZ25" s="4"/>
      <c r="BA25" s="4"/>
    </row>
    <row r="26" spans="2:53" x14ac:dyDescent="0.2">
      <c r="B26" s="259">
        <f t="shared" si="0"/>
        <v>2045</v>
      </c>
      <c r="C26" s="226">
        <f t="shared" si="1"/>
        <v>2142.9538754999717</v>
      </c>
      <c r="D26" s="227">
        <f t="shared" si="2"/>
        <v>1711.0318930750977</v>
      </c>
      <c r="E26" s="228">
        <f t="shared" si="6"/>
        <v>57.545397844251781</v>
      </c>
      <c r="F26" s="287">
        <f>SUM(C26,D26*Coefficients!$C$76,E26*Coefficients!$C$77)*1000</f>
        <v>65301377.31032943</v>
      </c>
      <c r="H26" s="235">
        <f t="shared" si="3"/>
        <v>0.57483622919928656</v>
      </c>
      <c r="I26" s="236">
        <f t="shared" si="4"/>
        <v>0.61699386607041107</v>
      </c>
      <c r="J26" s="237">
        <f t="shared" si="5"/>
        <v>0.89615909681717276</v>
      </c>
      <c r="K26" s="287">
        <f>SUM(H26,I26*Coefficients!$C$76,J26*Coefficients!$C$77)*1000</f>
        <v>255332.82513572159</v>
      </c>
      <c r="O26" s="94">
        <v>2045</v>
      </c>
      <c r="P26" s="198">
        <v>210065.87570246391</v>
      </c>
      <c r="Q26" s="199">
        <v>107133.5966082566</v>
      </c>
      <c r="R26" s="199">
        <v>43588.669208261257</v>
      </c>
      <c r="S26" s="199">
        <v>52352.799168760626</v>
      </c>
      <c r="T26" s="199">
        <v>219916.64545307605</v>
      </c>
      <c r="U26" s="199">
        <v>31836.161656678767</v>
      </c>
      <c r="V26" s="199">
        <v>13925.993519997499</v>
      </c>
      <c r="W26" s="199">
        <v>62033.971134534324</v>
      </c>
      <c r="X26" s="199">
        <v>39978.369262260007</v>
      </c>
      <c r="Y26" s="199">
        <v>709029.39932604379</v>
      </c>
      <c r="Z26" s="200">
        <v>653092.39445963863</v>
      </c>
      <c r="AA26" s="207">
        <v>0</v>
      </c>
      <c r="AB26" s="208">
        <v>0</v>
      </c>
      <c r="AC26" s="208">
        <v>0</v>
      </c>
      <c r="AD26" s="208">
        <v>0</v>
      </c>
      <c r="AE26" s="208">
        <v>0</v>
      </c>
      <c r="AF26" s="208">
        <v>0</v>
      </c>
      <c r="AG26" s="208">
        <v>0</v>
      </c>
      <c r="AH26" s="208">
        <v>0</v>
      </c>
      <c r="AI26" s="208">
        <v>0</v>
      </c>
      <c r="AJ26" s="208">
        <v>890648.6342921122</v>
      </c>
      <c r="AK26" s="209">
        <v>820383.25878298562</v>
      </c>
      <c r="AL26" s="216">
        <v>4616.8324330211835</v>
      </c>
      <c r="AM26" s="217">
        <v>2825.5014490089643</v>
      </c>
      <c r="AN26" s="217">
        <v>957.99272985189555</v>
      </c>
      <c r="AO26" s="217">
        <v>1150.6109707419919</v>
      </c>
      <c r="AP26" s="217">
        <v>4833.332867100572</v>
      </c>
      <c r="AQ26" s="217">
        <v>699.69586058634661</v>
      </c>
      <c r="AR26" s="217">
        <v>306.06579164829662</v>
      </c>
      <c r="AS26" s="217">
        <v>1363.3839809787764</v>
      </c>
      <c r="AT26" s="217">
        <v>878.6454782914285</v>
      </c>
      <c r="AU26" s="217">
        <v>20776.210305832912</v>
      </c>
      <c r="AV26" s="218">
        <v>19137.125977189415</v>
      </c>
      <c r="AX26" s="4"/>
      <c r="AY26" s="4"/>
      <c r="AZ26" s="4"/>
      <c r="BA26" s="4"/>
    </row>
    <row r="27" spans="2:53" x14ac:dyDescent="0.2">
      <c r="B27" s="259">
        <f t="shared" si="0"/>
        <v>2046</v>
      </c>
      <c r="C27" s="226">
        <f t="shared" si="1"/>
        <v>2167.9834430955498</v>
      </c>
      <c r="D27" s="227">
        <f t="shared" si="2"/>
        <v>1737.4157053822776</v>
      </c>
      <c r="E27" s="228">
        <f t="shared" si="6"/>
        <v>58.25640112515417</v>
      </c>
      <c r="F27" s="287">
        <f>SUM(C27,D27*Coefficients!$C$76,E27*Coefficients!$C$77)*1000</f>
        <v>66253569.491965175</v>
      </c>
      <c r="H27" s="235">
        <f t="shared" si="3"/>
        <v>0.58312786512613612</v>
      </c>
      <c r="I27" s="236">
        <f t="shared" si="4"/>
        <v>0.62645734494030481</v>
      </c>
      <c r="J27" s="237">
        <f t="shared" si="5"/>
        <v>0.89990145030484758</v>
      </c>
      <c r="K27" s="287">
        <f>SUM(H27,I27*Coefficients!$C$76,J27*Coefficients!$C$77)*1000</f>
        <v>256597.81785423929</v>
      </c>
      <c r="O27" s="94">
        <v>2046</v>
      </c>
      <c r="P27" s="198">
        <v>210388.50738978857</v>
      </c>
      <c r="Q27" s="199">
        <v>107298.13876879215</v>
      </c>
      <c r="R27" s="199">
        <v>43655.615283381121</v>
      </c>
      <c r="S27" s="199">
        <v>52711.745443057713</v>
      </c>
      <c r="T27" s="199">
        <v>221424.45901404406</v>
      </c>
      <c r="U27" s="199">
        <v>32054.439796454015</v>
      </c>
      <c r="V27" s="199">
        <v>14021.474250144798</v>
      </c>
      <c r="W27" s="199">
        <v>62459.294387008653</v>
      </c>
      <c r="X27" s="199">
        <v>39978.369262260007</v>
      </c>
      <c r="Y27" s="199">
        <v>720413.25169100973</v>
      </c>
      <c r="Z27" s="200">
        <v>663578.14780960919</v>
      </c>
      <c r="AA27" s="207">
        <v>0</v>
      </c>
      <c r="AB27" s="208">
        <v>0</v>
      </c>
      <c r="AC27" s="208">
        <v>0</v>
      </c>
      <c r="AD27" s="208">
        <v>0</v>
      </c>
      <c r="AE27" s="208">
        <v>0</v>
      </c>
      <c r="AF27" s="208">
        <v>0</v>
      </c>
      <c r="AG27" s="208">
        <v>0</v>
      </c>
      <c r="AH27" s="208">
        <v>0</v>
      </c>
      <c r="AI27" s="208">
        <v>0</v>
      </c>
      <c r="AJ27" s="208">
        <v>904382.28034155944</v>
      </c>
      <c r="AK27" s="209">
        <v>833033.42504071805</v>
      </c>
      <c r="AL27" s="216">
        <v>4623.9232393360126</v>
      </c>
      <c r="AM27" s="217">
        <v>2829.8410224736394</v>
      </c>
      <c r="AN27" s="217">
        <v>959.46407216222235</v>
      </c>
      <c r="AO27" s="217">
        <v>1158.4998998474221</v>
      </c>
      <c r="AP27" s="217">
        <v>4866.471626682287</v>
      </c>
      <c r="AQ27" s="217">
        <v>704.49318233964868</v>
      </c>
      <c r="AR27" s="217">
        <v>308.1642692339517</v>
      </c>
      <c r="AS27" s="217">
        <v>1372.7317447694206</v>
      </c>
      <c r="AT27" s="217">
        <v>878.6454782914285</v>
      </c>
      <c r="AU27" s="217">
        <v>21109.783654201685</v>
      </c>
      <c r="AV27" s="218">
        <v>19444.382935816455</v>
      </c>
      <c r="AX27" s="4"/>
      <c r="AY27" s="4"/>
      <c r="AZ27" s="4"/>
      <c r="BA27" s="4"/>
    </row>
    <row r="28" spans="2:53" x14ac:dyDescent="0.2">
      <c r="B28" s="259">
        <f t="shared" si="0"/>
        <v>2047</v>
      </c>
      <c r="C28" s="226">
        <f t="shared" si="1"/>
        <v>2193.0130106911283</v>
      </c>
      <c r="D28" s="227">
        <f t="shared" si="2"/>
        <v>1766.3066591547126</v>
      </c>
      <c r="E28" s="228">
        <f t="shared" si="6"/>
        <v>58.967404406056552</v>
      </c>
      <c r="F28" s="287">
        <f>SUM(C28,D28*Coefficients!$C$76,E28*Coefficients!$C$77)*1000</f>
        <v>67275961.634628072</v>
      </c>
      <c r="H28" s="235">
        <f t="shared" si="3"/>
        <v>0.59141950105298557</v>
      </c>
      <c r="I28" s="236">
        <f t="shared" si="4"/>
        <v>0.63684315076023912</v>
      </c>
      <c r="J28" s="237">
        <f t="shared" si="5"/>
        <v>0.90364380379252207</v>
      </c>
      <c r="K28" s="287">
        <f>SUM(H28,I28*Coefficients!$C$76,J28*Coefficients!$C$77)*1000</f>
        <v>257888.63572735802</v>
      </c>
      <c r="O28" s="94">
        <v>2047</v>
      </c>
      <c r="P28" s="198">
        <v>210711.13907711327</v>
      </c>
      <c r="Q28" s="199">
        <v>107462.68092932776</v>
      </c>
      <c r="R28" s="199">
        <v>43722.561358500992</v>
      </c>
      <c r="S28" s="199">
        <v>53070.691717354784</v>
      </c>
      <c r="T28" s="199">
        <v>222932.27257501197</v>
      </c>
      <c r="U28" s="199">
        <v>32272.717936229266</v>
      </c>
      <c r="V28" s="199">
        <v>14116.954980292101</v>
      </c>
      <c r="W28" s="199">
        <v>62884.617639482982</v>
      </c>
      <c r="X28" s="199">
        <v>39978.369262260007</v>
      </c>
      <c r="Y28" s="199">
        <v>731797.10405597545</v>
      </c>
      <c r="Z28" s="200">
        <v>674063.90115957952</v>
      </c>
      <c r="AA28" s="207">
        <v>0</v>
      </c>
      <c r="AB28" s="208">
        <v>0</v>
      </c>
      <c r="AC28" s="208">
        <v>0</v>
      </c>
      <c r="AD28" s="208">
        <v>0</v>
      </c>
      <c r="AE28" s="208">
        <v>0</v>
      </c>
      <c r="AF28" s="208">
        <v>0</v>
      </c>
      <c r="AG28" s="208">
        <v>0</v>
      </c>
      <c r="AH28" s="208">
        <v>0</v>
      </c>
      <c r="AI28" s="208">
        <v>0</v>
      </c>
      <c r="AJ28" s="208">
        <v>919420.97636175493</v>
      </c>
      <c r="AK28" s="209">
        <v>846885.68279295776</v>
      </c>
      <c r="AL28" s="216">
        <v>4631.0140456508416</v>
      </c>
      <c r="AM28" s="217">
        <v>2834.1805959383141</v>
      </c>
      <c r="AN28" s="217">
        <v>960.9354144725495</v>
      </c>
      <c r="AO28" s="217">
        <v>1166.3888289528522</v>
      </c>
      <c r="AP28" s="217">
        <v>4899.6103862640002</v>
      </c>
      <c r="AQ28" s="217">
        <v>709.29050409295087</v>
      </c>
      <c r="AR28" s="217">
        <v>310.2627468196066</v>
      </c>
      <c r="AS28" s="217">
        <v>1382.0795085600655</v>
      </c>
      <c r="AT28" s="217">
        <v>878.6454782914285</v>
      </c>
      <c r="AU28" s="217">
        <v>21443.357002570447</v>
      </c>
      <c r="AV28" s="218">
        <v>19751.639894443491</v>
      </c>
      <c r="AX28" s="4"/>
      <c r="AY28" s="4"/>
      <c r="AZ28" s="4"/>
      <c r="BA28" s="4"/>
    </row>
    <row r="29" spans="2:53" x14ac:dyDescent="0.2">
      <c r="B29" s="259">
        <f t="shared" si="0"/>
        <v>2048</v>
      </c>
      <c r="C29" s="226">
        <f t="shared" si="1"/>
        <v>2225.8764764033526</v>
      </c>
      <c r="D29" s="227">
        <f t="shared" si="2"/>
        <v>1797.9550285149921</v>
      </c>
      <c r="E29" s="228">
        <f t="shared" si="6"/>
        <v>59.907959120144383</v>
      </c>
      <c r="F29" s="287">
        <f>SUM(C29,D29*Coefficients!$C$76,E29*Coefficients!$C$77)*1000</f>
        <v>68444226.441661388</v>
      </c>
      <c r="H29" s="235">
        <f t="shared" si="3"/>
        <v>0.6025680860233219</v>
      </c>
      <c r="I29" s="236">
        <f t="shared" si="4"/>
        <v>0.64824166357867563</v>
      </c>
      <c r="J29" s="237">
        <f t="shared" si="5"/>
        <v>0.90746987253123856</v>
      </c>
      <c r="K29" s="287">
        <f>SUM(H29,I29*Coefficients!$C$76,J29*Coefficients!$C$77)*1000</f>
        <v>259232.85088700446</v>
      </c>
      <c r="O29" s="94">
        <v>2048</v>
      </c>
      <c r="P29" s="198">
        <v>211033.77076443803</v>
      </c>
      <c r="Q29" s="199">
        <v>107627.22308986337</v>
      </c>
      <c r="R29" s="199">
        <v>43789.507433620878</v>
      </c>
      <c r="S29" s="199">
        <v>53429.637991651842</v>
      </c>
      <c r="T29" s="199">
        <v>224440.08613597997</v>
      </c>
      <c r="U29" s="199">
        <v>32490.9960760045</v>
      </c>
      <c r="V29" s="199">
        <v>14212.4357104394</v>
      </c>
      <c r="W29" s="199">
        <v>63309.940891957325</v>
      </c>
      <c r="X29" s="199">
        <v>39978.369262260007</v>
      </c>
      <c r="Y29" s="199">
        <v>747258.75922930089</v>
      </c>
      <c r="Z29" s="200">
        <v>688305.74981783645</v>
      </c>
      <c r="AA29" s="207">
        <v>0</v>
      </c>
      <c r="AB29" s="208">
        <v>0</v>
      </c>
      <c r="AC29" s="208">
        <v>0</v>
      </c>
      <c r="AD29" s="208">
        <v>0</v>
      </c>
      <c r="AE29" s="208">
        <v>0</v>
      </c>
      <c r="AF29" s="208">
        <v>0</v>
      </c>
      <c r="AG29" s="208">
        <v>0</v>
      </c>
      <c r="AH29" s="208">
        <v>0</v>
      </c>
      <c r="AI29" s="208">
        <v>0</v>
      </c>
      <c r="AJ29" s="208">
        <v>935894.99830277555</v>
      </c>
      <c r="AK29" s="209">
        <v>862060.03021221666</v>
      </c>
      <c r="AL29" s="216">
        <v>4638.1048519656715</v>
      </c>
      <c r="AM29" s="217">
        <v>2838.5201694029902</v>
      </c>
      <c r="AN29" s="217">
        <v>962.40675678287653</v>
      </c>
      <c r="AO29" s="217">
        <v>1174.2777580582822</v>
      </c>
      <c r="AP29" s="217">
        <v>4932.7491458457143</v>
      </c>
      <c r="AQ29" s="217">
        <v>714.08782584625283</v>
      </c>
      <c r="AR29" s="217">
        <v>312.36122440526151</v>
      </c>
      <c r="AS29" s="217">
        <v>1391.4272723507106</v>
      </c>
      <c r="AT29" s="217">
        <v>878.6454782914285</v>
      </c>
      <c r="AU29" s="217">
        <v>21896.419456486492</v>
      </c>
      <c r="AV29" s="218">
        <v>20168.959180708694</v>
      </c>
      <c r="AX29" s="4"/>
      <c r="AY29" s="4"/>
      <c r="AZ29" s="4"/>
      <c r="BA29" s="4"/>
    </row>
    <row r="30" spans="2:53" x14ac:dyDescent="0.2">
      <c r="B30" s="259">
        <f t="shared" si="0"/>
        <v>2049</v>
      </c>
      <c r="C30" s="226">
        <f t="shared" si="1"/>
        <v>2243.072145882285</v>
      </c>
      <c r="D30" s="227">
        <f t="shared" si="2"/>
        <v>1826.3712925625639</v>
      </c>
      <c r="E30" s="228">
        <f t="shared" si="6"/>
        <v>60.389410967861316</v>
      </c>
      <c r="F30" s="287">
        <f>SUM(C30,D30*Coefficients!$C$76,E30*Coefficients!$C$77)*1000</f>
        <v>69384662.24411732</v>
      </c>
      <c r="H30" s="235">
        <f t="shared" si="3"/>
        <v>0.60800277290668459</v>
      </c>
      <c r="I30" s="236">
        <f t="shared" si="4"/>
        <v>0.65847003371399637</v>
      </c>
      <c r="J30" s="237">
        <f t="shared" si="5"/>
        <v>0.91112851076787138</v>
      </c>
      <c r="K30" s="287">
        <f>SUM(H30,I30*Coefficients!$C$76,J30*Coefficients!$C$77)*1000</f>
        <v>260494.21907038448</v>
      </c>
      <c r="O30" s="94">
        <v>2049</v>
      </c>
      <c r="P30" s="198">
        <v>211356.4024517627</v>
      </c>
      <c r="Q30" s="199">
        <v>107791.76525039895</v>
      </c>
      <c r="R30" s="199">
        <v>43856.453508740749</v>
      </c>
      <c r="S30" s="199">
        <v>53788.584265948906</v>
      </c>
      <c r="T30" s="199">
        <v>225947.89969694801</v>
      </c>
      <c r="U30" s="199">
        <v>32709.274215779744</v>
      </c>
      <c r="V30" s="199">
        <v>14307.916440586698</v>
      </c>
      <c r="W30" s="199">
        <v>63735.26414443164</v>
      </c>
      <c r="X30" s="199">
        <v>39978.369262260007</v>
      </c>
      <c r="Y30" s="199">
        <v>754564.80878590723</v>
      </c>
      <c r="Z30" s="200">
        <v>695035.40785952029</v>
      </c>
      <c r="AA30" s="207">
        <v>0</v>
      </c>
      <c r="AB30" s="208">
        <v>0</v>
      </c>
      <c r="AC30" s="208">
        <v>0</v>
      </c>
      <c r="AD30" s="208">
        <v>0</v>
      </c>
      <c r="AE30" s="208">
        <v>0</v>
      </c>
      <c r="AF30" s="208">
        <v>0</v>
      </c>
      <c r="AG30" s="208">
        <v>0</v>
      </c>
      <c r="AH30" s="208">
        <v>0</v>
      </c>
      <c r="AI30" s="208">
        <v>0</v>
      </c>
      <c r="AJ30" s="208">
        <v>950686.60263702797</v>
      </c>
      <c r="AK30" s="209">
        <v>875684.68992553593</v>
      </c>
      <c r="AL30" s="216">
        <v>4645.1956582804987</v>
      </c>
      <c r="AM30" s="217">
        <v>2842.8597428676649</v>
      </c>
      <c r="AN30" s="217">
        <v>963.87809909320322</v>
      </c>
      <c r="AO30" s="217">
        <v>1182.1666871637126</v>
      </c>
      <c r="AP30" s="217">
        <v>4965.8879054274284</v>
      </c>
      <c r="AQ30" s="217">
        <v>718.88514759955478</v>
      </c>
      <c r="AR30" s="217">
        <v>314.45970199091647</v>
      </c>
      <c r="AS30" s="217">
        <v>1400.7750361413548</v>
      </c>
      <c r="AT30" s="217">
        <v>878.6454782914285</v>
      </c>
      <c r="AU30" s="217">
        <v>22110.503699307981</v>
      </c>
      <c r="AV30" s="218">
        <v>20366.153811697575</v>
      </c>
      <c r="AX30" s="4"/>
      <c r="AY30" s="4"/>
      <c r="AZ30" s="4"/>
      <c r="BA30" s="4"/>
    </row>
    <row r="31" spans="2:53" ht="17" thickBot="1" x14ac:dyDescent="0.25">
      <c r="B31" s="95">
        <f t="shared" si="0"/>
        <v>2050</v>
      </c>
      <c r="C31" s="229">
        <f t="shared" si="1"/>
        <v>2268.1017134778631</v>
      </c>
      <c r="D31" s="230">
        <f t="shared" si="2"/>
        <v>1851.8261410649334</v>
      </c>
      <c r="E31" s="231">
        <f>SUM(AL31:AV31)/1000</f>
        <v>61.100414248763684</v>
      </c>
      <c r="F31" s="288">
        <f>SUM(C31,D31*Coefficients!$C$76,E31*Coefficients!$C$77)*1000</f>
        <v>70310843.439218372</v>
      </c>
      <c r="H31" s="238">
        <f t="shared" si="3"/>
        <v>0.61629440883353437</v>
      </c>
      <c r="I31" s="239">
        <f t="shared" si="4"/>
        <v>0.66761948522649039</v>
      </c>
      <c r="J31" s="240">
        <f t="shared" si="5"/>
        <v>0.9148708642555462</v>
      </c>
      <c r="K31" s="288">
        <f>SUM(H31,I31*Coefficients!$C$76,J31*Coefficients!$C$77)*1000</f>
        <v>261750.41902289502</v>
      </c>
      <c r="O31" s="81">
        <v>2050</v>
      </c>
      <c r="P31" s="201">
        <v>211679.03413908745</v>
      </c>
      <c r="Q31" s="202">
        <v>107956.30741093458</v>
      </c>
      <c r="R31" s="202">
        <v>43923.39958386065</v>
      </c>
      <c r="S31" s="202">
        <v>54147.530540246</v>
      </c>
      <c r="T31" s="202">
        <v>227455.71325791607</v>
      </c>
      <c r="U31" s="202">
        <v>32927.552355555003</v>
      </c>
      <c r="V31" s="202">
        <v>14403.397170733999</v>
      </c>
      <c r="W31" s="202">
        <v>64160.587396906012</v>
      </c>
      <c r="X31" s="202">
        <v>39978.369262260007</v>
      </c>
      <c r="Y31" s="202">
        <v>765948.66115087271</v>
      </c>
      <c r="Z31" s="203">
        <v>705521.16120949038</v>
      </c>
      <c r="AA31" s="210">
        <v>0</v>
      </c>
      <c r="AB31" s="211">
        <v>0</v>
      </c>
      <c r="AC31" s="211">
        <v>0</v>
      </c>
      <c r="AD31" s="211">
        <v>0</v>
      </c>
      <c r="AE31" s="211">
        <v>0</v>
      </c>
      <c r="AF31" s="211">
        <v>0</v>
      </c>
      <c r="AG31" s="211">
        <v>0</v>
      </c>
      <c r="AH31" s="211">
        <v>0</v>
      </c>
      <c r="AI31" s="211">
        <v>0</v>
      </c>
      <c r="AJ31" s="211">
        <v>963936.69233231852</v>
      </c>
      <c r="AK31" s="212">
        <v>887889.44873261475</v>
      </c>
      <c r="AL31" s="219">
        <v>4652.2864645953277</v>
      </c>
      <c r="AM31" s="220">
        <v>2847.1993163323409</v>
      </c>
      <c r="AN31" s="220">
        <v>965.34944140353082</v>
      </c>
      <c r="AO31" s="220">
        <v>1190.0556162691428</v>
      </c>
      <c r="AP31" s="220">
        <v>4999.0266650091435</v>
      </c>
      <c r="AQ31" s="220">
        <v>723.68246935285708</v>
      </c>
      <c r="AR31" s="220">
        <v>316.55817957657143</v>
      </c>
      <c r="AS31" s="220">
        <v>1410.1227999320001</v>
      </c>
      <c r="AT31" s="220">
        <v>878.6454782914285</v>
      </c>
      <c r="AU31" s="220">
        <v>22444.077047676736</v>
      </c>
      <c r="AV31" s="221">
        <v>20673.410770324605</v>
      </c>
      <c r="AX31" s="4"/>
      <c r="AY31" s="4"/>
      <c r="AZ31" s="4"/>
      <c r="BA31" s="4"/>
    </row>
    <row r="32" spans="2:53" x14ac:dyDescent="0.2">
      <c r="P32" s="4">
        <f>SUM(P6:P11)</f>
        <v>1197021.1727760001</v>
      </c>
      <c r="Q32" s="4">
        <f t="shared" ref="Q32:AV32" si="7">SUM(Q6:Q11)</f>
        <v>610480.79811575997</v>
      </c>
      <c r="R32" s="4">
        <f t="shared" si="7"/>
        <v>248381.89335101994</v>
      </c>
      <c r="S32" s="4">
        <f t="shared" si="7"/>
        <v>259328.98192897713</v>
      </c>
      <c r="T32" s="4">
        <f t="shared" si="7"/>
        <v>1089354.5460815162</v>
      </c>
      <c r="U32" s="4">
        <f t="shared" si="7"/>
        <v>157700.05657843201</v>
      </c>
      <c r="V32" s="4">
        <f t="shared" si="7"/>
        <v>68982.246971150395</v>
      </c>
      <c r="W32" s="4">
        <f t="shared" si="7"/>
        <v>307284.55468966998</v>
      </c>
      <c r="X32" s="4">
        <f t="shared" si="7"/>
        <v>239870.21557356004</v>
      </c>
      <c r="Y32" s="4">
        <f t="shared" si="7"/>
        <v>2569034.0910028387</v>
      </c>
      <c r="Z32" s="4">
        <f t="shared" si="7"/>
        <v>2366356.9205117677</v>
      </c>
      <c r="AA32" s="4">
        <f t="shared" si="7"/>
        <v>0</v>
      </c>
      <c r="AB32" s="4">
        <f t="shared" si="7"/>
        <v>0</v>
      </c>
      <c r="AC32" s="4">
        <f t="shared" si="7"/>
        <v>0</v>
      </c>
      <c r="AD32" s="4">
        <f t="shared" si="7"/>
        <v>0</v>
      </c>
      <c r="AE32" s="4">
        <f t="shared" si="7"/>
        <v>0</v>
      </c>
      <c r="AF32" s="4">
        <f t="shared" si="7"/>
        <v>0</v>
      </c>
      <c r="AG32" s="4">
        <f t="shared" si="7"/>
        <v>0</v>
      </c>
      <c r="AH32" s="4">
        <f t="shared" si="7"/>
        <v>0</v>
      </c>
      <c r="AI32" s="4">
        <f t="shared" si="7"/>
        <v>0</v>
      </c>
      <c r="AJ32" s="4">
        <f t="shared" si="7"/>
        <v>2463531.9438191876</v>
      </c>
      <c r="AK32" s="4">
        <f t="shared" si="7"/>
        <v>2269178.0870384327</v>
      </c>
      <c r="AL32" s="4">
        <f t="shared" si="7"/>
        <v>26308.157643428574</v>
      </c>
      <c r="AM32" s="4">
        <f t="shared" si="7"/>
        <v>16100.592477778286</v>
      </c>
      <c r="AN32" s="4">
        <f t="shared" si="7"/>
        <v>5458.9427110114275</v>
      </c>
      <c r="AO32" s="4">
        <f t="shared" si="7"/>
        <v>5699.5380643731241</v>
      </c>
      <c r="AP32" s="4">
        <f t="shared" si="7"/>
        <v>23941.858155637718</v>
      </c>
      <c r="AQ32" s="4">
        <f t="shared" si="7"/>
        <v>3465.9353094160888</v>
      </c>
      <c r="AR32" s="4">
        <f t="shared" si="7"/>
        <v>1516.0933400252834</v>
      </c>
      <c r="AS32" s="4">
        <f t="shared" si="7"/>
        <v>6753.5066964762646</v>
      </c>
      <c r="AT32" s="4">
        <f t="shared" si="7"/>
        <v>5271.8728697485712</v>
      </c>
      <c r="AU32" s="4">
        <f t="shared" si="7"/>
        <v>75278.673364269227</v>
      </c>
      <c r="AV32" s="4">
        <f t="shared" si="7"/>
        <v>69339.760926623887</v>
      </c>
    </row>
    <row r="33" spans="15:48" ht="17" thickBot="1" x14ac:dyDescent="0.25">
      <c r="P33" s="4">
        <f>SUM(P6:P31)</f>
        <v>5365998.7010243945</v>
      </c>
      <c r="Q33" s="4">
        <f t="shared" ref="Q33:AV33" si="8">SUM(Q6:Q31)</f>
        <v>2736659.3375224411</v>
      </c>
      <c r="R33" s="4">
        <f t="shared" si="8"/>
        <v>1113444.7304625618</v>
      </c>
      <c r="S33" s="4">
        <f t="shared" si="8"/>
        <v>1270369.0722412744</v>
      </c>
      <c r="T33" s="4">
        <f t="shared" si="8"/>
        <v>5336396.7025729362</v>
      </c>
      <c r="U33" s="4">
        <f t="shared" si="8"/>
        <v>772521.73311969382</v>
      </c>
      <c r="V33" s="4">
        <f t="shared" si="8"/>
        <v>337921.78735294222</v>
      </c>
      <c r="W33" s="4">
        <f t="shared" si="8"/>
        <v>1505287.9618449244</v>
      </c>
      <c r="X33" s="4">
        <f t="shared" si="8"/>
        <v>1039437.6008187607</v>
      </c>
      <c r="Y33" s="4">
        <f t="shared" si="8"/>
        <v>15625096.594245439</v>
      </c>
      <c r="Z33" s="4">
        <f t="shared" si="8"/>
        <v>14392395.799241535</v>
      </c>
      <c r="AA33" s="4">
        <f t="shared" si="8"/>
        <v>0</v>
      </c>
      <c r="AB33" s="4">
        <f t="shared" si="8"/>
        <v>0</v>
      </c>
      <c r="AC33" s="4">
        <f t="shared" si="8"/>
        <v>0</v>
      </c>
      <c r="AD33" s="4">
        <f t="shared" si="8"/>
        <v>0</v>
      </c>
      <c r="AE33" s="4">
        <f t="shared" si="8"/>
        <v>0</v>
      </c>
      <c r="AF33" s="4">
        <f t="shared" si="8"/>
        <v>0</v>
      </c>
      <c r="AG33" s="4">
        <f t="shared" si="8"/>
        <v>0</v>
      </c>
      <c r="AH33" s="4">
        <f t="shared" si="8"/>
        <v>0</v>
      </c>
      <c r="AI33" s="4">
        <f t="shared" si="8"/>
        <v>0</v>
      </c>
      <c r="AJ33" s="4">
        <f t="shared" si="8"/>
        <v>18495925.342822619</v>
      </c>
      <c r="AK33" s="4">
        <f t="shared" si="8"/>
        <v>17036738.083600976</v>
      </c>
      <c r="AL33" s="4">
        <f t="shared" si="8"/>
        <v>117934.03738515155</v>
      </c>
      <c r="AM33" s="4">
        <f t="shared" si="8"/>
        <v>72175.630879712728</v>
      </c>
      <c r="AN33" s="4">
        <f t="shared" si="8"/>
        <v>24471.312757418942</v>
      </c>
      <c r="AO33" s="4">
        <f t="shared" si="8"/>
        <v>27920.199389918118</v>
      </c>
      <c r="AP33" s="4">
        <f t="shared" si="8"/>
        <v>117283.44401259199</v>
      </c>
      <c r="AQ33" s="4">
        <f t="shared" si="8"/>
        <v>16978.499629004262</v>
      </c>
      <c r="AR33" s="4">
        <f t="shared" si="8"/>
        <v>7426.8524692954334</v>
      </c>
      <c r="AS33" s="4">
        <f t="shared" si="8"/>
        <v>33083.25190867966</v>
      </c>
      <c r="AT33" s="4">
        <f t="shared" si="8"/>
        <v>22844.782435577148</v>
      </c>
      <c r="AU33" s="4">
        <f t="shared" si="8"/>
        <v>457851.66764533147</v>
      </c>
      <c r="AV33" s="4">
        <f t="shared" si="8"/>
        <v>421730.6676056821</v>
      </c>
    </row>
    <row r="34" spans="15:48" ht="17" thickBot="1" x14ac:dyDescent="0.25">
      <c r="P34" s="332" t="s">
        <v>355</v>
      </c>
      <c r="Q34" s="333"/>
      <c r="R34" s="333"/>
      <c r="S34" s="333"/>
      <c r="T34" s="333"/>
      <c r="U34" s="333"/>
      <c r="V34" s="333"/>
      <c r="W34" s="333"/>
      <c r="X34" s="333"/>
      <c r="Y34" s="333"/>
      <c r="Z34" s="333"/>
      <c r="AA34" s="333"/>
      <c r="AB34" s="333"/>
      <c r="AC34" s="333"/>
      <c r="AD34" s="333"/>
      <c r="AE34" s="333"/>
      <c r="AF34" s="333"/>
      <c r="AG34" s="333"/>
      <c r="AH34" s="333"/>
      <c r="AI34" s="333"/>
      <c r="AJ34" s="333"/>
      <c r="AK34" s="333"/>
      <c r="AL34" s="333"/>
      <c r="AM34" s="333"/>
      <c r="AN34" s="333"/>
      <c r="AO34" s="333"/>
      <c r="AP34" s="333"/>
      <c r="AQ34" s="333"/>
      <c r="AR34" s="333"/>
      <c r="AS34" s="333"/>
      <c r="AT34" s="333"/>
      <c r="AU34" s="333"/>
      <c r="AV34" s="334"/>
    </row>
    <row r="35" spans="15:48" ht="17" thickBot="1" x14ac:dyDescent="0.25">
      <c r="O35" s="2"/>
      <c r="P35" s="335" t="s">
        <v>325</v>
      </c>
      <c r="Q35" s="336"/>
      <c r="R35" s="336"/>
      <c r="S35" s="336"/>
      <c r="T35" s="336"/>
      <c r="U35" s="336"/>
      <c r="V35" s="336"/>
      <c r="W35" s="336"/>
      <c r="X35" s="336"/>
      <c r="Y35" s="336"/>
      <c r="Z35" s="337"/>
      <c r="AA35" s="338" t="s">
        <v>326</v>
      </c>
      <c r="AB35" s="339"/>
      <c r="AC35" s="339"/>
      <c r="AD35" s="339"/>
      <c r="AE35" s="339"/>
      <c r="AF35" s="339"/>
      <c r="AG35" s="339"/>
      <c r="AH35" s="339"/>
      <c r="AI35" s="339"/>
      <c r="AJ35" s="339"/>
      <c r="AK35" s="340"/>
      <c r="AL35" s="320" t="s">
        <v>327</v>
      </c>
      <c r="AM35" s="321"/>
      <c r="AN35" s="321"/>
      <c r="AO35" s="321"/>
      <c r="AP35" s="321"/>
      <c r="AQ35" s="321"/>
      <c r="AR35" s="321"/>
      <c r="AS35" s="321"/>
      <c r="AT35" s="321"/>
      <c r="AU35" s="321"/>
      <c r="AV35" s="322"/>
    </row>
    <row r="36" spans="15:48" ht="17" thickBot="1" x14ac:dyDescent="0.25">
      <c r="O36" s="53"/>
      <c r="P36" s="341" t="s">
        <v>14</v>
      </c>
      <c r="Q36" s="341"/>
      <c r="R36" s="341"/>
      <c r="S36" s="341" t="s">
        <v>328</v>
      </c>
      <c r="T36" s="341"/>
      <c r="U36" s="341"/>
      <c r="V36" s="341"/>
      <c r="W36" s="341"/>
      <c r="X36" s="222" t="s">
        <v>27</v>
      </c>
      <c r="Y36" s="341" t="s">
        <v>219</v>
      </c>
      <c r="Z36" s="341"/>
      <c r="AA36" s="341" t="s">
        <v>14</v>
      </c>
      <c r="AB36" s="341"/>
      <c r="AC36" s="341"/>
      <c r="AD36" s="341" t="s">
        <v>328</v>
      </c>
      <c r="AE36" s="341"/>
      <c r="AF36" s="341"/>
      <c r="AG36" s="341"/>
      <c r="AH36" s="341"/>
      <c r="AI36" s="222" t="s">
        <v>27</v>
      </c>
      <c r="AJ36" s="341" t="s">
        <v>219</v>
      </c>
      <c r="AK36" s="341"/>
      <c r="AL36" s="341" t="s">
        <v>14</v>
      </c>
      <c r="AM36" s="341"/>
      <c r="AN36" s="341"/>
      <c r="AO36" s="341" t="s">
        <v>328</v>
      </c>
      <c r="AP36" s="341"/>
      <c r="AQ36" s="341"/>
      <c r="AR36" s="341"/>
      <c r="AS36" s="341"/>
      <c r="AT36" s="222" t="s">
        <v>27</v>
      </c>
      <c r="AU36" s="341" t="s">
        <v>219</v>
      </c>
      <c r="AV36" s="341"/>
    </row>
    <row r="37" spans="15:48" ht="17" thickBot="1" x14ac:dyDescent="0.25">
      <c r="O37" s="73" t="s">
        <v>57</v>
      </c>
      <c r="P37" s="73" t="s">
        <v>329</v>
      </c>
      <c r="Q37" s="73" t="s">
        <v>330</v>
      </c>
      <c r="R37" s="73" t="s">
        <v>331</v>
      </c>
      <c r="S37" s="73" t="s">
        <v>332</v>
      </c>
      <c r="T37" s="73" t="s">
        <v>333</v>
      </c>
      <c r="U37" s="73" t="s">
        <v>334</v>
      </c>
      <c r="V37" s="73" t="s">
        <v>335</v>
      </c>
      <c r="W37" s="73" t="s">
        <v>336</v>
      </c>
      <c r="X37" s="73" t="s">
        <v>337</v>
      </c>
      <c r="Y37" s="73" t="s">
        <v>338</v>
      </c>
      <c r="Z37" s="73" t="s">
        <v>339</v>
      </c>
      <c r="AA37" s="73" t="s">
        <v>329</v>
      </c>
      <c r="AB37" s="73" t="s">
        <v>330</v>
      </c>
      <c r="AC37" s="73" t="s">
        <v>331</v>
      </c>
      <c r="AD37" s="73" t="s">
        <v>332</v>
      </c>
      <c r="AE37" s="73" t="s">
        <v>333</v>
      </c>
      <c r="AF37" s="73" t="s">
        <v>334</v>
      </c>
      <c r="AG37" s="73" t="s">
        <v>335</v>
      </c>
      <c r="AH37" s="73" t="s">
        <v>336</v>
      </c>
      <c r="AI37" s="73" t="s">
        <v>337</v>
      </c>
      <c r="AJ37" s="73" t="s">
        <v>338</v>
      </c>
      <c r="AK37" s="73" t="s">
        <v>339</v>
      </c>
      <c r="AL37" s="73" t="s">
        <v>329</v>
      </c>
      <c r="AM37" s="73" t="s">
        <v>330</v>
      </c>
      <c r="AN37" s="73" t="s">
        <v>331</v>
      </c>
      <c r="AO37" s="73" t="s">
        <v>332</v>
      </c>
      <c r="AP37" s="73" t="s">
        <v>333</v>
      </c>
      <c r="AQ37" s="73" t="s">
        <v>334</v>
      </c>
      <c r="AR37" s="73" t="s">
        <v>335</v>
      </c>
      <c r="AS37" s="73" t="s">
        <v>336</v>
      </c>
      <c r="AT37" s="73" t="s">
        <v>337</v>
      </c>
      <c r="AU37" s="73" t="s">
        <v>338</v>
      </c>
      <c r="AV37" s="73" t="s">
        <v>339</v>
      </c>
    </row>
    <row r="38" spans="15:48" x14ac:dyDescent="0.2">
      <c r="O38" s="93">
        <v>2025</v>
      </c>
      <c r="P38" s="232">
        <v>19.600835218331561</v>
      </c>
      <c r="Q38" s="233">
        <v>9.9964259613490931</v>
      </c>
      <c r="R38" s="233">
        <v>4.0671733078037979</v>
      </c>
      <c r="S38" s="233">
        <v>4.0905323393881092</v>
      </c>
      <c r="T38" s="233">
        <v>17.182961837355602</v>
      </c>
      <c r="U38" s="233">
        <v>2.4874858820603363</v>
      </c>
      <c r="V38" s="233">
        <v>1.0880932396380887</v>
      </c>
      <c r="W38" s="233">
        <v>4.8469607947514861</v>
      </c>
      <c r="X38" s="233">
        <v>3.9978369262260007</v>
      </c>
      <c r="Y38" s="233">
        <v>129.82115391568007</v>
      </c>
      <c r="Z38" s="234">
        <v>119.57925629444416</v>
      </c>
      <c r="AA38" s="241">
        <v>0</v>
      </c>
      <c r="AB38" s="242">
        <v>0</v>
      </c>
      <c r="AC38" s="242">
        <v>0</v>
      </c>
      <c r="AD38" s="242">
        <v>0</v>
      </c>
      <c r="AE38" s="242">
        <v>0</v>
      </c>
      <c r="AF38" s="242">
        <v>0</v>
      </c>
      <c r="AG38" s="242">
        <v>0</v>
      </c>
      <c r="AH38" s="242">
        <v>0</v>
      </c>
      <c r="AI38" s="242">
        <v>0</v>
      </c>
      <c r="AJ38" s="242">
        <v>60.381932053804682</v>
      </c>
      <c r="AK38" s="243">
        <v>55.618258741601942</v>
      </c>
      <c r="AL38" s="250">
        <v>215.39379360803915</v>
      </c>
      <c r="AM38" s="251">
        <v>131.82100168811994</v>
      </c>
      <c r="AN38" s="251">
        <v>44.694212173668113</v>
      </c>
      <c r="AO38" s="251">
        <v>44.950904828440763</v>
      </c>
      <c r="AP38" s="251">
        <v>188.82375645445714</v>
      </c>
      <c r="AQ38" s="251">
        <v>27.335009692970729</v>
      </c>
      <c r="AR38" s="251">
        <v>11.957068567451524</v>
      </c>
      <c r="AS38" s="251">
        <v>53.263305436829526</v>
      </c>
      <c r="AT38" s="251">
        <v>43.932273914571425</v>
      </c>
      <c r="AU38" s="251">
        <v>3.8040617193896948</v>
      </c>
      <c r="AV38" s="252">
        <v>3.5039503007209221</v>
      </c>
    </row>
    <row r="39" spans="15:48" x14ac:dyDescent="0.2">
      <c r="O39" s="94">
        <v>2026</v>
      </c>
      <c r="P39" s="235">
        <v>19.740642282838941</v>
      </c>
      <c r="Q39" s="236">
        <v>10.067727564247855</v>
      </c>
      <c r="R39" s="236">
        <v>4.0961832736890775</v>
      </c>
      <c r="S39" s="236">
        <v>4.1831792831593786</v>
      </c>
      <c r="T39" s="236">
        <v>17.572140742956808</v>
      </c>
      <c r="U39" s="236">
        <v>2.5438252397590819</v>
      </c>
      <c r="V39" s="236">
        <v>1.1127375902571894</v>
      </c>
      <c r="W39" s="236">
        <v>4.9567401747820252</v>
      </c>
      <c r="X39" s="236">
        <v>3.9978369262260007</v>
      </c>
      <c r="Y39" s="236">
        <v>140.53672884994754</v>
      </c>
      <c r="Z39" s="237">
        <v>129.44945419947393</v>
      </c>
      <c r="AA39" s="244">
        <v>0</v>
      </c>
      <c r="AB39" s="245">
        <v>0</v>
      </c>
      <c r="AC39" s="245">
        <v>0</v>
      </c>
      <c r="AD39" s="245">
        <v>0</v>
      </c>
      <c r="AE39" s="245">
        <v>0</v>
      </c>
      <c r="AF39" s="245">
        <v>0</v>
      </c>
      <c r="AG39" s="245">
        <v>0</v>
      </c>
      <c r="AH39" s="245">
        <v>0</v>
      </c>
      <c r="AI39" s="245">
        <v>0</v>
      </c>
      <c r="AJ39" s="245">
        <v>125.74785244912913</v>
      </c>
      <c r="AK39" s="246">
        <v>115.82730720647355</v>
      </c>
      <c r="AL39" s="253">
        <v>216.93013497625208</v>
      </c>
      <c r="AM39" s="254">
        <v>132.76124260546621</v>
      </c>
      <c r="AN39" s="254">
        <v>45.013003007572294</v>
      </c>
      <c r="AO39" s="254">
        <v>45.969003111641527</v>
      </c>
      <c r="AP39" s="254">
        <v>193.10044772480001</v>
      </c>
      <c r="AQ39" s="254">
        <v>27.954123513836063</v>
      </c>
      <c r="AR39" s="254">
        <v>12.227885607221861</v>
      </c>
      <c r="AS39" s="254">
        <v>54.469672250351906</v>
      </c>
      <c r="AT39" s="254">
        <v>43.932273914571425</v>
      </c>
      <c r="AU39" s="254">
        <v>4.1180529849054395</v>
      </c>
      <c r="AV39" s="255">
        <v>3.7931700532869108</v>
      </c>
    </row>
    <row r="40" spans="15:48" x14ac:dyDescent="0.2">
      <c r="O40" s="94">
        <v>2027</v>
      </c>
      <c r="P40" s="235">
        <v>19.880449347346314</v>
      </c>
      <c r="Q40" s="236">
        <v>10.139029167146621</v>
      </c>
      <c r="R40" s="236">
        <v>4.1251932395743598</v>
      </c>
      <c r="S40" s="236">
        <v>4.2758262269306497</v>
      </c>
      <c r="T40" s="236">
        <v>17.961319648558007</v>
      </c>
      <c r="U40" s="236">
        <v>2.6001645974578276</v>
      </c>
      <c r="V40" s="236">
        <v>1.1373819408762895</v>
      </c>
      <c r="W40" s="236">
        <v>5.0665195548125643</v>
      </c>
      <c r="X40" s="236">
        <v>3.9978369262260007</v>
      </c>
      <c r="Y40" s="236">
        <v>151.25230378421494</v>
      </c>
      <c r="Z40" s="237">
        <v>139.31965210450366</v>
      </c>
      <c r="AA40" s="244">
        <v>0</v>
      </c>
      <c r="AB40" s="245">
        <v>0</v>
      </c>
      <c r="AC40" s="245">
        <v>0</v>
      </c>
      <c r="AD40" s="245">
        <v>0</v>
      </c>
      <c r="AE40" s="245">
        <v>0</v>
      </c>
      <c r="AF40" s="245">
        <v>0</v>
      </c>
      <c r="AG40" s="245">
        <v>0</v>
      </c>
      <c r="AH40" s="245">
        <v>0</v>
      </c>
      <c r="AI40" s="245">
        <v>0</v>
      </c>
      <c r="AJ40" s="245">
        <v>149.03035621227528</v>
      </c>
      <c r="AK40" s="246">
        <v>137.27299922734338</v>
      </c>
      <c r="AL40" s="253">
        <v>218.46647634446501</v>
      </c>
      <c r="AM40" s="254">
        <v>133.70148352281257</v>
      </c>
      <c r="AN40" s="254">
        <v>45.331793841476475</v>
      </c>
      <c r="AO40" s="254">
        <v>46.987101394842313</v>
      </c>
      <c r="AP40" s="254">
        <v>197.3771389951429</v>
      </c>
      <c r="AQ40" s="254">
        <v>28.573237334701407</v>
      </c>
      <c r="AR40" s="254">
        <v>12.498702646992195</v>
      </c>
      <c r="AS40" s="254">
        <v>55.676039063874342</v>
      </c>
      <c r="AT40" s="254">
        <v>43.932273914571425</v>
      </c>
      <c r="AU40" s="254">
        <v>4.4320442504211828</v>
      </c>
      <c r="AV40" s="255">
        <v>4.0823898058528973</v>
      </c>
    </row>
    <row r="41" spans="15:48" x14ac:dyDescent="0.2">
      <c r="O41" s="94">
        <v>2028</v>
      </c>
      <c r="P41" s="235">
        <v>20.020256411853691</v>
      </c>
      <c r="Q41" s="236">
        <v>10.210330770045378</v>
      </c>
      <c r="R41" s="236">
        <v>4.1542032054596385</v>
      </c>
      <c r="S41" s="236">
        <v>4.3684731707019209</v>
      </c>
      <c r="T41" s="236">
        <v>18.350498554159202</v>
      </c>
      <c r="U41" s="236">
        <v>2.6565039551565737</v>
      </c>
      <c r="V41" s="236">
        <v>1.1620262914953901</v>
      </c>
      <c r="W41" s="236">
        <v>5.1762989348431026</v>
      </c>
      <c r="X41" s="236">
        <v>3.9978369262260007</v>
      </c>
      <c r="Y41" s="236">
        <v>162.85658969122187</v>
      </c>
      <c r="Z41" s="237">
        <v>150.00844847346264</v>
      </c>
      <c r="AA41" s="244">
        <v>0</v>
      </c>
      <c r="AB41" s="245">
        <v>0</v>
      </c>
      <c r="AC41" s="245">
        <v>0</v>
      </c>
      <c r="AD41" s="245">
        <v>0</v>
      </c>
      <c r="AE41" s="245">
        <v>0</v>
      </c>
      <c r="AF41" s="245">
        <v>0</v>
      </c>
      <c r="AG41" s="245">
        <v>0</v>
      </c>
      <c r="AH41" s="245">
        <v>0</v>
      </c>
      <c r="AI41" s="245">
        <v>0</v>
      </c>
      <c r="AJ41" s="245">
        <v>173.82520902094112</v>
      </c>
      <c r="AK41" s="246">
        <v>160.11172750360126</v>
      </c>
      <c r="AL41" s="253">
        <v>220.00281771267788</v>
      </c>
      <c r="AM41" s="254">
        <v>134.64172444015884</v>
      </c>
      <c r="AN41" s="254">
        <v>45.650584675380649</v>
      </c>
      <c r="AO41" s="254">
        <v>48.005199678043084</v>
      </c>
      <c r="AP41" s="254">
        <v>201.65383026548574</v>
      </c>
      <c r="AQ41" s="254">
        <v>29.19235115556674</v>
      </c>
      <c r="AR41" s="254">
        <v>12.769519686762528</v>
      </c>
      <c r="AS41" s="254">
        <v>56.882405877396721</v>
      </c>
      <c r="AT41" s="254">
        <v>43.932273914571425</v>
      </c>
      <c r="AU41" s="254">
        <v>4.7720768142078978</v>
      </c>
      <c r="AV41" s="255">
        <v>4.3955963971293706</v>
      </c>
    </row>
    <row r="42" spans="15:48" x14ac:dyDescent="0.2">
      <c r="O42" s="94">
        <v>2029</v>
      </c>
      <c r="P42" s="235">
        <v>20.160063476361074</v>
      </c>
      <c r="Q42" s="236">
        <v>10.281632372944145</v>
      </c>
      <c r="R42" s="236">
        <v>4.1832131713449208</v>
      </c>
      <c r="S42" s="236">
        <v>4.461120114473192</v>
      </c>
      <c r="T42" s="236">
        <v>18.739677459760404</v>
      </c>
      <c r="U42" s="236">
        <v>2.7128433128553189</v>
      </c>
      <c r="V42" s="236">
        <v>1.186670642114491</v>
      </c>
      <c r="W42" s="236">
        <v>5.2860783148736408</v>
      </c>
      <c r="X42" s="236">
        <v>3.9978369262260007</v>
      </c>
      <c r="Y42" s="236">
        <v>172.68345365274985</v>
      </c>
      <c r="Z42" s="237">
        <v>159.06004791456314</v>
      </c>
      <c r="AA42" s="244">
        <v>0</v>
      </c>
      <c r="AB42" s="245">
        <v>0</v>
      </c>
      <c r="AC42" s="245">
        <v>0</v>
      </c>
      <c r="AD42" s="245">
        <v>0</v>
      </c>
      <c r="AE42" s="245">
        <v>0</v>
      </c>
      <c r="AF42" s="245">
        <v>0</v>
      </c>
      <c r="AG42" s="245">
        <v>0</v>
      </c>
      <c r="AH42" s="245">
        <v>0</v>
      </c>
      <c r="AI42" s="245">
        <v>0</v>
      </c>
      <c r="AJ42" s="245">
        <v>187.81457399661554</v>
      </c>
      <c r="AK42" s="246">
        <v>172.9974384171648</v>
      </c>
      <c r="AL42" s="253">
        <v>221.5391590808909</v>
      </c>
      <c r="AM42" s="254">
        <v>135.5819653575052</v>
      </c>
      <c r="AN42" s="254">
        <v>45.969375509284845</v>
      </c>
      <c r="AO42" s="254">
        <v>49.02329796124387</v>
      </c>
      <c r="AP42" s="254">
        <v>205.93052153582857</v>
      </c>
      <c r="AQ42" s="254">
        <v>29.811464976432081</v>
      </c>
      <c r="AR42" s="254">
        <v>13.040336726532866</v>
      </c>
      <c r="AS42" s="254">
        <v>58.088772690919136</v>
      </c>
      <c r="AT42" s="254">
        <v>43.932273914571425</v>
      </c>
      <c r="AU42" s="254">
        <v>5.0600267814526703</v>
      </c>
      <c r="AV42" s="255">
        <v>4.6608293109848731</v>
      </c>
    </row>
    <row r="43" spans="15:48" x14ac:dyDescent="0.2">
      <c r="O43" s="94">
        <v>2030</v>
      </c>
      <c r="P43" s="235">
        <v>20.299870540868444</v>
      </c>
      <c r="Q43" s="236">
        <v>10.352933975842904</v>
      </c>
      <c r="R43" s="236">
        <v>4.2122231372302021</v>
      </c>
      <c r="S43" s="236">
        <v>4.553767058244464</v>
      </c>
      <c r="T43" s="236">
        <v>19.128856365361603</v>
      </c>
      <c r="U43" s="236">
        <v>2.7691826705540659</v>
      </c>
      <c r="V43" s="236">
        <v>1.2113149927335916</v>
      </c>
      <c r="W43" s="236">
        <v>5.3958576949041817</v>
      </c>
      <c r="X43" s="236">
        <v>3.9978369262260007</v>
      </c>
      <c r="Y43" s="236">
        <v>179.7523669601724</v>
      </c>
      <c r="Z43" s="237">
        <v>165.57127794615346</v>
      </c>
      <c r="AA43" s="244">
        <v>0</v>
      </c>
      <c r="AB43" s="245">
        <v>0</v>
      </c>
      <c r="AC43" s="245">
        <v>0</v>
      </c>
      <c r="AD43" s="245">
        <v>0</v>
      </c>
      <c r="AE43" s="245">
        <v>0</v>
      </c>
      <c r="AF43" s="245">
        <v>0</v>
      </c>
      <c r="AG43" s="245">
        <v>0</v>
      </c>
      <c r="AH43" s="245">
        <v>0</v>
      </c>
      <c r="AI43" s="245">
        <v>0</v>
      </c>
      <c r="AJ43" s="245">
        <v>199.93611521842249</v>
      </c>
      <c r="AK43" s="246">
        <v>184.16268260677955</v>
      </c>
      <c r="AL43" s="253">
        <v>223.07550044910377</v>
      </c>
      <c r="AM43" s="254">
        <v>136.5222062748515</v>
      </c>
      <c r="AN43" s="254">
        <v>46.288166343189026</v>
      </c>
      <c r="AO43" s="254">
        <v>50.041396244444655</v>
      </c>
      <c r="AP43" s="254">
        <v>210.20721280617147</v>
      </c>
      <c r="AQ43" s="254">
        <v>30.430578797297429</v>
      </c>
      <c r="AR43" s="254">
        <v>13.311153766303201</v>
      </c>
      <c r="AS43" s="254">
        <v>59.295139504441551</v>
      </c>
      <c r="AT43" s="254">
        <v>43.932273914571425</v>
      </c>
      <c r="AU43" s="254">
        <v>5.2671623806934242</v>
      </c>
      <c r="AV43" s="255">
        <v>4.8516234933058922</v>
      </c>
    </row>
    <row r="44" spans="15:48" x14ac:dyDescent="0.2">
      <c r="O44" s="94">
        <v>2031</v>
      </c>
      <c r="P44" s="235">
        <v>20.38129663338373</v>
      </c>
      <c r="Q44" s="236">
        <v>10.394461283025699</v>
      </c>
      <c r="R44" s="236">
        <v>4.2291190514271229</v>
      </c>
      <c r="S44" s="236">
        <v>4.6148849373815333</v>
      </c>
      <c r="T44" s="236">
        <v>19.385592187904805</v>
      </c>
      <c r="U44" s="236">
        <v>2.8063489484076896</v>
      </c>
      <c r="V44" s="236">
        <v>1.2275725224613752</v>
      </c>
      <c r="W44" s="236">
        <v>5.4682776000552176</v>
      </c>
      <c r="X44" s="236">
        <v>3.9978369262260007</v>
      </c>
      <c r="Y44" s="236">
        <v>186.82128026759489</v>
      </c>
      <c r="Z44" s="237">
        <v>172.08250797774377</v>
      </c>
      <c r="AA44" s="244">
        <v>0</v>
      </c>
      <c r="AB44" s="245">
        <v>0</v>
      </c>
      <c r="AC44" s="245">
        <v>0</v>
      </c>
      <c r="AD44" s="245">
        <v>0</v>
      </c>
      <c r="AE44" s="245">
        <v>0</v>
      </c>
      <c r="AF44" s="245">
        <v>0</v>
      </c>
      <c r="AG44" s="245">
        <v>0</v>
      </c>
      <c r="AH44" s="245">
        <v>0</v>
      </c>
      <c r="AI44" s="245">
        <v>0</v>
      </c>
      <c r="AJ44" s="245">
        <v>210.83424722123306</v>
      </c>
      <c r="AK44" s="246">
        <v>194.2010352218025</v>
      </c>
      <c r="AL44" s="253">
        <v>223.9702926745465</v>
      </c>
      <c r="AM44" s="254">
        <v>137.06981911682243</v>
      </c>
      <c r="AN44" s="254">
        <v>46.473835729968386</v>
      </c>
      <c r="AO44" s="254">
        <v>50.713021289906955</v>
      </c>
      <c r="AP44" s="254">
        <v>213.02848558137148</v>
      </c>
      <c r="AQ44" s="254">
        <v>30.838999433051526</v>
      </c>
      <c r="AR44" s="254">
        <v>13.489807939135993</v>
      </c>
      <c r="AS44" s="254">
        <v>60.090962637969419</v>
      </c>
      <c r="AT44" s="254">
        <v>43.932273914571425</v>
      </c>
      <c r="AU44" s="254">
        <v>5.4742979799341756</v>
      </c>
      <c r="AV44" s="255">
        <v>5.0424176756269103</v>
      </c>
    </row>
    <row r="45" spans="15:48" x14ac:dyDescent="0.2">
      <c r="O45" s="94">
        <v>2032</v>
      </c>
      <c r="P45" s="235">
        <v>20.462722725899013</v>
      </c>
      <c r="Q45" s="236">
        <v>10.435988590208494</v>
      </c>
      <c r="R45" s="236">
        <v>4.2460149656240453</v>
      </c>
      <c r="S45" s="236">
        <v>4.6760028165186007</v>
      </c>
      <c r="T45" s="236">
        <v>19.642328010448008</v>
      </c>
      <c r="U45" s="236">
        <v>2.8435152262613124</v>
      </c>
      <c r="V45" s="236">
        <v>1.2438300521891588</v>
      </c>
      <c r="W45" s="236">
        <v>5.5406975052062526</v>
      </c>
      <c r="X45" s="236">
        <v>3.9978369262260007</v>
      </c>
      <c r="Y45" s="236">
        <v>194.95406095353741</v>
      </c>
      <c r="Z45" s="237">
        <v>179.57367437626829</v>
      </c>
      <c r="AA45" s="244">
        <v>0</v>
      </c>
      <c r="AB45" s="245">
        <v>0</v>
      </c>
      <c r="AC45" s="245">
        <v>0</v>
      </c>
      <c r="AD45" s="245">
        <v>0</v>
      </c>
      <c r="AE45" s="245">
        <v>0</v>
      </c>
      <c r="AF45" s="245">
        <v>0</v>
      </c>
      <c r="AG45" s="245">
        <v>0</v>
      </c>
      <c r="AH45" s="245">
        <v>0</v>
      </c>
      <c r="AI45" s="245">
        <v>0</v>
      </c>
      <c r="AJ45" s="245">
        <v>221.92503857418816</v>
      </c>
      <c r="AK45" s="246">
        <v>204.41684783555129</v>
      </c>
      <c r="AL45" s="253">
        <v>224.8650848999892</v>
      </c>
      <c r="AM45" s="254">
        <v>137.61743195879333</v>
      </c>
      <c r="AN45" s="254">
        <v>46.659505116747745</v>
      </c>
      <c r="AO45" s="254">
        <v>51.384646335369247</v>
      </c>
      <c r="AP45" s="254">
        <v>215.84975835657147</v>
      </c>
      <c r="AQ45" s="254">
        <v>31.247420068805617</v>
      </c>
      <c r="AR45" s="254">
        <v>13.668462111968777</v>
      </c>
      <c r="AS45" s="254">
        <v>60.886785771497273</v>
      </c>
      <c r="AT45" s="254">
        <v>43.932273914571425</v>
      </c>
      <c r="AU45" s="254">
        <v>5.7126073674757478</v>
      </c>
      <c r="AV45" s="255">
        <v>5.2619262724208848</v>
      </c>
    </row>
    <row r="46" spans="15:48" x14ac:dyDescent="0.2">
      <c r="O46" s="94">
        <v>2033</v>
      </c>
      <c r="P46" s="235">
        <v>20.5441488184143</v>
      </c>
      <c r="Q46" s="236">
        <v>10.477515897391292</v>
      </c>
      <c r="R46" s="236">
        <v>4.2629108798209669</v>
      </c>
      <c r="S46" s="236">
        <v>4.7371206956556708</v>
      </c>
      <c r="T46" s="236">
        <v>19.89906383299121</v>
      </c>
      <c r="U46" s="236">
        <v>2.8806815041149347</v>
      </c>
      <c r="V46" s="236">
        <v>1.2600875819169428</v>
      </c>
      <c r="W46" s="236">
        <v>5.6131174103572894</v>
      </c>
      <c r="X46" s="236">
        <v>3.9978369262260007</v>
      </c>
      <c r="Y46" s="236">
        <v>200.95910688243984</v>
      </c>
      <c r="Z46" s="237">
        <v>185.10496804092432</v>
      </c>
      <c r="AA46" s="244">
        <v>0</v>
      </c>
      <c r="AB46" s="245">
        <v>0</v>
      </c>
      <c r="AC46" s="245">
        <v>0</v>
      </c>
      <c r="AD46" s="245">
        <v>0</v>
      </c>
      <c r="AE46" s="245">
        <v>0</v>
      </c>
      <c r="AF46" s="245">
        <v>0</v>
      </c>
      <c r="AG46" s="245">
        <v>0</v>
      </c>
      <c r="AH46" s="245">
        <v>0</v>
      </c>
      <c r="AI46" s="245">
        <v>0</v>
      </c>
      <c r="AJ46" s="245">
        <v>232.37617383861229</v>
      </c>
      <c r="AK46" s="246">
        <v>214.04346834120625</v>
      </c>
      <c r="AL46" s="253">
        <v>225.7598771254319</v>
      </c>
      <c r="AM46" s="254">
        <v>138.16504480076426</v>
      </c>
      <c r="AN46" s="254">
        <v>46.845174503527119</v>
      </c>
      <c r="AO46" s="254">
        <v>52.056271380831539</v>
      </c>
      <c r="AP46" s="254">
        <v>218.67103113177151</v>
      </c>
      <c r="AQ46" s="254">
        <v>31.655840704559729</v>
      </c>
      <c r="AR46" s="254">
        <v>13.847116284801571</v>
      </c>
      <c r="AS46" s="254">
        <v>61.682608905025155</v>
      </c>
      <c r="AT46" s="254">
        <v>43.932273914571425</v>
      </c>
      <c r="AU46" s="254">
        <v>5.8885691784156799</v>
      </c>
      <c r="AV46" s="255">
        <v>5.424006040268945</v>
      </c>
    </row>
    <row r="47" spans="15:48" x14ac:dyDescent="0.2">
      <c r="O47" s="94">
        <v>2034</v>
      </c>
      <c r="P47" s="235">
        <v>20.625574910929586</v>
      </c>
      <c r="Q47" s="236">
        <v>10.519043204574087</v>
      </c>
      <c r="R47" s="236">
        <v>4.2798067940178877</v>
      </c>
      <c r="S47" s="236">
        <v>4.7982385747927401</v>
      </c>
      <c r="T47" s="236">
        <v>20.155799655534405</v>
      </c>
      <c r="U47" s="236">
        <v>2.917847781968558</v>
      </c>
      <c r="V47" s="236">
        <v>1.2763451116447262</v>
      </c>
      <c r="W47" s="236">
        <v>5.6855373155083262</v>
      </c>
      <c r="X47" s="236">
        <v>3.9978369262260007</v>
      </c>
      <c r="Y47" s="236">
        <v>208.02802018986239</v>
      </c>
      <c r="Z47" s="237">
        <v>191.61619807251463</v>
      </c>
      <c r="AA47" s="244">
        <v>0</v>
      </c>
      <c r="AB47" s="245">
        <v>0</v>
      </c>
      <c r="AC47" s="245">
        <v>0</v>
      </c>
      <c r="AD47" s="245">
        <v>0</v>
      </c>
      <c r="AE47" s="245">
        <v>0</v>
      </c>
      <c r="AF47" s="245">
        <v>0</v>
      </c>
      <c r="AG47" s="245">
        <v>0</v>
      </c>
      <c r="AH47" s="245">
        <v>0</v>
      </c>
      <c r="AI47" s="245">
        <v>0</v>
      </c>
      <c r="AJ47" s="245">
        <v>242.54088402787411</v>
      </c>
      <c r="AK47" s="246">
        <v>223.40626052274823</v>
      </c>
      <c r="AL47" s="253">
        <v>226.65466935087457</v>
      </c>
      <c r="AM47" s="254">
        <v>138.71265764273522</v>
      </c>
      <c r="AN47" s="254">
        <v>47.03084389030645</v>
      </c>
      <c r="AO47" s="254">
        <v>52.727896426293853</v>
      </c>
      <c r="AP47" s="254">
        <v>221.4923039069715</v>
      </c>
      <c r="AQ47" s="254">
        <v>32.064261340313827</v>
      </c>
      <c r="AR47" s="254">
        <v>14.025770457634355</v>
      </c>
      <c r="AS47" s="254">
        <v>62.478432038553038</v>
      </c>
      <c r="AT47" s="254">
        <v>43.932273914571425</v>
      </c>
      <c r="AU47" s="254">
        <v>6.0957047776564321</v>
      </c>
      <c r="AV47" s="255">
        <v>5.614800222589964</v>
      </c>
    </row>
    <row r="48" spans="15:48" x14ac:dyDescent="0.2">
      <c r="O48" s="94">
        <v>2035</v>
      </c>
      <c r="P48" s="235">
        <v>20.707001003444869</v>
      </c>
      <c r="Q48" s="236">
        <v>10.560570511756881</v>
      </c>
      <c r="R48" s="236">
        <v>4.2967027082148093</v>
      </c>
      <c r="S48" s="236">
        <v>4.8593564539298084</v>
      </c>
      <c r="T48" s="236">
        <v>20.412535478077604</v>
      </c>
      <c r="U48" s="236">
        <v>2.9550140598221808</v>
      </c>
      <c r="V48" s="236">
        <v>1.2926026413725096</v>
      </c>
      <c r="W48" s="236">
        <v>5.7579572206593603</v>
      </c>
      <c r="X48" s="236">
        <v>3.9978369262260007</v>
      </c>
      <c r="Y48" s="236">
        <v>215.09693349728485</v>
      </c>
      <c r="Z48" s="237">
        <v>198.12742810410492</v>
      </c>
      <c r="AA48" s="244">
        <v>0</v>
      </c>
      <c r="AB48" s="245">
        <v>0</v>
      </c>
      <c r="AC48" s="245">
        <v>0</v>
      </c>
      <c r="AD48" s="245">
        <v>0</v>
      </c>
      <c r="AE48" s="245">
        <v>0</v>
      </c>
      <c r="AF48" s="245">
        <v>0</v>
      </c>
      <c r="AG48" s="245">
        <v>0</v>
      </c>
      <c r="AH48" s="245">
        <v>0</v>
      </c>
      <c r="AI48" s="245">
        <v>0</v>
      </c>
      <c r="AJ48" s="245">
        <v>253.19059159868107</v>
      </c>
      <c r="AK48" s="246">
        <v>233.21578749627633</v>
      </c>
      <c r="AL48" s="253">
        <v>227.54946157631727</v>
      </c>
      <c r="AM48" s="254">
        <v>139.26027048470613</v>
      </c>
      <c r="AN48" s="254">
        <v>47.216513277085831</v>
      </c>
      <c r="AO48" s="254">
        <v>53.399521471756124</v>
      </c>
      <c r="AP48" s="254">
        <v>224.31357668217143</v>
      </c>
      <c r="AQ48" s="254">
        <v>32.472681976067918</v>
      </c>
      <c r="AR48" s="254">
        <v>14.204424630467134</v>
      </c>
      <c r="AS48" s="254">
        <v>63.274255172080885</v>
      </c>
      <c r="AT48" s="254">
        <v>43.932273914571425</v>
      </c>
      <c r="AU48" s="254">
        <v>6.3028403768971835</v>
      </c>
      <c r="AV48" s="255">
        <v>5.8055944049109804</v>
      </c>
    </row>
    <row r="49" spans="15:48" x14ac:dyDescent="0.2">
      <c r="O49" s="94">
        <v>2036</v>
      </c>
      <c r="P49" s="235">
        <v>20.734655148072701</v>
      </c>
      <c r="Q49" s="236">
        <v>10.574674125517078</v>
      </c>
      <c r="R49" s="236">
        <v>4.3024409432250845</v>
      </c>
      <c r="S49" s="236">
        <v>4.8986465190893531</v>
      </c>
      <c r="T49" s="236">
        <v>20.577579935426805</v>
      </c>
      <c r="U49" s="236">
        <v>2.9789066670137951</v>
      </c>
      <c r="V49" s="236">
        <v>1.3030539104832275</v>
      </c>
      <c r="W49" s="236">
        <v>5.8045128739707419</v>
      </c>
      <c r="X49" s="236">
        <v>3.9978369262260007</v>
      </c>
      <c r="Y49" s="236">
        <v>220.84639717392915</v>
      </c>
      <c r="Z49" s="237">
        <v>203.42330300436649</v>
      </c>
      <c r="AA49" s="244">
        <v>0</v>
      </c>
      <c r="AB49" s="245">
        <v>0</v>
      </c>
      <c r="AC49" s="245">
        <v>0</v>
      </c>
      <c r="AD49" s="245">
        <v>0</v>
      </c>
      <c r="AE49" s="245">
        <v>0</v>
      </c>
      <c r="AF49" s="245">
        <v>0</v>
      </c>
      <c r="AG49" s="245">
        <v>0</v>
      </c>
      <c r="AH49" s="245">
        <v>0</v>
      </c>
      <c r="AI49" s="245">
        <v>0</v>
      </c>
      <c r="AJ49" s="245">
        <v>263.23171952065513</v>
      </c>
      <c r="AK49" s="246">
        <v>242.46474710764221</v>
      </c>
      <c r="AL49" s="253">
        <v>227.85335327552423</v>
      </c>
      <c r="AM49" s="254">
        <v>139.44625220462078</v>
      </c>
      <c r="AN49" s="254">
        <v>47.279570804671266</v>
      </c>
      <c r="AO49" s="254">
        <v>53.831280429553317</v>
      </c>
      <c r="AP49" s="254">
        <v>226.12725203765717</v>
      </c>
      <c r="AQ49" s="254">
        <v>32.735238099052694</v>
      </c>
      <c r="AR49" s="254">
        <v>14.319273741573923</v>
      </c>
      <c r="AS49" s="254">
        <v>63.785855757920231</v>
      </c>
      <c r="AT49" s="254">
        <v>43.932273914571425</v>
      </c>
      <c r="AU49" s="254">
        <v>6.4713130334686211</v>
      </c>
      <c r="AV49" s="255">
        <v>5.9607758554767853</v>
      </c>
    </row>
    <row r="50" spans="15:48" x14ac:dyDescent="0.2">
      <c r="O50" s="94">
        <v>2037</v>
      </c>
      <c r="P50" s="235">
        <v>20.762309292700536</v>
      </c>
      <c r="Q50" s="236">
        <v>10.588777739277274</v>
      </c>
      <c r="R50" s="236">
        <v>4.3081791782353616</v>
      </c>
      <c r="S50" s="236">
        <v>4.937936584248896</v>
      </c>
      <c r="T50" s="236">
        <v>20.742624392776001</v>
      </c>
      <c r="U50" s="236">
        <v>3.0027992742054104</v>
      </c>
      <c r="V50" s="236">
        <v>1.3135051795939456</v>
      </c>
      <c r="W50" s="236">
        <v>5.8510685272821217</v>
      </c>
      <c r="X50" s="236">
        <v>3.9978369262260007</v>
      </c>
      <c r="Y50" s="236">
        <v>224.18553632111383</v>
      </c>
      <c r="Z50" s="237">
        <v>206.49900957329248</v>
      </c>
      <c r="AA50" s="244">
        <v>0</v>
      </c>
      <c r="AB50" s="245">
        <v>0</v>
      </c>
      <c r="AC50" s="245">
        <v>0</v>
      </c>
      <c r="AD50" s="245">
        <v>0</v>
      </c>
      <c r="AE50" s="245">
        <v>0</v>
      </c>
      <c r="AF50" s="245">
        <v>0</v>
      </c>
      <c r="AG50" s="245">
        <v>0</v>
      </c>
      <c r="AH50" s="245">
        <v>0</v>
      </c>
      <c r="AI50" s="245">
        <v>0</v>
      </c>
      <c r="AJ50" s="245">
        <v>271.73152321597695</v>
      </c>
      <c r="AK50" s="246">
        <v>250.29398120300016</v>
      </c>
      <c r="AL50" s="253">
        <v>228.15724497473113</v>
      </c>
      <c r="AM50" s="254">
        <v>139.63223392453548</v>
      </c>
      <c r="AN50" s="254">
        <v>47.342628332256709</v>
      </c>
      <c r="AO50" s="254">
        <v>54.263039387350517</v>
      </c>
      <c r="AP50" s="254">
        <v>227.94092739314294</v>
      </c>
      <c r="AQ50" s="254">
        <v>32.997794222037463</v>
      </c>
      <c r="AR50" s="254">
        <v>14.434122852680723</v>
      </c>
      <c r="AS50" s="254">
        <v>64.297456343759578</v>
      </c>
      <c r="AT50" s="254">
        <v>43.932273914571425</v>
      </c>
      <c r="AU50" s="254">
        <v>6.5691575759210101</v>
      </c>
      <c r="AV50" s="255">
        <v>6.0509012107522908</v>
      </c>
    </row>
    <row r="51" spans="15:48" x14ac:dyDescent="0.2">
      <c r="O51" s="94">
        <v>2038</v>
      </c>
      <c r="P51" s="235">
        <v>20.789963437328367</v>
      </c>
      <c r="Q51" s="236">
        <v>10.602881353037468</v>
      </c>
      <c r="R51" s="236">
        <v>4.3139174132456368</v>
      </c>
      <c r="S51" s="236">
        <v>4.9772266494084398</v>
      </c>
      <c r="T51" s="236">
        <v>20.907668850125209</v>
      </c>
      <c r="U51" s="236">
        <v>3.0266918813970256</v>
      </c>
      <c r="V51" s="236">
        <v>1.3239564487046636</v>
      </c>
      <c r="W51" s="236">
        <v>5.8976241805935015</v>
      </c>
      <c r="X51" s="236">
        <v>3.9978369262260007</v>
      </c>
      <c r="Y51" s="236">
        <v>228.72983773302829</v>
      </c>
      <c r="Z51" s="237">
        <v>210.68480030788621</v>
      </c>
      <c r="AA51" s="244">
        <v>0</v>
      </c>
      <c r="AB51" s="245">
        <v>0</v>
      </c>
      <c r="AC51" s="245">
        <v>0</v>
      </c>
      <c r="AD51" s="245">
        <v>0</v>
      </c>
      <c r="AE51" s="245">
        <v>0</v>
      </c>
      <c r="AF51" s="245">
        <v>0</v>
      </c>
      <c r="AG51" s="245">
        <v>0</v>
      </c>
      <c r="AH51" s="245">
        <v>0</v>
      </c>
      <c r="AI51" s="245">
        <v>0</v>
      </c>
      <c r="AJ51" s="245">
        <v>279.63474901539058</v>
      </c>
      <c r="AK51" s="246">
        <v>257.57370284247014</v>
      </c>
      <c r="AL51" s="253">
        <v>228.46113667393811</v>
      </c>
      <c r="AM51" s="254">
        <v>139.81821564445013</v>
      </c>
      <c r="AN51" s="254">
        <v>47.405685859842151</v>
      </c>
      <c r="AO51" s="254">
        <v>54.69479834514771</v>
      </c>
      <c r="AP51" s="254">
        <v>229.7546027486286</v>
      </c>
      <c r="AQ51" s="254">
        <v>33.260350345022253</v>
      </c>
      <c r="AR51" s="254">
        <v>14.548971963787512</v>
      </c>
      <c r="AS51" s="254">
        <v>64.80905692959891</v>
      </c>
      <c r="AT51" s="254">
        <v>43.932273914571425</v>
      </c>
      <c r="AU51" s="254">
        <v>6.7023161754329221</v>
      </c>
      <c r="AV51" s="255">
        <v>6.1735546136729456</v>
      </c>
    </row>
    <row r="52" spans="15:48" x14ac:dyDescent="0.2">
      <c r="O52" s="94">
        <v>2039</v>
      </c>
      <c r="P52" s="235">
        <v>20.817617581956206</v>
      </c>
      <c r="Q52" s="236">
        <v>10.616984966797665</v>
      </c>
      <c r="R52" s="236">
        <v>4.3196556482559112</v>
      </c>
      <c r="S52" s="236">
        <v>5.0165167145679845</v>
      </c>
      <c r="T52" s="236">
        <v>21.072713307474405</v>
      </c>
      <c r="U52" s="236">
        <v>3.0505844885886395</v>
      </c>
      <c r="V52" s="236">
        <v>1.3344077178153819</v>
      </c>
      <c r="W52" s="236">
        <v>5.944179833904883</v>
      </c>
      <c r="X52" s="236">
        <v>3.9978369262260007</v>
      </c>
      <c r="Y52" s="236">
        <v>233.27413914494278</v>
      </c>
      <c r="Z52" s="237">
        <v>214.87059104248002</v>
      </c>
      <c r="AA52" s="244">
        <v>0</v>
      </c>
      <c r="AB52" s="245">
        <v>0</v>
      </c>
      <c r="AC52" s="245">
        <v>0</v>
      </c>
      <c r="AD52" s="245">
        <v>0</v>
      </c>
      <c r="AE52" s="245">
        <v>0</v>
      </c>
      <c r="AF52" s="245">
        <v>0</v>
      </c>
      <c r="AG52" s="245">
        <v>0</v>
      </c>
      <c r="AH52" s="245">
        <v>0</v>
      </c>
      <c r="AI52" s="245">
        <v>0</v>
      </c>
      <c r="AJ52" s="245">
        <v>285.99187583742105</v>
      </c>
      <c r="AK52" s="246">
        <v>263.42930090657001</v>
      </c>
      <c r="AL52" s="253">
        <v>228.76502837314513</v>
      </c>
      <c r="AM52" s="254">
        <v>140.00419736436479</v>
      </c>
      <c r="AN52" s="254">
        <v>47.468743387427601</v>
      </c>
      <c r="AO52" s="254">
        <v>55.126557302944889</v>
      </c>
      <c r="AP52" s="254">
        <v>231.56827810411434</v>
      </c>
      <c r="AQ52" s="254">
        <v>33.522906468007029</v>
      </c>
      <c r="AR52" s="254">
        <v>14.663821074894305</v>
      </c>
      <c r="AS52" s="254">
        <v>65.32065751543827</v>
      </c>
      <c r="AT52" s="254">
        <v>43.932273914571425</v>
      </c>
      <c r="AU52" s="254">
        <v>6.835474774944835</v>
      </c>
      <c r="AV52" s="255">
        <v>6.2962080165936012</v>
      </c>
    </row>
    <row r="53" spans="15:48" x14ac:dyDescent="0.2">
      <c r="O53" s="94">
        <v>2040</v>
      </c>
      <c r="P53" s="235">
        <v>20.845271726584031</v>
      </c>
      <c r="Q53" s="236">
        <v>10.631088580557853</v>
      </c>
      <c r="R53" s="236">
        <v>4.3253938832661847</v>
      </c>
      <c r="S53" s="236">
        <v>5.0558067797275283</v>
      </c>
      <c r="T53" s="236">
        <v>21.237757764823602</v>
      </c>
      <c r="U53" s="236">
        <v>3.0744770957802539</v>
      </c>
      <c r="V53" s="236">
        <v>1.3448589869260996</v>
      </c>
      <c r="W53" s="236">
        <v>5.9907354872162619</v>
      </c>
      <c r="X53" s="236">
        <v>3.9978369262260007</v>
      </c>
      <c r="Y53" s="236">
        <v>239.12334038832327</v>
      </c>
      <c r="Z53" s="237">
        <v>220.25833497714163</v>
      </c>
      <c r="AA53" s="244">
        <v>0</v>
      </c>
      <c r="AB53" s="245">
        <v>0</v>
      </c>
      <c r="AC53" s="245">
        <v>0</v>
      </c>
      <c r="AD53" s="245">
        <v>0</v>
      </c>
      <c r="AE53" s="245">
        <v>0</v>
      </c>
      <c r="AF53" s="245">
        <v>0</v>
      </c>
      <c r="AG53" s="245">
        <v>0</v>
      </c>
      <c r="AH53" s="245">
        <v>0</v>
      </c>
      <c r="AI53" s="245">
        <v>0</v>
      </c>
      <c r="AJ53" s="245">
        <v>292.76257939932265</v>
      </c>
      <c r="AK53" s="246">
        <v>269.66584766418242</v>
      </c>
      <c r="AL53" s="253">
        <v>229.06892007235203</v>
      </c>
      <c r="AM53" s="254">
        <v>140.19017908427938</v>
      </c>
      <c r="AN53" s="254">
        <v>47.531800915013022</v>
      </c>
      <c r="AO53" s="254">
        <v>55.558316260742075</v>
      </c>
      <c r="AP53" s="254">
        <v>233.38195345960008</v>
      </c>
      <c r="AQ53" s="254">
        <v>33.785462590991806</v>
      </c>
      <c r="AR53" s="254">
        <v>14.778670186001094</v>
      </c>
      <c r="AS53" s="254">
        <v>65.832258101277588</v>
      </c>
      <c r="AT53" s="254">
        <v>43.932273914571425</v>
      </c>
      <c r="AU53" s="254">
        <v>7.0068699741694731</v>
      </c>
      <c r="AV53" s="255">
        <v>6.4540814435162437</v>
      </c>
    </row>
    <row r="54" spans="15:48" x14ac:dyDescent="0.2">
      <c r="O54" s="94">
        <v>2041</v>
      </c>
      <c r="P54" s="235">
        <v>20.877534895316508</v>
      </c>
      <c r="Q54" s="236">
        <v>10.647542796611416</v>
      </c>
      <c r="R54" s="236">
        <v>4.3320884907781734</v>
      </c>
      <c r="S54" s="236">
        <v>5.0917014071572346</v>
      </c>
      <c r="T54" s="236">
        <v>21.388539120920399</v>
      </c>
      <c r="U54" s="236">
        <v>3.0963049097577779</v>
      </c>
      <c r="V54" s="236">
        <v>1.35440705994083</v>
      </c>
      <c r="W54" s="236">
        <v>6.0332678124636958</v>
      </c>
      <c r="X54" s="236">
        <v>3.9978369262260007</v>
      </c>
      <c r="Y54" s="236">
        <v>241.97002456280381</v>
      </c>
      <c r="Z54" s="237">
        <v>222.88043750991255</v>
      </c>
      <c r="AA54" s="244">
        <v>0</v>
      </c>
      <c r="AB54" s="245">
        <v>0</v>
      </c>
      <c r="AC54" s="245">
        <v>0</v>
      </c>
      <c r="AD54" s="245">
        <v>0</v>
      </c>
      <c r="AE54" s="245">
        <v>0</v>
      </c>
      <c r="AF54" s="245">
        <v>0</v>
      </c>
      <c r="AG54" s="245">
        <v>0</v>
      </c>
      <c r="AH54" s="245">
        <v>0</v>
      </c>
      <c r="AI54" s="245">
        <v>0</v>
      </c>
      <c r="AJ54" s="245">
        <v>298.76369018734977</v>
      </c>
      <c r="AK54" s="246">
        <v>275.19351664052613</v>
      </c>
      <c r="AL54" s="253">
        <v>229.42346038809347</v>
      </c>
      <c r="AM54" s="254">
        <v>140.40715775751318</v>
      </c>
      <c r="AN54" s="254">
        <v>47.605368030529377</v>
      </c>
      <c r="AO54" s="254">
        <v>55.952762716013581</v>
      </c>
      <c r="AP54" s="254">
        <v>235.03889143868571</v>
      </c>
      <c r="AQ54" s="254">
        <v>34.025328678656905</v>
      </c>
      <c r="AR54" s="254">
        <v>14.883594065283843</v>
      </c>
      <c r="AS54" s="254">
        <v>66.299646290809832</v>
      </c>
      <c r="AT54" s="254">
        <v>43.932273914571425</v>
      </c>
      <c r="AU54" s="254">
        <v>7.0902844406775074</v>
      </c>
      <c r="AV54" s="255">
        <v>6.5309151456392982</v>
      </c>
    </row>
    <row r="55" spans="15:48" x14ac:dyDescent="0.2">
      <c r="O55" s="94">
        <v>2042</v>
      </c>
      <c r="P55" s="235">
        <v>20.909798064048974</v>
      </c>
      <c r="Q55" s="236">
        <v>10.663997012664979</v>
      </c>
      <c r="R55" s="236">
        <v>4.3387830982901621</v>
      </c>
      <c r="S55" s="236">
        <v>5.1275960345869436</v>
      </c>
      <c r="T55" s="236">
        <v>21.539320477017203</v>
      </c>
      <c r="U55" s="236">
        <v>3.1181327237353034</v>
      </c>
      <c r="V55" s="236">
        <v>1.3639551329555597</v>
      </c>
      <c r="W55" s="236">
        <v>6.0758001377111306</v>
      </c>
      <c r="X55" s="236">
        <v>3.9978369262260007</v>
      </c>
      <c r="Y55" s="236">
        <v>246.12160856875036</v>
      </c>
      <c r="Z55" s="237">
        <v>226.70449324275128</v>
      </c>
      <c r="AA55" s="244">
        <v>0</v>
      </c>
      <c r="AB55" s="245">
        <v>0</v>
      </c>
      <c r="AC55" s="245">
        <v>0</v>
      </c>
      <c r="AD55" s="245">
        <v>0</v>
      </c>
      <c r="AE55" s="245">
        <v>0</v>
      </c>
      <c r="AF55" s="245">
        <v>0</v>
      </c>
      <c r="AG55" s="245">
        <v>0</v>
      </c>
      <c r="AH55" s="245">
        <v>0</v>
      </c>
      <c r="AI55" s="245">
        <v>0</v>
      </c>
      <c r="AJ55" s="245">
        <v>304.00988204436243</v>
      </c>
      <c r="AK55" s="246">
        <v>280.02582402432125</v>
      </c>
      <c r="AL55" s="253">
        <v>229.77800070383489</v>
      </c>
      <c r="AM55" s="254">
        <v>140.62413643074694</v>
      </c>
      <c r="AN55" s="254">
        <v>47.678935146045731</v>
      </c>
      <c r="AO55" s="254">
        <v>56.34720917128508</v>
      </c>
      <c r="AP55" s="254">
        <v>236.69582941777139</v>
      </c>
      <c r="AQ55" s="254">
        <v>34.265194766322018</v>
      </c>
      <c r="AR55" s="254">
        <v>14.98851794456659</v>
      </c>
      <c r="AS55" s="254">
        <v>66.767034480342076</v>
      </c>
      <c r="AT55" s="254">
        <v>43.932273914571425</v>
      </c>
      <c r="AU55" s="254">
        <v>7.2119355068982669</v>
      </c>
      <c r="AV55" s="255">
        <v>6.6429688717643396</v>
      </c>
    </row>
    <row r="56" spans="15:48" x14ac:dyDescent="0.2">
      <c r="O56" s="94">
        <v>2043</v>
      </c>
      <c r="P56" s="235">
        <v>20.942061232781445</v>
      </c>
      <c r="Q56" s="236">
        <v>10.680451228718534</v>
      </c>
      <c r="R56" s="236">
        <v>4.3454777058021499</v>
      </c>
      <c r="S56" s="236">
        <v>5.1634906620166499</v>
      </c>
      <c r="T56" s="236">
        <v>21.690101833114003</v>
      </c>
      <c r="U56" s="236">
        <v>3.1399605377128275</v>
      </c>
      <c r="V56" s="236">
        <v>1.3735032059702899</v>
      </c>
      <c r="W56" s="236">
        <v>6.1183324629585636</v>
      </c>
      <c r="X56" s="236">
        <v>3.9978369262260007</v>
      </c>
      <c r="Y56" s="236">
        <v>250.27319257469696</v>
      </c>
      <c r="Z56" s="237">
        <v>230.52854897559007</v>
      </c>
      <c r="AA56" s="244">
        <v>0</v>
      </c>
      <c r="AB56" s="245">
        <v>0</v>
      </c>
      <c r="AC56" s="245">
        <v>0</v>
      </c>
      <c r="AD56" s="245">
        <v>0</v>
      </c>
      <c r="AE56" s="245">
        <v>0</v>
      </c>
      <c r="AF56" s="245">
        <v>0</v>
      </c>
      <c r="AG56" s="245">
        <v>0</v>
      </c>
      <c r="AH56" s="245">
        <v>0</v>
      </c>
      <c r="AI56" s="245">
        <v>0</v>
      </c>
      <c r="AJ56" s="245">
        <v>309.61469949088377</v>
      </c>
      <c r="AK56" s="246">
        <v>285.18846417737728</v>
      </c>
      <c r="AL56" s="253">
        <v>230.13254101957634</v>
      </c>
      <c r="AM56" s="254">
        <v>140.84111510398066</v>
      </c>
      <c r="AN56" s="254">
        <v>47.752502261562078</v>
      </c>
      <c r="AO56" s="254">
        <v>56.741655626556593</v>
      </c>
      <c r="AP56" s="254">
        <v>238.35276739685716</v>
      </c>
      <c r="AQ56" s="254">
        <v>34.505060853987111</v>
      </c>
      <c r="AR56" s="254">
        <v>15.093441823849339</v>
      </c>
      <c r="AS56" s="254">
        <v>67.23442266987432</v>
      </c>
      <c r="AT56" s="254">
        <v>43.932273914571425</v>
      </c>
      <c r="AU56" s="254">
        <v>7.3335865731190273</v>
      </c>
      <c r="AV56" s="255">
        <v>6.7550225978893836</v>
      </c>
    </row>
    <row r="57" spans="15:48" x14ac:dyDescent="0.2">
      <c r="O57" s="94">
        <v>2044</v>
      </c>
      <c r="P57" s="235">
        <v>20.974324401513911</v>
      </c>
      <c r="Q57" s="236">
        <v>10.696905444772092</v>
      </c>
      <c r="R57" s="236">
        <v>4.352172313314135</v>
      </c>
      <c r="S57" s="236">
        <v>5.1993852894463561</v>
      </c>
      <c r="T57" s="236">
        <v>21.840883189210793</v>
      </c>
      <c r="U57" s="236">
        <v>3.1617883516903516</v>
      </c>
      <c r="V57" s="236">
        <v>1.38305127898502</v>
      </c>
      <c r="W57" s="236">
        <v>6.1608647882059957</v>
      </c>
      <c r="X57" s="236">
        <v>3.9978369262260007</v>
      </c>
      <c r="Y57" s="236">
        <v>255.82079468295504</v>
      </c>
      <c r="Z57" s="237">
        <v>235.63848764362766</v>
      </c>
      <c r="AA57" s="244">
        <v>0</v>
      </c>
      <c r="AB57" s="245">
        <v>0</v>
      </c>
      <c r="AC57" s="245">
        <v>0</v>
      </c>
      <c r="AD57" s="245">
        <v>0</v>
      </c>
      <c r="AE57" s="245">
        <v>0</v>
      </c>
      <c r="AF57" s="245">
        <v>0</v>
      </c>
      <c r="AG57" s="245">
        <v>0</v>
      </c>
      <c r="AH57" s="245">
        <v>0</v>
      </c>
      <c r="AI57" s="245">
        <v>0</v>
      </c>
      <c r="AJ57" s="245">
        <v>315.67758773008325</v>
      </c>
      <c r="AK57" s="246">
        <v>290.77303683577998</v>
      </c>
      <c r="AL57" s="253">
        <v>230.4870813353177</v>
      </c>
      <c r="AM57" s="254">
        <v>141.05809377721442</v>
      </c>
      <c r="AN57" s="254">
        <v>47.826069377078419</v>
      </c>
      <c r="AO57" s="254">
        <v>57.136102081828099</v>
      </c>
      <c r="AP57" s="254">
        <v>240.00970537594287</v>
      </c>
      <c r="AQ57" s="254">
        <v>34.744926941652217</v>
      </c>
      <c r="AR57" s="254">
        <v>15.198365703132083</v>
      </c>
      <c r="AS57" s="254">
        <v>67.701810859406564</v>
      </c>
      <c r="AT57" s="254">
        <v>43.932273914571425</v>
      </c>
      <c r="AU57" s="254">
        <v>7.4961442162912411</v>
      </c>
      <c r="AV57" s="255">
        <v>6.9047556844411835</v>
      </c>
    </row>
    <row r="58" spans="15:48" x14ac:dyDescent="0.2">
      <c r="O58" s="94">
        <v>2045</v>
      </c>
      <c r="P58" s="235">
        <v>21.006587570246392</v>
      </c>
      <c r="Q58" s="236">
        <v>10.713359660825661</v>
      </c>
      <c r="R58" s="236">
        <v>4.3588669208261264</v>
      </c>
      <c r="S58" s="236">
        <v>5.2352799168760633</v>
      </c>
      <c r="T58" s="236">
        <v>21.991664545307607</v>
      </c>
      <c r="U58" s="236">
        <v>3.183616165667877</v>
      </c>
      <c r="V58" s="236">
        <v>1.3925993519997499</v>
      </c>
      <c r="W58" s="236">
        <v>6.2033971134534323</v>
      </c>
      <c r="X58" s="236">
        <v>3.9978369262260007</v>
      </c>
      <c r="Y58" s="236">
        <v>258.57636058659006</v>
      </c>
      <c r="Z58" s="237">
        <v>238.17666044126759</v>
      </c>
      <c r="AA58" s="244">
        <v>0</v>
      </c>
      <c r="AB58" s="245">
        <v>0</v>
      </c>
      <c r="AC58" s="245">
        <v>0</v>
      </c>
      <c r="AD58" s="245">
        <v>0</v>
      </c>
      <c r="AE58" s="245">
        <v>0</v>
      </c>
      <c r="AF58" s="245">
        <v>0</v>
      </c>
      <c r="AG58" s="245">
        <v>0</v>
      </c>
      <c r="AH58" s="245">
        <v>0</v>
      </c>
      <c r="AI58" s="245">
        <v>0</v>
      </c>
      <c r="AJ58" s="245">
        <v>321.16569329085155</v>
      </c>
      <c r="AK58" s="246">
        <v>295.82817277955951</v>
      </c>
      <c r="AL58" s="253">
        <v>230.8416216510592</v>
      </c>
      <c r="AM58" s="254">
        <v>141.27507245044822</v>
      </c>
      <c r="AN58" s="254">
        <v>47.89963649259478</v>
      </c>
      <c r="AO58" s="254">
        <v>57.530548537099598</v>
      </c>
      <c r="AP58" s="254">
        <v>241.66664335502861</v>
      </c>
      <c r="AQ58" s="254">
        <v>34.984793029317331</v>
      </c>
      <c r="AR58" s="254">
        <v>15.303289582414832</v>
      </c>
      <c r="AS58" s="254">
        <v>68.169199048938822</v>
      </c>
      <c r="AT58" s="254">
        <v>43.932273914571425</v>
      </c>
      <c r="AU58" s="254">
        <v>7.5768887055605463</v>
      </c>
      <c r="AV58" s="255">
        <v>6.9791300501394682</v>
      </c>
    </row>
    <row r="59" spans="15:48" x14ac:dyDescent="0.2">
      <c r="O59" s="94">
        <v>2046</v>
      </c>
      <c r="P59" s="235">
        <v>21.038850738978859</v>
      </c>
      <c r="Q59" s="236">
        <v>10.729813876879216</v>
      </c>
      <c r="R59" s="236">
        <v>4.3655615283381124</v>
      </c>
      <c r="S59" s="236">
        <v>5.2711745443057714</v>
      </c>
      <c r="T59" s="236">
        <v>22.142445901404407</v>
      </c>
      <c r="U59" s="236">
        <v>3.2054439796454015</v>
      </c>
      <c r="V59" s="236">
        <v>1.4021474250144799</v>
      </c>
      <c r="W59" s="236">
        <v>6.2459294387008653</v>
      </c>
      <c r="X59" s="236">
        <v>3.9978369262260007</v>
      </c>
      <c r="Y59" s="236">
        <v>262.72794459253669</v>
      </c>
      <c r="Z59" s="237">
        <v>242.00071617410637</v>
      </c>
      <c r="AA59" s="244">
        <v>0</v>
      </c>
      <c r="AB59" s="245">
        <v>0</v>
      </c>
      <c r="AC59" s="245">
        <v>0</v>
      </c>
      <c r="AD59" s="245">
        <v>0</v>
      </c>
      <c r="AE59" s="245">
        <v>0</v>
      </c>
      <c r="AF59" s="245">
        <v>0</v>
      </c>
      <c r="AG59" s="245">
        <v>0</v>
      </c>
      <c r="AH59" s="245">
        <v>0</v>
      </c>
      <c r="AI59" s="245">
        <v>0</v>
      </c>
      <c r="AJ59" s="245">
        <v>326.0917467240082</v>
      </c>
      <c r="AK59" s="246">
        <v>300.36559821629658</v>
      </c>
      <c r="AL59" s="253">
        <v>231.19616196680064</v>
      </c>
      <c r="AM59" s="254">
        <v>141.49205112368199</v>
      </c>
      <c r="AN59" s="254">
        <v>47.97320360811112</v>
      </c>
      <c r="AO59" s="254">
        <v>57.924994992371104</v>
      </c>
      <c r="AP59" s="254">
        <v>243.32358133411435</v>
      </c>
      <c r="AQ59" s="254">
        <v>35.224659116982437</v>
      </c>
      <c r="AR59" s="254">
        <v>15.408213461697585</v>
      </c>
      <c r="AS59" s="254">
        <v>68.636587238471037</v>
      </c>
      <c r="AT59" s="254">
        <v>43.932273914571425</v>
      </c>
      <c r="AU59" s="254">
        <v>7.6985397717813076</v>
      </c>
      <c r="AV59" s="255">
        <v>7.0911837762645131</v>
      </c>
    </row>
    <row r="60" spans="15:48" x14ac:dyDescent="0.2">
      <c r="O60" s="94">
        <v>2047</v>
      </c>
      <c r="P60" s="235">
        <v>21.071113907711329</v>
      </c>
      <c r="Q60" s="236">
        <v>10.746268092932777</v>
      </c>
      <c r="R60" s="236">
        <v>4.3722561358500993</v>
      </c>
      <c r="S60" s="236">
        <v>5.3070691717354785</v>
      </c>
      <c r="T60" s="236">
        <v>22.293227257501197</v>
      </c>
      <c r="U60" s="236">
        <v>3.2272717936229269</v>
      </c>
      <c r="V60" s="236">
        <v>1.4116954980292102</v>
      </c>
      <c r="W60" s="236">
        <v>6.2884617639482983</v>
      </c>
      <c r="X60" s="236">
        <v>3.9978369262260007</v>
      </c>
      <c r="Y60" s="236">
        <v>266.87952859848315</v>
      </c>
      <c r="Z60" s="237">
        <v>245.82477190694507</v>
      </c>
      <c r="AA60" s="244">
        <v>0</v>
      </c>
      <c r="AB60" s="245">
        <v>0</v>
      </c>
      <c r="AC60" s="245">
        <v>0</v>
      </c>
      <c r="AD60" s="245">
        <v>0</v>
      </c>
      <c r="AE60" s="245">
        <v>0</v>
      </c>
      <c r="AF60" s="245">
        <v>0</v>
      </c>
      <c r="AG60" s="245">
        <v>0</v>
      </c>
      <c r="AH60" s="245">
        <v>0</v>
      </c>
      <c r="AI60" s="245">
        <v>0</v>
      </c>
      <c r="AJ60" s="245">
        <v>331.49790180912657</v>
      </c>
      <c r="AK60" s="246">
        <v>305.34524895111258</v>
      </c>
      <c r="AL60" s="253">
        <v>231.55070228254209</v>
      </c>
      <c r="AM60" s="254">
        <v>141.7090297969157</v>
      </c>
      <c r="AN60" s="254">
        <v>48.046770723627475</v>
      </c>
      <c r="AO60" s="254">
        <v>58.319441447642618</v>
      </c>
      <c r="AP60" s="254">
        <v>244.98051931320003</v>
      </c>
      <c r="AQ60" s="254">
        <v>35.464525204647543</v>
      </c>
      <c r="AR60" s="254">
        <v>15.513137340980331</v>
      </c>
      <c r="AS60" s="254">
        <v>69.103975428003281</v>
      </c>
      <c r="AT60" s="254">
        <v>43.932273914571425</v>
      </c>
      <c r="AU60" s="254">
        <v>7.8201908380020662</v>
      </c>
      <c r="AV60" s="255">
        <v>7.2032375023895536</v>
      </c>
    </row>
    <row r="61" spans="15:48" x14ac:dyDescent="0.2">
      <c r="O61" s="94">
        <v>2048</v>
      </c>
      <c r="P61" s="235">
        <v>21.103377076443802</v>
      </c>
      <c r="Q61" s="236">
        <v>10.762722308986337</v>
      </c>
      <c r="R61" s="236">
        <v>4.378950743362088</v>
      </c>
      <c r="S61" s="236">
        <v>5.3429637991651848</v>
      </c>
      <c r="T61" s="236">
        <v>22.444008613597997</v>
      </c>
      <c r="U61" s="236">
        <v>3.2490996076004501</v>
      </c>
      <c r="V61" s="236">
        <v>1.4212435710439402</v>
      </c>
      <c r="W61" s="236">
        <v>6.330994089195733</v>
      </c>
      <c r="X61" s="236">
        <v>3.9978369262260007</v>
      </c>
      <c r="Y61" s="236">
        <v>272.51824897758678</v>
      </c>
      <c r="Z61" s="237">
        <v>251.01864031011365</v>
      </c>
      <c r="AA61" s="244">
        <v>0</v>
      </c>
      <c r="AB61" s="245">
        <v>0</v>
      </c>
      <c r="AC61" s="245">
        <v>0</v>
      </c>
      <c r="AD61" s="245">
        <v>0</v>
      </c>
      <c r="AE61" s="245">
        <v>0</v>
      </c>
      <c r="AF61" s="245">
        <v>0</v>
      </c>
      <c r="AG61" s="245">
        <v>0</v>
      </c>
      <c r="AH61" s="245">
        <v>0</v>
      </c>
      <c r="AI61" s="245">
        <v>0</v>
      </c>
      <c r="AJ61" s="245">
        <v>337.43120434766439</v>
      </c>
      <c r="AK61" s="246">
        <v>310.81045923101129</v>
      </c>
      <c r="AL61" s="253">
        <v>231.90524259828359</v>
      </c>
      <c r="AM61" s="254">
        <v>141.92600847014953</v>
      </c>
      <c r="AN61" s="254">
        <v>48.120337839143829</v>
      </c>
      <c r="AO61" s="254">
        <v>58.713887902914109</v>
      </c>
      <c r="AP61" s="254">
        <v>246.63745729228572</v>
      </c>
      <c r="AQ61" s="254">
        <v>35.704391292312643</v>
      </c>
      <c r="AR61" s="254">
        <v>15.618061220263076</v>
      </c>
      <c r="AS61" s="254">
        <v>69.571363617535539</v>
      </c>
      <c r="AT61" s="254">
        <v>43.932273914571425</v>
      </c>
      <c r="AU61" s="254">
        <v>7.985418458413009</v>
      </c>
      <c r="AV61" s="255">
        <v>7.3554299253661215</v>
      </c>
    </row>
    <row r="62" spans="15:48" x14ac:dyDescent="0.2">
      <c r="O62" s="94">
        <v>2049</v>
      </c>
      <c r="P62" s="235">
        <v>21.135640245176269</v>
      </c>
      <c r="Q62" s="236">
        <v>10.779176525039896</v>
      </c>
      <c r="R62" s="236">
        <v>4.3856453508740749</v>
      </c>
      <c r="S62" s="236">
        <v>5.3788584265948911</v>
      </c>
      <c r="T62" s="236">
        <v>22.594789969694801</v>
      </c>
      <c r="U62" s="236">
        <v>3.2709274215779747</v>
      </c>
      <c r="V62" s="236">
        <v>1.4307916440586699</v>
      </c>
      <c r="W62" s="236">
        <v>6.3735264144431643</v>
      </c>
      <c r="X62" s="236">
        <v>3.9978369262260007</v>
      </c>
      <c r="Y62" s="236">
        <v>275.1826966103763</v>
      </c>
      <c r="Z62" s="237">
        <v>253.47288337262259</v>
      </c>
      <c r="AA62" s="244">
        <v>0</v>
      </c>
      <c r="AB62" s="245">
        <v>0</v>
      </c>
      <c r="AC62" s="245">
        <v>0</v>
      </c>
      <c r="AD62" s="245">
        <v>0</v>
      </c>
      <c r="AE62" s="245">
        <v>0</v>
      </c>
      <c r="AF62" s="245">
        <v>0</v>
      </c>
      <c r="AG62" s="245">
        <v>0</v>
      </c>
      <c r="AH62" s="245">
        <v>0</v>
      </c>
      <c r="AI62" s="245">
        <v>0</v>
      </c>
      <c r="AJ62" s="245">
        <v>342.7554089571326</v>
      </c>
      <c r="AK62" s="246">
        <v>315.71462475686377</v>
      </c>
      <c r="AL62" s="253">
        <v>232.25978291402495</v>
      </c>
      <c r="AM62" s="254">
        <v>142.14298714338324</v>
      </c>
      <c r="AN62" s="254">
        <v>48.193904954660162</v>
      </c>
      <c r="AO62" s="254">
        <v>59.10833435818563</v>
      </c>
      <c r="AP62" s="254">
        <v>248.29439527137143</v>
      </c>
      <c r="AQ62" s="254">
        <v>35.944257379977742</v>
      </c>
      <c r="AR62" s="254">
        <v>15.722985099545824</v>
      </c>
      <c r="AS62" s="254">
        <v>70.03875180706774</v>
      </c>
      <c r="AT62" s="254">
        <v>43.932273914571425</v>
      </c>
      <c r="AU62" s="254">
        <v>8.0634929704435869</v>
      </c>
      <c r="AV62" s="255">
        <v>7.4273449546396408</v>
      </c>
    </row>
    <row r="63" spans="15:48" ht="17" thickBot="1" x14ac:dyDescent="0.25">
      <c r="O63" s="81">
        <v>2050</v>
      </c>
      <c r="P63" s="238">
        <v>21.167903413908746</v>
      </c>
      <c r="Q63" s="239">
        <v>10.795630741093458</v>
      </c>
      <c r="R63" s="239">
        <v>4.3923399583860654</v>
      </c>
      <c r="S63" s="239">
        <v>5.4147530540246001</v>
      </c>
      <c r="T63" s="239">
        <v>22.745571325791609</v>
      </c>
      <c r="U63" s="239">
        <v>3.2927552355555005</v>
      </c>
      <c r="V63" s="239">
        <v>1.4403397170734</v>
      </c>
      <c r="W63" s="239">
        <v>6.4160587396906017</v>
      </c>
      <c r="X63" s="239">
        <v>3.9978369262260007</v>
      </c>
      <c r="Y63" s="239">
        <v>279.33428061632299</v>
      </c>
      <c r="Z63" s="240">
        <v>257.29693910546143</v>
      </c>
      <c r="AA63" s="247">
        <v>0</v>
      </c>
      <c r="AB63" s="248">
        <v>0</v>
      </c>
      <c r="AC63" s="248">
        <v>0</v>
      </c>
      <c r="AD63" s="248">
        <v>0</v>
      </c>
      <c r="AE63" s="248">
        <v>0</v>
      </c>
      <c r="AF63" s="248">
        <v>0</v>
      </c>
      <c r="AG63" s="248">
        <v>0</v>
      </c>
      <c r="AH63" s="248">
        <v>0</v>
      </c>
      <c r="AI63" s="248">
        <v>0</v>
      </c>
      <c r="AJ63" s="248">
        <v>347.51800077503219</v>
      </c>
      <c r="AK63" s="249">
        <v>320.10148445145819</v>
      </c>
      <c r="AL63" s="256">
        <v>232.6143232297664</v>
      </c>
      <c r="AM63" s="257">
        <v>142.35996581661706</v>
      </c>
      <c r="AN63" s="257">
        <v>48.267472070176545</v>
      </c>
      <c r="AO63" s="257">
        <v>59.502780813457143</v>
      </c>
      <c r="AP63" s="257">
        <v>249.9513332504572</v>
      </c>
      <c r="AQ63" s="257">
        <v>36.184123467642856</v>
      </c>
      <c r="AR63" s="257">
        <v>15.827908978828573</v>
      </c>
      <c r="AS63" s="257">
        <v>70.506139996600012</v>
      </c>
      <c r="AT63" s="257">
        <v>43.932273914571425</v>
      </c>
      <c r="AU63" s="257">
        <v>8.1851440366643473</v>
      </c>
      <c r="AV63" s="258">
        <v>7.539398680764684</v>
      </c>
    </row>
    <row r="66" spans="16:48" x14ac:dyDescent="0.2">
      <c r="P66" s="4">
        <f>P32/1000</f>
        <v>1197.0211727760002</v>
      </c>
      <c r="Q66" s="4">
        <f t="shared" ref="Q66:Z66" si="9">Q32/1000</f>
        <v>610.48079811575997</v>
      </c>
      <c r="R66" s="4">
        <f t="shared" si="9"/>
        <v>248.38189335101995</v>
      </c>
      <c r="S66" s="4">
        <f t="shared" si="9"/>
        <v>259.3289819289771</v>
      </c>
      <c r="T66" s="4">
        <f t="shared" si="9"/>
        <v>1089.3545460815162</v>
      </c>
      <c r="U66" s="4">
        <f t="shared" si="9"/>
        <v>157.700056578432</v>
      </c>
      <c r="V66" s="4">
        <f t="shared" si="9"/>
        <v>68.982246971150389</v>
      </c>
      <c r="W66" s="4">
        <f t="shared" si="9"/>
        <v>307.28455468966996</v>
      </c>
      <c r="X66" s="4">
        <f t="shared" si="9"/>
        <v>239.87021557356005</v>
      </c>
      <c r="Y66" s="4">
        <f t="shared" si="9"/>
        <v>2569.0340910028385</v>
      </c>
      <c r="Z66" s="4">
        <f t="shared" si="9"/>
        <v>2366.3569205117678</v>
      </c>
      <c r="AA66" s="4">
        <f>(AA32/1000)*28</f>
        <v>0</v>
      </c>
      <c r="AB66" s="4">
        <f t="shared" ref="AB66:AK66" si="10">(AB32/1000)*28</f>
        <v>0</v>
      </c>
      <c r="AC66" s="4">
        <f t="shared" si="10"/>
        <v>0</v>
      </c>
      <c r="AD66" s="4">
        <f t="shared" si="10"/>
        <v>0</v>
      </c>
      <c r="AE66" s="4">
        <f t="shared" si="10"/>
        <v>0</v>
      </c>
      <c r="AF66" s="4">
        <f t="shared" si="10"/>
        <v>0</v>
      </c>
      <c r="AG66" s="4">
        <f t="shared" si="10"/>
        <v>0</v>
      </c>
      <c r="AH66" s="4">
        <f t="shared" si="10"/>
        <v>0</v>
      </c>
      <c r="AI66" s="4">
        <f t="shared" si="10"/>
        <v>0</v>
      </c>
      <c r="AJ66" s="4">
        <f t="shared" si="10"/>
        <v>68978.894426937259</v>
      </c>
      <c r="AK66" s="4">
        <f t="shared" si="10"/>
        <v>63536.986437076121</v>
      </c>
      <c r="AL66" s="4">
        <f>(AL32/1000)*265</f>
        <v>6971.6617755085726</v>
      </c>
      <c r="AM66" s="4">
        <f t="shared" ref="AM66:AV66" si="11">(AM32/1000)*265</f>
        <v>4266.6570066112454</v>
      </c>
      <c r="AN66" s="4">
        <f t="shared" si="11"/>
        <v>1446.6198184180284</v>
      </c>
      <c r="AO66" s="4">
        <f t="shared" si="11"/>
        <v>1510.3775870588779</v>
      </c>
      <c r="AP66" s="4">
        <f t="shared" si="11"/>
        <v>6344.5924112439952</v>
      </c>
      <c r="AQ66" s="4">
        <f t="shared" si="11"/>
        <v>918.47285699526356</v>
      </c>
      <c r="AR66" s="4">
        <f t="shared" si="11"/>
        <v>401.76473510670007</v>
      </c>
      <c r="AS66" s="4">
        <f t="shared" si="11"/>
        <v>1789.6792745662101</v>
      </c>
      <c r="AT66" s="4">
        <f t="shared" si="11"/>
        <v>1397.0463104833714</v>
      </c>
      <c r="AU66" s="4">
        <f t="shared" si="11"/>
        <v>19948.848441531343</v>
      </c>
      <c r="AV66" s="4">
        <f t="shared" si="11"/>
        <v>18375.03664555533</v>
      </c>
    </row>
    <row r="67" spans="16:48" x14ac:dyDescent="0.2">
      <c r="P67" s="4">
        <f>P33/1000</f>
        <v>5365.9987010243949</v>
      </c>
      <c r="Q67" s="4">
        <f t="shared" ref="Q67:Z67" si="12">Q33/1000</f>
        <v>2736.6593375224411</v>
      </c>
      <c r="R67" s="4">
        <f t="shared" si="12"/>
        <v>1113.4447304625619</v>
      </c>
      <c r="S67" s="4">
        <f t="shared" si="12"/>
        <v>1270.3690722412744</v>
      </c>
      <c r="T67" s="4">
        <f t="shared" si="12"/>
        <v>5336.3967025729362</v>
      </c>
      <c r="U67" s="4">
        <f t="shared" si="12"/>
        <v>772.52173311969386</v>
      </c>
      <c r="V67" s="4">
        <f t="shared" si="12"/>
        <v>337.9217873529422</v>
      </c>
      <c r="W67" s="4">
        <f t="shared" si="12"/>
        <v>1505.2879618449244</v>
      </c>
      <c r="X67" s="4">
        <f t="shared" si="12"/>
        <v>1039.4376008187608</v>
      </c>
      <c r="Y67" s="4">
        <f t="shared" si="12"/>
        <v>15625.096594245439</v>
      </c>
      <c r="Z67" s="4">
        <f t="shared" si="12"/>
        <v>14392.395799241536</v>
      </c>
      <c r="AA67" s="4">
        <f>(AA33/1000)*28</f>
        <v>0</v>
      </c>
      <c r="AB67" s="4">
        <f t="shared" ref="AB67:AK67" si="13">(AB33/1000)*28</f>
        <v>0</v>
      </c>
      <c r="AC67" s="4">
        <f t="shared" si="13"/>
        <v>0</v>
      </c>
      <c r="AD67" s="4">
        <f t="shared" si="13"/>
        <v>0</v>
      </c>
      <c r="AE67" s="4">
        <f t="shared" si="13"/>
        <v>0</v>
      </c>
      <c r="AF67" s="4">
        <f t="shared" si="13"/>
        <v>0</v>
      </c>
      <c r="AG67" s="4">
        <f t="shared" si="13"/>
        <v>0</v>
      </c>
      <c r="AH67" s="4">
        <f t="shared" si="13"/>
        <v>0</v>
      </c>
      <c r="AI67" s="4">
        <f t="shared" si="13"/>
        <v>0</v>
      </c>
      <c r="AJ67" s="4">
        <f t="shared" si="13"/>
        <v>517885.9095990333</v>
      </c>
      <c r="AK67" s="4">
        <f t="shared" si="13"/>
        <v>477028.66634082736</v>
      </c>
      <c r="AL67" s="4">
        <f>(AL33/1000)*265</f>
        <v>31252.519907065158</v>
      </c>
      <c r="AM67" s="4">
        <f t="shared" ref="AM67:AV67" si="14">(AM33/1000)*265</f>
        <v>19126.542183123875</v>
      </c>
      <c r="AN67" s="4">
        <f t="shared" si="14"/>
        <v>6484.8978807160202</v>
      </c>
      <c r="AO67" s="4">
        <f t="shared" si="14"/>
        <v>7398.852838328301</v>
      </c>
      <c r="AP67" s="4">
        <f t="shared" si="14"/>
        <v>31080.11266333688</v>
      </c>
      <c r="AQ67" s="4">
        <f t="shared" si="14"/>
        <v>4499.3024016861291</v>
      </c>
      <c r="AR67" s="4">
        <f t="shared" si="14"/>
        <v>1968.1159043632897</v>
      </c>
      <c r="AS67" s="4">
        <f t="shared" si="14"/>
        <v>8767.0617558001086</v>
      </c>
      <c r="AT67" s="4">
        <f t="shared" si="14"/>
        <v>6053.8673454279442</v>
      </c>
      <c r="AU67" s="4">
        <f t="shared" si="14"/>
        <v>121330.69192601283</v>
      </c>
      <c r="AV67" s="4">
        <f t="shared" si="14"/>
        <v>111758.62691550577</v>
      </c>
    </row>
    <row r="70" spans="16:48" x14ac:dyDescent="0.2">
      <c r="P70" s="4">
        <f>P66+AA66+AL66</f>
        <v>8168.6829482845733</v>
      </c>
      <c r="Q70" s="4">
        <f t="shared" ref="Q70:Z70" si="15">Q66+AB66+AM66</f>
        <v>4877.1378047270055</v>
      </c>
      <c r="R70" s="4">
        <f t="shared" si="15"/>
        <v>1695.0017117690484</v>
      </c>
      <c r="S70" s="4">
        <f t="shared" si="15"/>
        <v>1769.706568987855</v>
      </c>
      <c r="T70" s="4">
        <f t="shared" si="15"/>
        <v>7433.9469573255119</v>
      </c>
      <c r="U70" s="4">
        <f t="shared" si="15"/>
        <v>1076.1729135736955</v>
      </c>
      <c r="V70" s="4">
        <f t="shared" si="15"/>
        <v>470.74698207785048</v>
      </c>
      <c r="W70" s="4">
        <f t="shared" si="15"/>
        <v>2096.9638292558802</v>
      </c>
      <c r="X70" s="4">
        <f t="shared" si="15"/>
        <v>1636.9165260569314</v>
      </c>
      <c r="Y70" s="4">
        <f t="shared" si="15"/>
        <v>91496.776959471434</v>
      </c>
      <c r="Z70" s="4">
        <f t="shared" si="15"/>
        <v>84278.380003143218</v>
      </c>
      <c r="AA70" s="4">
        <f>SUM(P70:Z70)</f>
        <v>205000.433204673</v>
      </c>
    </row>
    <row r="71" spans="16:48" x14ac:dyDescent="0.2">
      <c r="P71" s="4">
        <f>P67+AA67+AL67</f>
        <v>36618.518608089551</v>
      </c>
      <c r="Q71" s="4">
        <f t="shared" ref="Q71:Z71" si="16">Q67+AB67+AM67</f>
        <v>21863.201520646315</v>
      </c>
      <c r="R71" s="4">
        <f t="shared" si="16"/>
        <v>7598.342611178582</v>
      </c>
      <c r="S71" s="4">
        <f t="shared" si="16"/>
        <v>8669.2219105695749</v>
      </c>
      <c r="T71" s="4">
        <f t="shared" si="16"/>
        <v>36416.50936590982</v>
      </c>
      <c r="U71" s="4">
        <f t="shared" si="16"/>
        <v>5271.8241348058227</v>
      </c>
      <c r="V71" s="4">
        <f t="shared" si="16"/>
        <v>2306.0376917162321</v>
      </c>
      <c r="W71" s="4">
        <f t="shared" si="16"/>
        <v>10272.349717645033</v>
      </c>
      <c r="X71" s="4">
        <f t="shared" si="16"/>
        <v>7093.3049462467052</v>
      </c>
      <c r="Y71" s="4">
        <f t="shared" si="16"/>
        <v>654841.69811929157</v>
      </c>
      <c r="Z71" s="4">
        <f t="shared" si="16"/>
        <v>603179.68905557471</v>
      </c>
      <c r="AA71" s="4">
        <f>SUM(P71:Z71)</f>
        <v>1394130.6976816738</v>
      </c>
    </row>
    <row r="98" spans="16:29" x14ac:dyDescent="0.2">
      <c r="P98" s="41"/>
      <c r="Q98" s="41"/>
      <c r="R98" s="41"/>
      <c r="S98" s="41"/>
      <c r="T98" s="41"/>
      <c r="U98" s="41"/>
      <c r="V98" s="41"/>
      <c r="W98" s="41"/>
      <c r="X98" s="41"/>
      <c r="Y98" s="41"/>
      <c r="Z98" s="41"/>
      <c r="AA98" s="42"/>
      <c r="AB98" s="4"/>
      <c r="AC98" s="4"/>
    </row>
    <row r="99" spans="16:29" x14ac:dyDescent="0.2">
      <c r="P99" s="41"/>
      <c r="Q99" s="41"/>
      <c r="R99" s="41"/>
      <c r="S99" s="41"/>
      <c r="T99" s="41"/>
      <c r="U99" s="41"/>
      <c r="V99" s="41"/>
      <c r="W99" s="41"/>
      <c r="X99" s="41"/>
      <c r="Y99" s="41"/>
      <c r="Z99" s="41"/>
      <c r="AA99" s="42"/>
    </row>
  </sheetData>
  <mergeCells count="27">
    <mergeCell ref="AU36:AV36"/>
    <mergeCell ref="AD36:AH36"/>
    <mergeCell ref="AJ36:AK36"/>
    <mergeCell ref="AL36:AN36"/>
    <mergeCell ref="B3:K3"/>
    <mergeCell ref="P36:R36"/>
    <mergeCell ref="S36:W36"/>
    <mergeCell ref="AO4:AS4"/>
    <mergeCell ref="AJ4:AK4"/>
    <mergeCell ref="AL4:AN4"/>
    <mergeCell ref="AD4:AH4"/>
    <mergeCell ref="AA4:AC4"/>
    <mergeCell ref="Y36:Z36"/>
    <mergeCell ref="AA36:AC36"/>
    <mergeCell ref="AO36:AS36"/>
    <mergeCell ref="P3:Z3"/>
    <mergeCell ref="AA3:AK3"/>
    <mergeCell ref="AL3:AV3"/>
    <mergeCell ref="P2:AV2"/>
    <mergeCell ref="P35:Z35"/>
    <mergeCell ref="P34:AV34"/>
    <mergeCell ref="AA35:AK35"/>
    <mergeCell ref="AL35:AV35"/>
    <mergeCell ref="Y4:Z4"/>
    <mergeCell ref="P4:R4"/>
    <mergeCell ref="S4:W4"/>
    <mergeCell ref="AU4:AV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01293-2D38-874C-8862-E94F06486FE5}">
  <dimension ref="B1:AJ118"/>
  <sheetViews>
    <sheetView topLeftCell="A20" zoomScale="130" zoomScaleNormal="130" workbookViewId="0">
      <selection activeCell="AI105" sqref="AI105"/>
    </sheetView>
  </sheetViews>
  <sheetFormatPr baseColWidth="10" defaultRowHeight="16" x14ac:dyDescent="0.2"/>
  <cols>
    <col min="1" max="1" width="3.33203125" customWidth="1"/>
    <col min="2" max="2" width="20.83203125" customWidth="1"/>
    <col min="3" max="3" width="23.5" customWidth="1"/>
    <col min="4" max="4" width="11.5" style="291" customWidth="1"/>
    <col min="5" max="30" width="11.33203125" bestFit="1" customWidth="1"/>
  </cols>
  <sheetData>
    <row r="1" spans="2:30" ht="17" thickBot="1" x14ac:dyDescent="0.25"/>
    <row r="2" spans="2:30" ht="17" thickBot="1" x14ac:dyDescent="0.25">
      <c r="D2" s="343" t="s">
        <v>120</v>
      </c>
      <c r="E2" s="344"/>
      <c r="F2" s="345"/>
    </row>
    <row r="3" spans="2:30" ht="17" thickBot="1" x14ac:dyDescent="0.25">
      <c r="B3" s="289" t="s">
        <v>1</v>
      </c>
      <c r="C3" s="92" t="s">
        <v>2</v>
      </c>
      <c r="D3" s="293" t="s">
        <v>216</v>
      </c>
      <c r="E3" s="91">
        <v>2025</v>
      </c>
      <c r="F3" s="91">
        <v>2026</v>
      </c>
      <c r="G3" s="91">
        <v>2027</v>
      </c>
      <c r="H3" s="91">
        <v>2028</v>
      </c>
      <c r="I3" s="91">
        <v>2029</v>
      </c>
      <c r="J3" s="91">
        <v>2030</v>
      </c>
      <c r="K3" s="91">
        <v>2031</v>
      </c>
      <c r="L3" s="91">
        <v>2032</v>
      </c>
      <c r="M3" s="91">
        <v>2033</v>
      </c>
      <c r="N3" s="91">
        <v>2034</v>
      </c>
      <c r="O3" s="91">
        <v>2035</v>
      </c>
      <c r="P3" s="91">
        <v>2036</v>
      </c>
      <c r="Q3" s="91">
        <v>2037</v>
      </c>
      <c r="R3" s="91">
        <v>2038</v>
      </c>
      <c r="S3" s="91">
        <v>2039</v>
      </c>
      <c r="T3" s="91">
        <v>2040</v>
      </c>
      <c r="U3" s="91">
        <v>2041</v>
      </c>
      <c r="V3" s="91">
        <v>2042</v>
      </c>
      <c r="W3" s="91">
        <v>2043</v>
      </c>
      <c r="X3" s="91">
        <v>2044</v>
      </c>
      <c r="Y3" s="91">
        <v>2045</v>
      </c>
      <c r="Z3" s="91">
        <v>2046</v>
      </c>
      <c r="AA3" s="91">
        <v>2047</v>
      </c>
      <c r="AB3" s="91">
        <v>2048</v>
      </c>
      <c r="AC3" s="91">
        <v>2049</v>
      </c>
      <c r="AD3" s="92">
        <v>2050</v>
      </c>
    </row>
    <row r="4" spans="2:30" x14ac:dyDescent="0.2">
      <c r="B4" s="294" t="str">
        <f>Sludge!B3</f>
        <v>Orlando</v>
      </c>
      <c r="C4" s="294" t="str">
        <f>Sludge!C3</f>
        <v>Iron Bridge Regional WRF</v>
      </c>
      <c r="D4" s="315">
        <f>Sludge!G3</f>
        <v>125</v>
      </c>
      <c r="E4" s="316">
        <f>INDEX(GrowthFactors!$O$1:$O$30,MATCH(E$3,GrowthFactors!$B$1:$B$30,0))*$D4</f>
        <v>137.32315116427409</v>
      </c>
      <c r="F4" s="316">
        <f>INDEX(GrowthFactors!$O$1:$O$30,MATCH(F$3,GrowthFactors!$B$1:$B$30,0))*$D4</f>
        <v>139.90785181740262</v>
      </c>
      <c r="G4" s="316">
        <f>INDEX(GrowthFactors!$O$1:$O$30,MATCH(G$3,GrowthFactors!$B$1:$B$30,0))*$D4</f>
        <v>142.49255247053117</v>
      </c>
      <c r="H4" s="316">
        <f>INDEX(GrowthFactors!$O$1:$O$30,MATCH(H$3,GrowthFactors!$B$1:$B$30,0))*$D4</f>
        <v>145.07725312365966</v>
      </c>
      <c r="I4" s="316">
        <f>INDEX(GrowthFactors!$O$1:$O$30,MATCH(I$3,GrowthFactors!$B$1:$B$30,0))*$D4</f>
        <v>147.66195377678821</v>
      </c>
      <c r="J4" s="316">
        <f>INDEX(GrowthFactors!$O$1:$O$30,MATCH(J$3,GrowthFactors!$B$1:$B$30,0))*$D4</f>
        <v>149.8914630082395</v>
      </c>
      <c r="K4" s="316">
        <f>INDEX(GrowthFactors!$O$1:$O$30,MATCH(K$3,GrowthFactors!$B$1:$B$30,0))*$D4</f>
        <v>151.55813044841747</v>
      </c>
      <c r="L4" s="316">
        <f>INDEX(GrowthFactors!$O$1:$O$30,MATCH(L$3,GrowthFactors!$B$1:$B$30,0))*$D4</f>
        <v>153.2247978885955</v>
      </c>
      <c r="M4" s="316">
        <f>INDEX(GrowthFactors!$O$1:$O$30,MATCH(M$3,GrowthFactors!$B$1:$B$30,0))*$D4</f>
        <v>154.89146532877351</v>
      </c>
      <c r="N4" s="316">
        <f>INDEX(GrowthFactors!$O$1:$O$30,MATCH(N$3,GrowthFactors!$B$1:$B$30,0))*$D4</f>
        <v>156.55813276895154</v>
      </c>
      <c r="O4" s="316">
        <f>INDEX(GrowthFactors!$O$1:$O$30,MATCH(O$3,GrowthFactors!$B$1:$B$30,0))*$D4</f>
        <v>158.22480020912954</v>
      </c>
      <c r="P4" s="316">
        <f>INDEX(GrowthFactors!$O$1:$O$30,MATCH(P$3,GrowthFactors!$B$1:$B$30,0))*$D4</f>
        <v>159.20840722300508</v>
      </c>
      <c r="Q4" s="316">
        <f>INDEX(GrowthFactors!$O$1:$O$30,MATCH(Q$3,GrowthFactors!$B$1:$B$30,0))*$D4</f>
        <v>160.19201423688065</v>
      </c>
      <c r="R4" s="316">
        <f>INDEX(GrowthFactors!$O$1:$O$30,MATCH(R$3,GrowthFactors!$B$1:$B$30,0))*$D4</f>
        <v>161.17562125075622</v>
      </c>
      <c r="S4" s="316">
        <f>INDEX(GrowthFactors!$O$1:$O$30,MATCH(S$3,GrowthFactors!$B$1:$B$30,0))*$D4</f>
        <v>162.15922826463179</v>
      </c>
      <c r="T4" s="316">
        <f>INDEX(GrowthFactors!$O$1:$O$30,MATCH(T$3,GrowthFactors!$B$1:$B$30,0))*$D4</f>
        <v>163.14283527850728</v>
      </c>
      <c r="U4" s="316">
        <f>INDEX(GrowthFactors!$O$1:$O$30,MATCH(U$3,GrowthFactors!$B$1:$B$30,0))*$D4</f>
        <v>164.06633297486823</v>
      </c>
      <c r="V4" s="316">
        <f>INDEX(GrowthFactors!$O$1:$O$30,MATCH(V$3,GrowthFactors!$B$1:$B$30,0))*$D4</f>
        <v>164.98983067122916</v>
      </c>
      <c r="W4" s="316">
        <f>INDEX(GrowthFactors!$O$1:$O$30,MATCH(W$3,GrowthFactors!$B$1:$B$30,0))*$D4</f>
        <v>165.91332836759008</v>
      </c>
      <c r="X4" s="316">
        <f>INDEX(GrowthFactors!$O$1:$O$30,MATCH(X$3,GrowthFactors!$B$1:$B$30,0))*$D4</f>
        <v>166.83682606395104</v>
      </c>
      <c r="Y4" s="316">
        <f>INDEX(GrowthFactors!$O$1:$O$30,MATCH(Y$3,GrowthFactors!$B$1:$B$30,0))*$D4</f>
        <v>167.76032376031199</v>
      </c>
      <c r="Z4" s="316">
        <f>INDEX(GrowthFactors!$O$1:$O$30,MATCH(Z$3,GrowthFactors!$B$1:$B$30,0))*$D4</f>
        <v>168.68382145667289</v>
      </c>
      <c r="AA4" s="316">
        <f>INDEX(GrowthFactors!$O$1:$O$30,MATCH(AA$3,GrowthFactors!$B$1:$B$30,0))*$D4</f>
        <v>169.60731915303381</v>
      </c>
      <c r="AB4" s="316">
        <f>INDEX(GrowthFactors!$O$1:$O$30,MATCH(AB$3,GrowthFactors!$B$1:$B$30,0))*$D4</f>
        <v>170.53081684939474</v>
      </c>
      <c r="AC4" s="316">
        <f>INDEX(GrowthFactors!$O$1:$O$30,MATCH(AC$3,GrowthFactors!$B$1:$B$30,0))*$D4</f>
        <v>171.45431454575569</v>
      </c>
      <c r="AD4" s="316">
        <f>INDEX(GrowthFactors!$O$1:$O$30,MATCH(AD$3,GrowthFactors!$B$1:$B$30,0))*$D4</f>
        <v>172.37781224211668</v>
      </c>
    </row>
    <row r="5" spans="2:30" x14ac:dyDescent="0.2">
      <c r="B5" s="294" t="str">
        <f>Sludge!B4</f>
        <v>Orlando</v>
      </c>
      <c r="C5" s="294" t="str">
        <f>Sludge!C4</f>
        <v>Water Conserv II WRF</v>
      </c>
      <c r="D5" s="315">
        <f>Sludge!G4</f>
        <v>95.625</v>
      </c>
      <c r="E5" s="316">
        <f>INDEX(GrowthFactors!$O$1:$O$30,MATCH(E$3,GrowthFactors!$B$1:$B$30,0))*$D5</f>
        <v>105.05221064066968</v>
      </c>
      <c r="F5" s="316">
        <f>INDEX(GrowthFactors!$O$1:$O$30,MATCH(F$3,GrowthFactors!$B$1:$B$30,0))*$D5</f>
        <v>107.029506640313</v>
      </c>
      <c r="G5" s="316">
        <f>INDEX(GrowthFactors!$O$1:$O$30,MATCH(G$3,GrowthFactors!$B$1:$B$30,0))*$D5</f>
        <v>109.00680263995633</v>
      </c>
      <c r="H5" s="316">
        <f>INDEX(GrowthFactors!$O$1:$O$30,MATCH(H$3,GrowthFactors!$B$1:$B$30,0))*$D5</f>
        <v>110.98409863959964</v>
      </c>
      <c r="I5" s="316">
        <f>INDEX(GrowthFactors!$O$1:$O$30,MATCH(I$3,GrowthFactors!$B$1:$B$30,0))*$D5</f>
        <v>112.96139463924297</v>
      </c>
      <c r="J5" s="316">
        <f>INDEX(GrowthFactors!$O$1:$O$30,MATCH(J$3,GrowthFactors!$B$1:$B$30,0))*$D5</f>
        <v>114.66696920130322</v>
      </c>
      <c r="K5" s="316">
        <f>INDEX(GrowthFactors!$O$1:$O$30,MATCH(K$3,GrowthFactors!$B$1:$B$30,0))*$D5</f>
        <v>115.94196979303938</v>
      </c>
      <c r="L5" s="316">
        <f>INDEX(GrowthFactors!$O$1:$O$30,MATCH(L$3,GrowthFactors!$B$1:$B$30,0))*$D5</f>
        <v>117.21697038477555</v>
      </c>
      <c r="M5" s="316">
        <f>INDEX(GrowthFactors!$O$1:$O$30,MATCH(M$3,GrowthFactors!$B$1:$B$30,0))*$D5</f>
        <v>118.49197097651174</v>
      </c>
      <c r="N5" s="316">
        <f>INDEX(GrowthFactors!$O$1:$O$30,MATCH(N$3,GrowthFactors!$B$1:$B$30,0))*$D5</f>
        <v>119.76697156824793</v>
      </c>
      <c r="O5" s="316">
        <f>INDEX(GrowthFactors!$O$1:$O$30,MATCH(O$3,GrowthFactors!$B$1:$B$30,0))*$D5</f>
        <v>121.0419721599841</v>
      </c>
      <c r="P5" s="316">
        <f>INDEX(GrowthFactors!$O$1:$O$30,MATCH(P$3,GrowthFactors!$B$1:$B$30,0))*$D5</f>
        <v>121.7944315255989</v>
      </c>
      <c r="Q5" s="316">
        <f>INDEX(GrowthFactors!$O$1:$O$30,MATCH(Q$3,GrowthFactors!$B$1:$B$30,0))*$D5</f>
        <v>122.54689089121369</v>
      </c>
      <c r="R5" s="316">
        <f>INDEX(GrowthFactors!$O$1:$O$30,MATCH(R$3,GrowthFactors!$B$1:$B$30,0))*$D5</f>
        <v>123.2993502568285</v>
      </c>
      <c r="S5" s="316">
        <f>INDEX(GrowthFactors!$O$1:$O$30,MATCH(S$3,GrowthFactors!$B$1:$B$30,0))*$D5</f>
        <v>124.05180962244333</v>
      </c>
      <c r="T5" s="316">
        <f>INDEX(GrowthFactors!$O$1:$O$30,MATCH(T$3,GrowthFactors!$B$1:$B$30,0))*$D5</f>
        <v>124.80426898805807</v>
      </c>
      <c r="U5" s="316">
        <f>INDEX(GrowthFactors!$O$1:$O$30,MATCH(U$3,GrowthFactors!$B$1:$B$30,0))*$D5</f>
        <v>125.51074472577419</v>
      </c>
      <c r="V5" s="316">
        <f>INDEX(GrowthFactors!$O$1:$O$30,MATCH(V$3,GrowthFactors!$B$1:$B$30,0))*$D5</f>
        <v>126.21722046349031</v>
      </c>
      <c r="W5" s="316">
        <f>INDEX(GrowthFactors!$O$1:$O$30,MATCH(W$3,GrowthFactors!$B$1:$B$30,0))*$D5</f>
        <v>126.92369620120643</v>
      </c>
      <c r="X5" s="316">
        <f>INDEX(GrowthFactors!$O$1:$O$30,MATCH(X$3,GrowthFactors!$B$1:$B$30,0))*$D5</f>
        <v>127.63017193892254</v>
      </c>
      <c r="Y5" s="316">
        <f>INDEX(GrowthFactors!$O$1:$O$30,MATCH(Y$3,GrowthFactors!$B$1:$B$30,0))*$D5</f>
        <v>128.33664767663868</v>
      </c>
      <c r="Z5" s="316">
        <f>INDEX(GrowthFactors!$O$1:$O$30,MATCH(Z$3,GrowthFactors!$B$1:$B$30,0))*$D5</f>
        <v>129.04312341435474</v>
      </c>
      <c r="AA5" s="316">
        <f>INDEX(GrowthFactors!$O$1:$O$30,MATCH(AA$3,GrowthFactors!$B$1:$B$30,0))*$D5</f>
        <v>129.74959915207086</v>
      </c>
      <c r="AB5" s="316">
        <f>INDEX(GrowthFactors!$O$1:$O$30,MATCH(AB$3,GrowthFactors!$B$1:$B$30,0))*$D5</f>
        <v>130.45607488978698</v>
      </c>
      <c r="AC5" s="316">
        <f>INDEX(GrowthFactors!$O$1:$O$30,MATCH(AC$3,GrowthFactors!$B$1:$B$30,0))*$D5</f>
        <v>131.16255062750309</v>
      </c>
      <c r="AD5" s="316">
        <f>INDEX(GrowthFactors!$O$1:$O$30,MATCH(AD$3,GrowthFactors!$B$1:$B$30,0))*$D5</f>
        <v>131.86902636521927</v>
      </c>
    </row>
    <row r="6" spans="2:30" x14ac:dyDescent="0.2">
      <c r="B6" s="294" t="str">
        <f>Sludge!B5</f>
        <v>Orlando</v>
      </c>
      <c r="C6" s="294" t="str">
        <f>Sludge!C5</f>
        <v>Water Conserv I WRF</v>
      </c>
      <c r="D6" s="315">
        <f>Sludge!G5</f>
        <v>25.937499999999996</v>
      </c>
      <c r="E6" s="316">
        <f>INDEX(GrowthFactors!$O$1:$O$30,MATCH(E$3,GrowthFactors!$B$1:$B$30,0))*$D6</f>
        <v>28.494553866586873</v>
      </c>
      <c r="F6" s="316">
        <f>INDEX(GrowthFactors!$O$1:$O$30,MATCH(F$3,GrowthFactors!$B$1:$B$30,0))*$D6</f>
        <v>29.030879252111038</v>
      </c>
      <c r="G6" s="316">
        <f>INDEX(GrowthFactors!$O$1:$O$30,MATCH(G$3,GrowthFactors!$B$1:$B$30,0))*$D6</f>
        <v>29.567204637635214</v>
      </c>
      <c r="H6" s="316">
        <f>INDEX(GrowthFactors!$O$1:$O$30,MATCH(H$3,GrowthFactors!$B$1:$B$30,0))*$D6</f>
        <v>30.103530023159376</v>
      </c>
      <c r="I6" s="316">
        <f>INDEX(GrowthFactors!$O$1:$O$30,MATCH(I$3,GrowthFactors!$B$1:$B$30,0))*$D6</f>
        <v>30.639855408683548</v>
      </c>
      <c r="J6" s="316">
        <f>INDEX(GrowthFactors!$O$1:$O$30,MATCH(J$3,GrowthFactors!$B$1:$B$30,0))*$D6</f>
        <v>31.102478574209691</v>
      </c>
      <c r="K6" s="316">
        <f>INDEX(GrowthFactors!$O$1:$O$30,MATCH(K$3,GrowthFactors!$B$1:$B$30,0))*$D6</f>
        <v>31.448312068046622</v>
      </c>
      <c r="L6" s="316">
        <f>INDEX(GrowthFactors!$O$1:$O$30,MATCH(L$3,GrowthFactors!$B$1:$B$30,0))*$D6</f>
        <v>31.79414556188356</v>
      </c>
      <c r="M6" s="316">
        <f>INDEX(GrowthFactors!$O$1:$O$30,MATCH(M$3,GrowthFactors!$B$1:$B$30,0))*$D6</f>
        <v>32.139979055720502</v>
      </c>
      <c r="N6" s="316">
        <f>INDEX(GrowthFactors!$O$1:$O$30,MATCH(N$3,GrowthFactors!$B$1:$B$30,0))*$D6</f>
        <v>32.485812549557437</v>
      </c>
      <c r="O6" s="316">
        <f>INDEX(GrowthFactors!$O$1:$O$30,MATCH(O$3,GrowthFactors!$B$1:$B$30,0))*$D6</f>
        <v>32.831646043394379</v>
      </c>
      <c r="P6" s="316">
        <f>INDEX(GrowthFactors!$O$1:$O$30,MATCH(P$3,GrowthFactors!$B$1:$B$30,0))*$D6</f>
        <v>33.035744498773553</v>
      </c>
      <c r="Q6" s="316">
        <f>INDEX(GrowthFactors!$O$1:$O$30,MATCH(Q$3,GrowthFactors!$B$1:$B$30,0))*$D6</f>
        <v>33.239842954152728</v>
      </c>
      <c r="R6" s="316">
        <f>INDEX(GrowthFactors!$O$1:$O$30,MATCH(R$3,GrowthFactors!$B$1:$B$30,0))*$D6</f>
        <v>33.443941409531909</v>
      </c>
      <c r="S6" s="316">
        <f>INDEX(GrowthFactors!$O$1:$O$30,MATCH(S$3,GrowthFactors!$B$1:$B$30,0))*$D6</f>
        <v>33.648039864911098</v>
      </c>
      <c r="T6" s="316">
        <f>INDEX(GrowthFactors!$O$1:$O$30,MATCH(T$3,GrowthFactors!$B$1:$B$30,0))*$D6</f>
        <v>33.852138320290258</v>
      </c>
      <c r="U6" s="316">
        <f>INDEX(GrowthFactors!$O$1:$O$30,MATCH(U$3,GrowthFactors!$B$1:$B$30,0))*$D6</f>
        <v>34.043764092285151</v>
      </c>
      <c r="V6" s="316">
        <f>INDEX(GrowthFactors!$O$1:$O$30,MATCH(V$3,GrowthFactors!$B$1:$B$30,0))*$D6</f>
        <v>34.235389864280044</v>
      </c>
      <c r="W6" s="316">
        <f>INDEX(GrowthFactors!$O$1:$O$30,MATCH(W$3,GrowthFactors!$B$1:$B$30,0))*$D6</f>
        <v>34.427015636274938</v>
      </c>
      <c r="X6" s="316">
        <f>INDEX(GrowthFactors!$O$1:$O$30,MATCH(X$3,GrowthFactors!$B$1:$B$30,0))*$D6</f>
        <v>34.618641408269838</v>
      </c>
      <c r="Y6" s="316">
        <f>INDEX(GrowthFactors!$O$1:$O$30,MATCH(Y$3,GrowthFactors!$B$1:$B$30,0))*$D6</f>
        <v>34.810267180264738</v>
      </c>
      <c r="Z6" s="316">
        <f>INDEX(GrowthFactors!$O$1:$O$30,MATCH(Z$3,GrowthFactors!$B$1:$B$30,0))*$D6</f>
        <v>35.001892952259617</v>
      </c>
      <c r="AA6" s="316">
        <f>INDEX(GrowthFactors!$O$1:$O$30,MATCH(AA$3,GrowthFactors!$B$1:$B$30,0))*$D6</f>
        <v>35.19351872425451</v>
      </c>
      <c r="AB6" s="316">
        <f>INDEX(GrowthFactors!$O$1:$O$30,MATCH(AB$3,GrowthFactors!$B$1:$B$30,0))*$D6</f>
        <v>35.385144496249403</v>
      </c>
      <c r="AC6" s="316">
        <f>INDEX(GrowthFactors!$O$1:$O$30,MATCH(AC$3,GrowthFactors!$B$1:$B$30,0))*$D6</f>
        <v>35.576770268244303</v>
      </c>
      <c r="AD6" s="316">
        <f>INDEX(GrowthFactors!$O$1:$O$30,MATCH(AD$3,GrowthFactors!$B$1:$B$30,0))*$D6</f>
        <v>35.768396040239203</v>
      </c>
    </row>
    <row r="7" spans="2:30" x14ac:dyDescent="0.2">
      <c r="B7" s="294" t="str">
        <f>Sludge!B6</f>
        <v>Altamonte Springs</v>
      </c>
      <c r="C7" s="294" t="str">
        <f>Sludge!C6</f>
        <v>Regional WRF</v>
      </c>
      <c r="D7" s="315">
        <f>Sludge!G6</f>
        <v>32.5</v>
      </c>
      <c r="E7" s="316">
        <f>INDEX(GrowthFactors!$O$1:$O$30,MATCH(E$3,GrowthFactors!$B$1:$B$30,0))*$D7</f>
        <v>35.704019302711266</v>
      </c>
      <c r="F7" s="316">
        <f>INDEX(GrowthFactors!$O$1:$O$30,MATCH(F$3,GrowthFactors!$B$1:$B$30,0))*$D7</f>
        <v>36.376041472524683</v>
      </c>
      <c r="G7" s="316">
        <f>INDEX(GrowthFactors!$O$1:$O$30,MATCH(G$3,GrowthFactors!$B$1:$B$30,0))*$D7</f>
        <v>37.0480636423381</v>
      </c>
      <c r="H7" s="316">
        <f>INDEX(GrowthFactors!$O$1:$O$30,MATCH(H$3,GrowthFactors!$B$1:$B$30,0))*$D7</f>
        <v>37.72008581215151</v>
      </c>
      <c r="I7" s="316">
        <f>INDEX(GrowthFactors!$O$1:$O$30,MATCH(I$3,GrowthFactors!$B$1:$B$30,0))*$D7</f>
        <v>38.392107981964934</v>
      </c>
      <c r="J7" s="316">
        <f>INDEX(GrowthFactors!$O$1:$O$30,MATCH(J$3,GrowthFactors!$B$1:$B$30,0))*$D7</f>
        <v>38.971780382142271</v>
      </c>
      <c r="K7" s="316">
        <f>INDEX(GrowthFactors!$O$1:$O$30,MATCH(K$3,GrowthFactors!$B$1:$B$30,0))*$D7</f>
        <v>39.405113916588547</v>
      </c>
      <c r="L7" s="316">
        <f>INDEX(GrowthFactors!$O$1:$O$30,MATCH(L$3,GrowthFactors!$B$1:$B$30,0))*$D7</f>
        <v>39.838447451034831</v>
      </c>
      <c r="M7" s="316">
        <f>INDEX(GrowthFactors!$O$1:$O$30,MATCH(M$3,GrowthFactors!$B$1:$B$30,0))*$D7</f>
        <v>40.271780985481115</v>
      </c>
      <c r="N7" s="316">
        <f>INDEX(GrowthFactors!$O$1:$O$30,MATCH(N$3,GrowthFactors!$B$1:$B$30,0))*$D7</f>
        <v>40.705114519927399</v>
      </c>
      <c r="O7" s="316">
        <f>INDEX(GrowthFactors!$O$1:$O$30,MATCH(O$3,GrowthFactors!$B$1:$B$30,0))*$D7</f>
        <v>41.138448054373683</v>
      </c>
      <c r="P7" s="316">
        <f>INDEX(GrowthFactors!$O$1:$O$30,MATCH(P$3,GrowthFactors!$B$1:$B$30,0))*$D7</f>
        <v>41.394185877981322</v>
      </c>
      <c r="Q7" s="316">
        <f>INDEX(GrowthFactors!$O$1:$O$30,MATCH(Q$3,GrowthFactors!$B$1:$B$30,0))*$D7</f>
        <v>41.649923701588968</v>
      </c>
      <c r="R7" s="316">
        <f>INDEX(GrowthFactors!$O$1:$O$30,MATCH(R$3,GrowthFactors!$B$1:$B$30,0))*$D7</f>
        <v>41.905661525196614</v>
      </c>
      <c r="S7" s="316">
        <f>INDEX(GrowthFactors!$O$1:$O$30,MATCH(S$3,GrowthFactors!$B$1:$B$30,0))*$D7</f>
        <v>42.161399348804267</v>
      </c>
      <c r="T7" s="316">
        <f>INDEX(GrowthFactors!$O$1:$O$30,MATCH(T$3,GrowthFactors!$B$1:$B$30,0))*$D7</f>
        <v>42.417137172411891</v>
      </c>
      <c r="U7" s="316">
        <f>INDEX(GrowthFactors!$O$1:$O$30,MATCH(U$3,GrowthFactors!$B$1:$B$30,0))*$D7</f>
        <v>42.657246573465741</v>
      </c>
      <c r="V7" s="316">
        <f>INDEX(GrowthFactors!$O$1:$O$30,MATCH(V$3,GrowthFactors!$B$1:$B$30,0))*$D7</f>
        <v>42.897355974519584</v>
      </c>
      <c r="W7" s="316">
        <f>INDEX(GrowthFactors!$O$1:$O$30,MATCH(W$3,GrowthFactors!$B$1:$B$30,0))*$D7</f>
        <v>43.137465375573427</v>
      </c>
      <c r="X7" s="316">
        <f>INDEX(GrowthFactors!$O$1:$O$30,MATCH(X$3,GrowthFactors!$B$1:$B$30,0))*$D7</f>
        <v>43.37757477662727</v>
      </c>
      <c r="Y7" s="316">
        <f>INDEX(GrowthFactors!$O$1:$O$30,MATCH(Y$3,GrowthFactors!$B$1:$B$30,0))*$D7</f>
        <v>43.61768417768112</v>
      </c>
      <c r="Z7" s="316">
        <f>INDEX(GrowthFactors!$O$1:$O$30,MATCH(Z$3,GrowthFactors!$B$1:$B$30,0))*$D7</f>
        <v>43.857793578734949</v>
      </c>
      <c r="AA7" s="316">
        <f>INDEX(GrowthFactors!$O$1:$O$30,MATCH(AA$3,GrowthFactors!$B$1:$B$30,0))*$D7</f>
        <v>44.097902979788792</v>
      </c>
      <c r="AB7" s="316">
        <f>INDEX(GrowthFactors!$O$1:$O$30,MATCH(AB$3,GrowthFactors!$B$1:$B$30,0))*$D7</f>
        <v>44.338012380842635</v>
      </c>
      <c r="AC7" s="316">
        <f>INDEX(GrowthFactors!$O$1:$O$30,MATCH(AC$3,GrowthFactors!$B$1:$B$30,0))*$D7</f>
        <v>44.578121781896478</v>
      </c>
      <c r="AD7" s="316">
        <f>INDEX(GrowthFactors!$O$1:$O$30,MATCH(AD$3,GrowthFactors!$B$1:$B$30,0))*$D7</f>
        <v>44.818231182950335</v>
      </c>
    </row>
    <row r="8" spans="2:30" x14ac:dyDescent="0.2">
      <c r="B8" s="294" t="str">
        <f>Sludge!B7</f>
        <v>Toho Water Authority</v>
      </c>
      <c r="C8" s="294" t="str">
        <f>Sludge!C7</f>
        <v>South Bermuda WRF</v>
      </c>
      <c r="D8" s="315">
        <f>Sludge!G7</f>
        <v>84.93150684931507</v>
      </c>
      <c r="E8" s="316">
        <f>INDEX(GrowthFactors!$O$1:$O$30,MATCH(E$3,GrowthFactors!$B$1:$B$30,0))*$D8</f>
        <v>93.304497229424598</v>
      </c>
      <c r="F8" s="316">
        <f>INDEX(GrowthFactors!$O$1:$O$30,MATCH(F$3,GrowthFactors!$B$1:$B$30,0))*$D8</f>
        <v>95.060677399221504</v>
      </c>
      <c r="G8" s="316">
        <f>INDEX(GrowthFactors!$O$1:$O$30,MATCH(G$3,GrowthFactors!$B$1:$B$30,0))*$D8</f>
        <v>96.816857569018438</v>
      </c>
      <c r="H8" s="316">
        <f>INDEX(GrowthFactors!$O$1:$O$30,MATCH(H$3,GrowthFactors!$B$1:$B$30,0))*$D8</f>
        <v>98.57303773881533</v>
      </c>
      <c r="I8" s="316">
        <f>INDEX(GrowthFactors!$O$1:$O$30,MATCH(I$3,GrowthFactors!$B$1:$B$30,0))*$D8</f>
        <v>100.32921790861226</v>
      </c>
      <c r="J8" s="316">
        <f>INDEX(GrowthFactors!$O$1:$O$30,MATCH(J$3,GrowthFactors!$B$1:$B$30,0))*$D8</f>
        <v>101.84406253710519</v>
      </c>
      <c r="K8" s="316">
        <f>INDEX(GrowthFactors!$O$1:$O$30,MATCH(K$3,GrowthFactors!$B$1:$B$30,0))*$D8</f>
        <v>102.97648315399326</v>
      </c>
      <c r="L8" s="316">
        <f>INDEX(GrowthFactors!$O$1:$O$30,MATCH(L$3,GrowthFactors!$B$1:$B$30,0))*$D8</f>
        <v>104.10890377088133</v>
      </c>
      <c r="M8" s="316">
        <f>INDEX(GrowthFactors!$O$1:$O$30,MATCH(M$3,GrowthFactors!$B$1:$B$30,0))*$D8</f>
        <v>105.24132438776941</v>
      </c>
      <c r="N8" s="316">
        <f>INDEX(GrowthFactors!$O$1:$O$30,MATCH(N$3,GrowthFactors!$B$1:$B$30,0))*$D8</f>
        <v>106.37374500465748</v>
      </c>
      <c r="O8" s="316">
        <f>INDEX(GrowthFactors!$O$1:$O$30,MATCH(O$3,GrowthFactors!$B$1:$B$30,0))*$D8</f>
        <v>107.50616562154556</v>
      </c>
      <c r="P8" s="316">
        <f>INDEX(GrowthFactors!$O$1:$O$30,MATCH(P$3,GrowthFactors!$B$1:$B$30,0))*$D8</f>
        <v>108.1744794282336</v>
      </c>
      <c r="Q8" s="316">
        <f>INDEX(GrowthFactors!$O$1:$O$30,MATCH(Q$3,GrowthFactors!$B$1:$B$30,0))*$D8</f>
        <v>108.84279323492164</v>
      </c>
      <c r="R8" s="316">
        <f>INDEX(GrowthFactors!$O$1:$O$30,MATCH(R$3,GrowthFactors!$B$1:$B$30,0))*$D8</f>
        <v>109.5111070416097</v>
      </c>
      <c r="S8" s="316">
        <f>INDEX(GrowthFactors!$O$1:$O$30,MATCH(S$3,GrowthFactors!$B$1:$B$30,0))*$D8</f>
        <v>110.17942084829778</v>
      </c>
      <c r="T8" s="316">
        <f>INDEX(GrowthFactors!$O$1:$O$30,MATCH(T$3,GrowthFactors!$B$1:$B$30,0))*$D8</f>
        <v>110.84773465498577</v>
      </c>
      <c r="U8" s="316">
        <f>INDEX(GrowthFactors!$O$1:$O$30,MATCH(U$3,GrowthFactors!$B$1:$B$30,0))*$D8</f>
        <v>111.47520706237621</v>
      </c>
      <c r="V8" s="316">
        <f>INDEX(GrowthFactors!$O$1:$O$30,MATCH(V$3,GrowthFactors!$B$1:$B$30,0))*$D8</f>
        <v>112.10267946976667</v>
      </c>
      <c r="W8" s="316">
        <f>INDEX(GrowthFactors!$O$1:$O$30,MATCH(W$3,GrowthFactors!$B$1:$B$30,0))*$D8</f>
        <v>112.73015187715711</v>
      </c>
      <c r="X8" s="316">
        <f>INDEX(GrowthFactors!$O$1:$O$30,MATCH(X$3,GrowthFactors!$B$1:$B$30,0))*$D8</f>
        <v>113.35762428454755</v>
      </c>
      <c r="Y8" s="316">
        <f>INDEX(GrowthFactors!$O$1:$O$30,MATCH(Y$3,GrowthFactors!$B$1:$B$30,0))*$D8</f>
        <v>113.98509669193801</v>
      </c>
      <c r="Z8" s="316">
        <f>INDEX(GrowthFactors!$O$1:$O$30,MATCH(Z$3,GrowthFactors!$B$1:$B$30,0))*$D8</f>
        <v>114.61256909932843</v>
      </c>
      <c r="AA8" s="316">
        <f>INDEX(GrowthFactors!$O$1:$O$30,MATCH(AA$3,GrowthFactors!$B$1:$B$30,0))*$D8</f>
        <v>115.24004150671887</v>
      </c>
      <c r="AB8" s="316">
        <f>INDEX(GrowthFactors!$O$1:$O$30,MATCH(AB$3,GrowthFactors!$B$1:$B$30,0))*$D8</f>
        <v>115.86751391410931</v>
      </c>
      <c r="AC8" s="316">
        <f>INDEX(GrowthFactors!$O$1:$O$30,MATCH(AC$3,GrowthFactors!$B$1:$B$30,0))*$D8</f>
        <v>116.49498632149975</v>
      </c>
      <c r="AD8" s="316">
        <f>INDEX(GrowthFactors!$O$1:$O$30,MATCH(AD$3,GrowthFactors!$B$1:$B$30,0))*$D8</f>
        <v>117.12245872889024</v>
      </c>
    </row>
    <row r="9" spans="2:30" x14ac:dyDescent="0.2">
      <c r="B9" s="294" t="str">
        <f>Sludge!B8</f>
        <v>Toho Water Authority</v>
      </c>
      <c r="C9" s="294" t="str">
        <f>Sludge!C8</f>
        <v>Sand Hill WRF</v>
      </c>
      <c r="D9" s="315">
        <f>Sludge!G8</f>
        <v>20.273972602739725</v>
      </c>
      <c r="E9" s="316">
        <f>INDEX(GrowthFactors!$O$1:$O$30,MATCH(E$3,GrowthFactors!$B$1:$B$30,0))*$D9</f>
        <v>22.272686435411032</v>
      </c>
      <c r="F9" s="316">
        <f>INDEX(GrowthFactors!$O$1:$O$30,MATCH(F$3,GrowthFactors!$B$1:$B$30,0))*$D9</f>
        <v>22.691903637233519</v>
      </c>
      <c r="G9" s="316">
        <f>INDEX(GrowthFactors!$O$1:$O$30,MATCH(G$3,GrowthFactors!$B$1:$B$30,0))*$D9</f>
        <v>23.111120839056014</v>
      </c>
      <c r="H9" s="316">
        <f>INDEX(GrowthFactors!$O$1:$O$30,MATCH(H$3,GrowthFactors!$B$1:$B$30,0))*$D9</f>
        <v>23.530338040878497</v>
      </c>
      <c r="I9" s="316">
        <f>INDEX(GrowthFactors!$O$1:$O$30,MATCH(I$3,GrowthFactors!$B$1:$B$30,0))*$D9</f>
        <v>23.949555242700988</v>
      </c>
      <c r="J9" s="316">
        <f>INDEX(GrowthFactors!$O$1:$O$30,MATCH(J$3,GrowthFactors!$B$1:$B$30,0))*$D9</f>
        <v>24.311163315308981</v>
      </c>
      <c r="K9" s="316">
        <f>INDEX(GrowthFactors!$O$1:$O$30,MATCH(K$3,GrowthFactors!$B$1:$B$30,0))*$D9</f>
        <v>24.581483075469354</v>
      </c>
      <c r="L9" s="316">
        <f>INDEX(GrowthFactors!$O$1:$O$30,MATCH(L$3,GrowthFactors!$B$1:$B$30,0))*$D9</f>
        <v>24.851802835629734</v>
      </c>
      <c r="M9" s="316">
        <f>INDEX(GrowthFactors!$O$1:$O$30,MATCH(M$3,GrowthFactors!$B$1:$B$30,0))*$D9</f>
        <v>25.122122595790113</v>
      </c>
      <c r="N9" s="316">
        <f>INDEX(GrowthFactors!$O$1:$O$30,MATCH(N$3,GrowthFactors!$B$1:$B$30,0))*$D9</f>
        <v>25.392442355950493</v>
      </c>
      <c r="O9" s="316">
        <f>INDEX(GrowthFactors!$O$1:$O$30,MATCH(O$3,GrowthFactors!$B$1:$B$30,0))*$D9</f>
        <v>25.662762116110873</v>
      </c>
      <c r="P9" s="316">
        <f>INDEX(GrowthFactors!$O$1:$O$30,MATCH(P$3,GrowthFactors!$B$1:$B$30,0))*$D9</f>
        <v>25.822295089320274</v>
      </c>
      <c r="Q9" s="316">
        <f>INDEX(GrowthFactors!$O$1:$O$30,MATCH(Q$3,GrowthFactors!$B$1:$B$30,0))*$D9</f>
        <v>25.981828062529683</v>
      </c>
      <c r="R9" s="316">
        <f>INDEX(GrowthFactors!$O$1:$O$30,MATCH(R$3,GrowthFactors!$B$1:$B$30,0))*$D9</f>
        <v>26.141361035739088</v>
      </c>
      <c r="S9" s="316">
        <f>INDEX(GrowthFactors!$O$1:$O$30,MATCH(S$3,GrowthFactors!$B$1:$B$30,0))*$D9</f>
        <v>26.3008940089485</v>
      </c>
      <c r="T9" s="316">
        <f>INDEX(GrowthFactors!$O$1:$O$30,MATCH(T$3,GrowthFactors!$B$1:$B$30,0))*$D9</f>
        <v>26.460426982157895</v>
      </c>
      <c r="U9" s="316">
        <f>INDEX(GrowthFactors!$O$1:$O$30,MATCH(U$3,GrowthFactors!$B$1:$B$30,0))*$D9</f>
        <v>26.610210718115614</v>
      </c>
      <c r="V9" s="316">
        <f>INDEX(GrowthFactors!$O$1:$O$30,MATCH(V$3,GrowthFactors!$B$1:$B$30,0))*$D9</f>
        <v>26.759994454073333</v>
      </c>
      <c r="W9" s="316">
        <f>INDEX(GrowthFactors!$O$1:$O$30,MATCH(W$3,GrowthFactors!$B$1:$B$30,0))*$D9</f>
        <v>26.909778190031052</v>
      </c>
      <c r="X9" s="316">
        <f>INDEX(GrowthFactors!$O$1:$O$30,MATCH(X$3,GrowthFactors!$B$1:$B$30,0))*$D9</f>
        <v>27.059561925988771</v>
      </c>
      <c r="Y9" s="316">
        <f>INDEX(GrowthFactors!$O$1:$O$30,MATCH(Y$3,GrowthFactors!$B$1:$B$30,0))*$D9</f>
        <v>27.209345661946493</v>
      </c>
      <c r="Z9" s="316">
        <f>INDEX(GrowthFactors!$O$1:$O$30,MATCH(Z$3,GrowthFactors!$B$1:$B$30,0))*$D9</f>
        <v>27.359129397904201</v>
      </c>
      <c r="AA9" s="316">
        <f>INDEX(GrowthFactors!$O$1:$O$30,MATCH(AA$3,GrowthFactors!$B$1:$B$30,0))*$D9</f>
        <v>27.50891313386192</v>
      </c>
      <c r="AB9" s="316">
        <f>INDEX(GrowthFactors!$O$1:$O$30,MATCH(AB$3,GrowthFactors!$B$1:$B$30,0))*$D9</f>
        <v>27.658696869819639</v>
      </c>
      <c r="AC9" s="316">
        <f>INDEX(GrowthFactors!$O$1:$O$30,MATCH(AC$3,GrowthFactors!$B$1:$B$30,0))*$D9</f>
        <v>27.808480605777358</v>
      </c>
      <c r="AD9" s="316">
        <f>INDEX(GrowthFactors!$O$1:$O$30,MATCH(AD$3,GrowthFactors!$B$1:$B$30,0))*$D9</f>
        <v>27.958264341735088</v>
      </c>
    </row>
    <row r="10" spans="2:30" x14ac:dyDescent="0.2">
      <c r="B10" s="294" t="str">
        <f>Sludge!B9</f>
        <v>Toho Water Authority</v>
      </c>
      <c r="C10" s="294" t="str">
        <f>Sludge!C9</f>
        <v>Cypress West WRF</v>
      </c>
      <c r="D10" s="315">
        <f>Sludge!G9</f>
        <v>12.328767123287671</v>
      </c>
      <c r="E10" s="316">
        <f>INDEX(GrowthFactors!$O$1:$O$30,MATCH(E$3,GrowthFactors!$B$1:$B$30,0))*$D10</f>
        <v>13.544201210722925</v>
      </c>
      <c r="F10" s="316">
        <f>INDEX(GrowthFactors!$O$1:$O$30,MATCH(F$3,GrowthFactors!$B$1:$B$30,0))*$D10</f>
        <v>13.799130590209574</v>
      </c>
      <c r="G10" s="316">
        <f>INDEX(GrowthFactors!$O$1:$O$30,MATCH(G$3,GrowthFactors!$B$1:$B$30,0))*$D10</f>
        <v>14.054059969696224</v>
      </c>
      <c r="H10" s="316">
        <f>INDEX(GrowthFactors!$O$1:$O$30,MATCH(H$3,GrowthFactors!$B$1:$B$30,0))*$D10</f>
        <v>14.30898934918287</v>
      </c>
      <c r="I10" s="316">
        <f>INDEX(GrowthFactors!$O$1:$O$30,MATCH(I$3,GrowthFactors!$B$1:$B$30,0))*$D10</f>
        <v>14.56391872866952</v>
      </c>
      <c r="J10" s="316">
        <f>INDEX(GrowthFactors!$O$1:$O$30,MATCH(J$3,GrowthFactors!$B$1:$B$30,0))*$D10</f>
        <v>14.783815529579785</v>
      </c>
      <c r="K10" s="316">
        <f>INDEX(GrowthFactors!$O$1:$O$30,MATCH(K$3,GrowthFactors!$B$1:$B$30,0))*$D10</f>
        <v>14.948199167515149</v>
      </c>
      <c r="L10" s="316">
        <f>INDEX(GrowthFactors!$O$1:$O$30,MATCH(L$3,GrowthFactors!$B$1:$B$30,0))*$D10</f>
        <v>15.112582805450515</v>
      </c>
      <c r="M10" s="316">
        <f>INDEX(GrowthFactors!$O$1:$O$30,MATCH(M$3,GrowthFactors!$B$1:$B$30,0))*$D10</f>
        <v>15.276966443385881</v>
      </c>
      <c r="N10" s="316">
        <f>INDEX(GrowthFactors!$O$1:$O$30,MATCH(N$3,GrowthFactors!$B$1:$B$30,0))*$D10</f>
        <v>15.441350081321247</v>
      </c>
      <c r="O10" s="316">
        <f>INDEX(GrowthFactors!$O$1:$O$30,MATCH(O$3,GrowthFactors!$B$1:$B$30,0))*$D10</f>
        <v>15.605733719256612</v>
      </c>
      <c r="P10" s="316">
        <f>INDEX(GrowthFactors!$O$1:$O$30,MATCH(P$3,GrowthFactors!$B$1:$B$30,0))*$D10</f>
        <v>15.702747013775843</v>
      </c>
      <c r="Q10" s="316">
        <f>INDEX(GrowthFactors!$O$1:$O$30,MATCH(Q$3,GrowthFactors!$B$1:$B$30,0))*$D10</f>
        <v>15.799760308295077</v>
      </c>
      <c r="R10" s="316">
        <f>INDEX(GrowthFactors!$O$1:$O$30,MATCH(R$3,GrowthFactors!$B$1:$B$30,0))*$D10</f>
        <v>15.89677360281431</v>
      </c>
      <c r="S10" s="316">
        <f>INDEX(GrowthFactors!$O$1:$O$30,MATCH(S$3,GrowthFactors!$B$1:$B$30,0))*$D10</f>
        <v>15.993786897333548</v>
      </c>
      <c r="T10" s="316">
        <f>INDEX(GrowthFactors!$O$1:$O$30,MATCH(T$3,GrowthFactors!$B$1:$B$30,0))*$D10</f>
        <v>16.090800191852772</v>
      </c>
      <c r="U10" s="316">
        <f>INDEX(GrowthFactors!$O$1:$O$30,MATCH(U$3,GrowthFactors!$B$1:$B$30,0))*$D10</f>
        <v>16.181884896151384</v>
      </c>
      <c r="V10" s="316">
        <f>INDEX(GrowthFactors!$O$1:$O$30,MATCH(V$3,GrowthFactors!$B$1:$B$30,0))*$D10</f>
        <v>16.272969600449997</v>
      </c>
      <c r="W10" s="316">
        <f>INDEX(GrowthFactors!$O$1:$O$30,MATCH(W$3,GrowthFactors!$B$1:$B$30,0))*$D10</f>
        <v>16.364054304748613</v>
      </c>
      <c r="X10" s="316">
        <f>INDEX(GrowthFactors!$O$1:$O$30,MATCH(X$3,GrowthFactors!$B$1:$B$30,0))*$D10</f>
        <v>16.455139009047226</v>
      </c>
      <c r="Y10" s="316">
        <f>INDEX(GrowthFactors!$O$1:$O$30,MATCH(Y$3,GrowthFactors!$B$1:$B$30,0))*$D10</f>
        <v>16.546223713345839</v>
      </c>
      <c r="Z10" s="316">
        <f>INDEX(GrowthFactors!$O$1:$O$30,MATCH(Z$3,GrowthFactors!$B$1:$B$30,0))*$D10</f>
        <v>16.637308417644448</v>
      </c>
      <c r="AA10" s="316">
        <f>INDEX(GrowthFactors!$O$1:$O$30,MATCH(AA$3,GrowthFactors!$B$1:$B$30,0))*$D10</f>
        <v>16.728393121943061</v>
      </c>
      <c r="AB10" s="316">
        <f>INDEX(GrowthFactors!$O$1:$O$30,MATCH(AB$3,GrowthFactors!$B$1:$B$30,0))*$D10</f>
        <v>16.819477826241673</v>
      </c>
      <c r="AC10" s="316">
        <f>INDEX(GrowthFactors!$O$1:$O$30,MATCH(AC$3,GrowthFactors!$B$1:$B$30,0))*$D10</f>
        <v>16.910562530540286</v>
      </c>
      <c r="AD10" s="316">
        <f>INDEX(GrowthFactors!$O$1:$O$30,MATCH(AD$3,GrowthFactors!$B$1:$B$30,0))*$D10</f>
        <v>17.001647234838906</v>
      </c>
    </row>
    <row r="11" spans="2:30" x14ac:dyDescent="0.2">
      <c r="B11" s="294" t="str">
        <f>Sludge!B10</f>
        <v>Toho Water Authority</v>
      </c>
      <c r="C11" s="294" t="str">
        <f>Sludge!C10</f>
        <v>Parkway WRF</v>
      </c>
      <c r="D11" s="315">
        <f>Sludge!G10</f>
        <v>6.0273972602739727</v>
      </c>
      <c r="E11" s="316">
        <f>INDEX(GrowthFactors!$O$1:$O$30,MATCH(E$3,GrowthFactors!$B$1:$B$30,0))*$D11</f>
        <v>6.6216094807978747</v>
      </c>
      <c r="F11" s="316">
        <f>INDEX(GrowthFactors!$O$1:$O$30,MATCH(F$3,GrowthFactors!$B$1:$B$30,0))*$D11</f>
        <v>6.7462416218802357</v>
      </c>
      <c r="G11" s="316">
        <f>INDEX(GrowthFactors!$O$1:$O$30,MATCH(G$3,GrowthFactors!$B$1:$B$30,0))*$D11</f>
        <v>6.8708737629625984</v>
      </c>
      <c r="H11" s="316">
        <f>INDEX(GrowthFactors!$O$1:$O$30,MATCH(H$3,GrowthFactors!$B$1:$B$30,0))*$D11</f>
        <v>6.9955059040449585</v>
      </c>
      <c r="I11" s="316">
        <f>INDEX(GrowthFactors!$O$1:$O$30,MATCH(I$3,GrowthFactors!$B$1:$B$30,0))*$D11</f>
        <v>7.1201380451273213</v>
      </c>
      <c r="J11" s="316">
        <f>INDEX(GrowthFactors!$O$1:$O$30,MATCH(J$3,GrowthFactors!$B$1:$B$30,0))*$D11</f>
        <v>7.227643147794562</v>
      </c>
      <c r="K11" s="316">
        <f>INDEX(GrowthFactors!$O$1:$O$30,MATCH(K$3,GrowthFactors!$B$1:$B$30,0))*$D11</f>
        <v>7.3080084818962954</v>
      </c>
      <c r="L11" s="316">
        <f>INDEX(GrowthFactors!$O$1:$O$30,MATCH(L$3,GrowthFactors!$B$1:$B$30,0))*$D11</f>
        <v>7.3883738159980297</v>
      </c>
      <c r="M11" s="316">
        <f>INDEX(GrowthFactors!$O$1:$O$30,MATCH(M$3,GrowthFactors!$B$1:$B$30,0))*$D11</f>
        <v>7.468739150099764</v>
      </c>
      <c r="N11" s="316">
        <f>INDEX(GrowthFactors!$O$1:$O$30,MATCH(N$3,GrowthFactors!$B$1:$B$30,0))*$D11</f>
        <v>7.5491044842014983</v>
      </c>
      <c r="O11" s="316">
        <f>INDEX(GrowthFactors!$O$1:$O$30,MATCH(O$3,GrowthFactors!$B$1:$B$30,0))*$D11</f>
        <v>7.6294698183032335</v>
      </c>
      <c r="P11" s="316">
        <f>INDEX(GrowthFactors!$O$1:$O$30,MATCH(P$3,GrowthFactors!$B$1:$B$30,0))*$D11</f>
        <v>7.6768985400681906</v>
      </c>
      <c r="Q11" s="316">
        <f>INDEX(GrowthFactors!$O$1:$O$30,MATCH(Q$3,GrowthFactors!$B$1:$B$30,0))*$D11</f>
        <v>7.7243272618331495</v>
      </c>
      <c r="R11" s="316">
        <f>INDEX(GrowthFactors!$O$1:$O$30,MATCH(R$3,GrowthFactors!$B$1:$B$30,0))*$D11</f>
        <v>7.7717559835981076</v>
      </c>
      <c r="S11" s="316">
        <f>INDEX(GrowthFactors!$O$1:$O$30,MATCH(S$3,GrowthFactors!$B$1:$B$30,0))*$D11</f>
        <v>7.8191847053630683</v>
      </c>
      <c r="T11" s="316">
        <f>INDEX(GrowthFactors!$O$1:$O$30,MATCH(T$3,GrowthFactors!$B$1:$B$30,0))*$D11</f>
        <v>7.8666134271280228</v>
      </c>
      <c r="U11" s="316">
        <f>INDEX(GrowthFactors!$O$1:$O$30,MATCH(U$3,GrowthFactors!$B$1:$B$30,0))*$D11</f>
        <v>7.911143727007345</v>
      </c>
      <c r="V11" s="316">
        <f>INDEX(GrowthFactors!$O$1:$O$30,MATCH(V$3,GrowthFactors!$B$1:$B$30,0))*$D11</f>
        <v>7.9556740268866664</v>
      </c>
      <c r="W11" s="316">
        <f>INDEX(GrowthFactors!$O$1:$O$30,MATCH(W$3,GrowthFactors!$B$1:$B$30,0))*$D11</f>
        <v>8.0002043267659886</v>
      </c>
      <c r="X11" s="316">
        <f>INDEX(GrowthFactors!$O$1:$O$30,MATCH(X$3,GrowthFactors!$B$1:$B$30,0))*$D11</f>
        <v>8.0447346266453099</v>
      </c>
      <c r="Y11" s="316">
        <f>INDEX(GrowthFactors!$O$1:$O$30,MATCH(Y$3,GrowthFactors!$B$1:$B$30,0))*$D11</f>
        <v>8.089264926524633</v>
      </c>
      <c r="Z11" s="316">
        <f>INDEX(GrowthFactors!$O$1:$O$30,MATCH(Z$3,GrowthFactors!$B$1:$B$30,0))*$D11</f>
        <v>8.1337952264039526</v>
      </c>
      <c r="AA11" s="316">
        <f>INDEX(GrowthFactors!$O$1:$O$30,MATCH(AA$3,GrowthFactors!$B$1:$B$30,0))*$D11</f>
        <v>8.1783255262832739</v>
      </c>
      <c r="AB11" s="316">
        <f>INDEX(GrowthFactors!$O$1:$O$30,MATCH(AB$3,GrowthFactors!$B$1:$B$30,0))*$D11</f>
        <v>8.222855826162597</v>
      </c>
      <c r="AC11" s="316">
        <f>INDEX(GrowthFactors!$O$1:$O$30,MATCH(AC$3,GrowthFactors!$B$1:$B$30,0))*$D11</f>
        <v>8.2673861260419184</v>
      </c>
      <c r="AD11" s="316">
        <f>INDEX(GrowthFactors!$O$1:$O$30,MATCH(AD$3,GrowthFactors!$B$1:$B$30,0))*$D11</f>
        <v>8.3119164259212432</v>
      </c>
    </row>
    <row r="12" spans="2:30" x14ac:dyDescent="0.2">
      <c r="B12" s="294" t="str">
        <f>Sludge!B11</f>
        <v>Toho Water Authority</v>
      </c>
      <c r="C12" s="294" t="str">
        <f>Sludge!C11</f>
        <v>St. Cloud WRF</v>
      </c>
      <c r="D12" s="315">
        <f>Sludge!G11</f>
        <v>26.849315068493151</v>
      </c>
      <c r="E12" s="316">
        <f>INDEX(GrowthFactors!$O$1:$O$30,MATCH(E$3,GrowthFactors!$B$1:$B$30,0))*$D12</f>
        <v>29.496260414463258</v>
      </c>
      <c r="F12" s="316">
        <f>INDEX(GrowthFactors!$O$1:$O$30,MATCH(F$3,GrowthFactors!$B$1:$B$30,0))*$D12</f>
        <v>30.051439952011961</v>
      </c>
      <c r="G12" s="316">
        <f>INDEX(GrowthFactors!$O$1:$O$30,MATCH(G$3,GrowthFactors!$B$1:$B$30,0))*$D12</f>
        <v>30.606619489560668</v>
      </c>
      <c r="H12" s="316">
        <f>INDEX(GrowthFactors!$O$1:$O$30,MATCH(H$3,GrowthFactors!$B$1:$B$30,0))*$D12</f>
        <v>31.161799027109364</v>
      </c>
      <c r="I12" s="316">
        <f>INDEX(GrowthFactors!$O$1:$O$30,MATCH(I$3,GrowthFactors!$B$1:$B$30,0))*$D12</f>
        <v>31.716978564658071</v>
      </c>
      <c r="J12" s="316">
        <f>INDEX(GrowthFactors!$O$1:$O$30,MATCH(J$3,GrowthFactors!$B$1:$B$30,0))*$D12</f>
        <v>32.19586493108487</v>
      </c>
      <c r="K12" s="316">
        <f>INDEX(GrowthFactors!$O$1:$O$30,MATCH(K$3,GrowthFactors!$B$1:$B$30,0))*$D12</f>
        <v>32.553855964810772</v>
      </c>
      <c r="L12" s="316">
        <f>INDEX(GrowthFactors!$O$1:$O$30,MATCH(L$3,GrowthFactors!$B$1:$B$30,0))*$D12</f>
        <v>32.911846998536674</v>
      </c>
      <c r="M12" s="316">
        <f>INDEX(GrowthFactors!$O$1:$O$30,MATCH(M$3,GrowthFactors!$B$1:$B$30,0))*$D12</f>
        <v>33.269838032262584</v>
      </c>
      <c r="N12" s="316">
        <f>INDEX(GrowthFactors!$O$1:$O$30,MATCH(N$3,GrowthFactors!$B$1:$B$30,0))*$D12</f>
        <v>33.627829065988493</v>
      </c>
      <c r="O12" s="316">
        <f>INDEX(GrowthFactors!$O$1:$O$30,MATCH(O$3,GrowthFactors!$B$1:$B$30,0))*$D12</f>
        <v>33.985820099714402</v>
      </c>
      <c r="P12" s="316">
        <f>INDEX(GrowthFactors!$O$1:$O$30,MATCH(P$3,GrowthFactors!$B$1:$B$30,0))*$D12</f>
        <v>34.197093496667392</v>
      </c>
      <c r="Q12" s="316">
        <f>INDEX(GrowthFactors!$O$1:$O$30,MATCH(Q$3,GrowthFactors!$B$1:$B$30,0))*$D12</f>
        <v>34.408366893620389</v>
      </c>
      <c r="R12" s="316">
        <f>INDEX(GrowthFactors!$O$1:$O$30,MATCH(R$3,GrowthFactors!$B$1:$B$30,0))*$D12</f>
        <v>34.619640290573393</v>
      </c>
      <c r="S12" s="316">
        <f>INDEX(GrowthFactors!$O$1:$O$30,MATCH(S$3,GrowthFactors!$B$1:$B$30,0))*$D12</f>
        <v>34.830913687526397</v>
      </c>
      <c r="T12" s="316">
        <f>INDEX(GrowthFactors!$O$1:$O$30,MATCH(T$3,GrowthFactors!$B$1:$B$30,0))*$D12</f>
        <v>35.042187084479373</v>
      </c>
      <c r="U12" s="316">
        <f>INDEX(GrowthFactors!$O$1:$O$30,MATCH(U$3,GrowthFactors!$B$1:$B$30,0))*$D12</f>
        <v>35.240549329396352</v>
      </c>
      <c r="V12" s="316">
        <f>INDEX(GrowthFactors!$O$1:$O$30,MATCH(V$3,GrowthFactors!$B$1:$B$30,0))*$D12</f>
        <v>35.43891157431333</v>
      </c>
      <c r="W12" s="316">
        <f>INDEX(GrowthFactors!$O$1:$O$30,MATCH(W$3,GrowthFactors!$B$1:$B$30,0))*$D12</f>
        <v>35.637273819230309</v>
      </c>
      <c r="X12" s="316">
        <f>INDEX(GrowthFactors!$O$1:$O$30,MATCH(X$3,GrowthFactors!$B$1:$B$30,0))*$D12</f>
        <v>35.835636064147295</v>
      </c>
      <c r="Y12" s="316">
        <f>INDEX(GrowthFactors!$O$1:$O$30,MATCH(Y$3,GrowthFactors!$B$1:$B$30,0))*$D12</f>
        <v>36.033998309064273</v>
      </c>
      <c r="Z12" s="316">
        <f>INDEX(GrowthFactors!$O$1:$O$30,MATCH(Z$3,GrowthFactors!$B$1:$B$30,0))*$D12</f>
        <v>36.232360553981245</v>
      </c>
      <c r="AA12" s="316">
        <f>INDEX(GrowthFactors!$O$1:$O$30,MATCH(AA$3,GrowthFactors!$B$1:$B$30,0))*$D12</f>
        <v>36.430722798898223</v>
      </c>
      <c r="AB12" s="316">
        <f>INDEX(GrowthFactors!$O$1:$O$30,MATCH(AB$3,GrowthFactors!$B$1:$B$30,0))*$D12</f>
        <v>36.629085043815202</v>
      </c>
      <c r="AC12" s="316">
        <f>INDEX(GrowthFactors!$O$1:$O$30,MATCH(AC$3,GrowthFactors!$B$1:$B$30,0))*$D12</f>
        <v>36.827447288732181</v>
      </c>
      <c r="AD12" s="316">
        <f>INDEX(GrowthFactors!$O$1:$O$30,MATCH(AD$3,GrowthFactors!$B$1:$B$30,0))*$D12</f>
        <v>37.025809533649173</v>
      </c>
    </row>
    <row r="13" spans="2:30" x14ac:dyDescent="0.2">
      <c r="B13" s="294" t="str">
        <f>Sludge!B12</f>
        <v>Seminole County</v>
      </c>
      <c r="C13" s="294" t="str">
        <f>Sludge!C12</f>
        <v>Greenwood Lakes WRF</v>
      </c>
      <c r="D13" s="315">
        <f>Sludge!G12</f>
        <v>14.588630136986302</v>
      </c>
      <c r="E13" s="316">
        <f>INDEX(GrowthFactors!$O$1:$O$30,MATCH(E$3,GrowthFactors!$B$1:$B$30,0))*$D13</f>
        <v>16.026853292648436</v>
      </c>
      <c r="F13" s="316">
        <f>INDEX(GrowthFactors!$O$1:$O$30,MATCH(F$3,GrowthFactors!$B$1:$B$30,0))*$D13</f>
        <v>16.328511227394987</v>
      </c>
      <c r="G13" s="316">
        <f>INDEX(GrowthFactors!$O$1:$O$30,MATCH(G$3,GrowthFactors!$B$1:$B$30,0))*$D13</f>
        <v>16.630169162141542</v>
      </c>
      <c r="H13" s="316">
        <f>INDEX(GrowthFactors!$O$1:$O$30,MATCH(H$3,GrowthFactors!$B$1:$B$30,0))*$D13</f>
        <v>16.931827096888089</v>
      </c>
      <c r="I13" s="316">
        <f>INDEX(GrowthFactors!$O$1:$O$30,MATCH(I$3,GrowthFactors!$B$1:$B$30,0))*$D13</f>
        <v>17.233485031634643</v>
      </c>
      <c r="J13" s="316">
        <f>INDEX(GrowthFactors!$O$1:$O$30,MATCH(J$3,GrowthFactors!$B$1:$B$30,0))*$D13</f>
        <v>17.493688916151761</v>
      </c>
      <c r="K13" s="316">
        <f>INDEX(GrowthFactors!$O$1:$O$30,MATCH(K$3,GrowthFactors!$B$1:$B$30,0))*$D13</f>
        <v>17.688204074920677</v>
      </c>
      <c r="L13" s="316">
        <f>INDEX(GrowthFactors!$O$1:$O$30,MATCH(L$3,GrowthFactors!$B$1:$B$30,0))*$D13</f>
        <v>17.882719233689595</v>
      </c>
      <c r="M13" s="316">
        <f>INDEX(GrowthFactors!$O$1:$O$30,MATCH(M$3,GrowthFactors!$B$1:$B$30,0))*$D13</f>
        <v>18.077234392458514</v>
      </c>
      <c r="N13" s="316">
        <f>INDEX(GrowthFactors!$O$1:$O$30,MATCH(N$3,GrowthFactors!$B$1:$B$30,0))*$D13</f>
        <v>18.271749551227433</v>
      </c>
      <c r="O13" s="316">
        <f>INDEX(GrowthFactors!$O$1:$O$30,MATCH(O$3,GrowthFactors!$B$1:$B$30,0))*$D13</f>
        <v>18.466264709996349</v>
      </c>
      <c r="P13" s="316">
        <f>INDEX(GrowthFactors!$O$1:$O$30,MATCH(P$3,GrowthFactors!$B$1:$B$30,0))*$D13</f>
        <v>18.581060541400955</v>
      </c>
      <c r="Q13" s="316">
        <f>INDEX(GrowthFactors!$O$1:$O$30,MATCH(Q$3,GrowthFactors!$B$1:$B$30,0))*$D13</f>
        <v>18.695856372805565</v>
      </c>
      <c r="R13" s="316">
        <f>INDEX(GrowthFactors!$O$1:$O$30,MATCH(R$3,GrowthFactors!$B$1:$B$30,0))*$D13</f>
        <v>18.810652204210175</v>
      </c>
      <c r="S13" s="316">
        <f>INDEX(GrowthFactors!$O$1:$O$30,MATCH(S$3,GrowthFactors!$B$1:$B$30,0))*$D13</f>
        <v>18.925448035614789</v>
      </c>
      <c r="T13" s="316">
        <f>INDEX(GrowthFactors!$O$1:$O$30,MATCH(T$3,GrowthFactors!$B$1:$B$30,0))*$D13</f>
        <v>19.040243867019388</v>
      </c>
      <c r="U13" s="316">
        <f>INDEX(GrowthFactors!$O$1:$O$30,MATCH(U$3,GrowthFactors!$B$1:$B$30,0))*$D13</f>
        <v>19.148024397615934</v>
      </c>
      <c r="V13" s="316">
        <f>INDEX(GrowthFactors!$O$1:$O$30,MATCH(V$3,GrowthFactors!$B$1:$B$30,0))*$D13</f>
        <v>19.255804928212484</v>
      </c>
      <c r="W13" s="316">
        <f>INDEX(GrowthFactors!$O$1:$O$30,MATCH(W$3,GrowthFactors!$B$1:$B$30,0))*$D13</f>
        <v>19.363585458809034</v>
      </c>
      <c r="X13" s="316">
        <f>INDEX(GrowthFactors!$O$1:$O$30,MATCH(X$3,GrowthFactors!$B$1:$B$30,0))*$D13</f>
        <v>19.47136598940558</v>
      </c>
      <c r="Y13" s="316">
        <f>INDEX(GrowthFactors!$O$1:$O$30,MATCH(Y$3,GrowthFactors!$B$1:$B$30,0))*$D13</f>
        <v>19.579146520002134</v>
      </c>
      <c r="Z13" s="316">
        <f>INDEX(GrowthFactors!$O$1:$O$30,MATCH(Z$3,GrowthFactors!$B$1:$B$30,0))*$D13</f>
        <v>19.686927050598676</v>
      </c>
      <c r="AA13" s="316">
        <f>INDEX(GrowthFactors!$O$1:$O$30,MATCH(AA$3,GrowthFactors!$B$1:$B$30,0))*$D13</f>
        <v>19.794707581195226</v>
      </c>
      <c r="AB13" s="316">
        <f>INDEX(GrowthFactors!$O$1:$O$30,MATCH(AB$3,GrowthFactors!$B$1:$B$30,0))*$D13</f>
        <v>19.902488111791772</v>
      </c>
      <c r="AC13" s="316">
        <f>INDEX(GrowthFactors!$O$1:$O$30,MATCH(AC$3,GrowthFactors!$B$1:$B$30,0))*$D13</f>
        <v>20.010268642388322</v>
      </c>
      <c r="AD13" s="316">
        <f>INDEX(GrowthFactors!$O$1:$O$30,MATCH(AD$3,GrowthFactors!$B$1:$B$30,0))*$D13</f>
        <v>20.118049172984875</v>
      </c>
    </row>
    <row r="14" spans="2:30" x14ac:dyDescent="0.2">
      <c r="B14" s="294" t="str">
        <f>Sludge!B13</f>
        <v>Seminole County</v>
      </c>
      <c r="C14" s="294" t="str">
        <f>Sludge!C13</f>
        <v>Yankee Lake WRF</v>
      </c>
      <c r="D14" s="315">
        <f>Sludge!G13</f>
        <v>13.437698630136987</v>
      </c>
      <c r="E14" s="316">
        <f>INDEX(GrowthFactors!$O$1:$O$30,MATCH(E$3,GrowthFactors!$B$1:$B$30,0))*$D14</f>
        <v>14.762456962290084</v>
      </c>
      <c r="F14" s="316">
        <f>INDEX(GrowthFactors!$O$1:$O$30,MATCH(F$3,GrowthFactors!$B$1:$B$30,0))*$D14</f>
        <v>15.040316389696958</v>
      </c>
      <c r="G14" s="316">
        <f>INDEX(GrowthFactors!$O$1:$O$30,MATCH(G$3,GrowthFactors!$B$1:$B$30,0))*$D14</f>
        <v>15.318175817103835</v>
      </c>
      <c r="H14" s="316">
        <f>INDEX(GrowthFactors!$O$1:$O$30,MATCH(H$3,GrowthFactors!$B$1:$B$30,0))*$D14</f>
        <v>15.596035244510706</v>
      </c>
      <c r="I14" s="316">
        <f>INDEX(GrowthFactors!$O$1:$O$30,MATCH(I$3,GrowthFactors!$B$1:$B$30,0))*$D14</f>
        <v>15.873894671917583</v>
      </c>
      <c r="J14" s="316">
        <f>INDEX(GrowthFactors!$O$1:$O$30,MATCH(J$3,GrowthFactors!$B$1:$B$30,0))*$D14</f>
        <v>16.113570457080389</v>
      </c>
      <c r="K14" s="316">
        <f>INDEX(GrowthFactors!$O$1:$O$30,MATCH(K$3,GrowthFactors!$B$1:$B$30,0))*$D14</f>
        <v>16.292739855302578</v>
      </c>
      <c r="L14" s="316">
        <f>INDEX(GrowthFactors!$O$1:$O$30,MATCH(L$3,GrowthFactors!$B$1:$B$30,0))*$D14</f>
        <v>16.471909253524771</v>
      </c>
      <c r="M14" s="316">
        <f>INDEX(GrowthFactors!$O$1:$O$30,MATCH(M$3,GrowthFactors!$B$1:$B$30,0))*$D14</f>
        <v>16.651078651746964</v>
      </c>
      <c r="N14" s="316">
        <f>INDEX(GrowthFactors!$O$1:$O$30,MATCH(N$3,GrowthFactors!$B$1:$B$30,0))*$D14</f>
        <v>16.830248049969157</v>
      </c>
      <c r="O14" s="316">
        <f>INDEX(GrowthFactors!$O$1:$O$30,MATCH(O$3,GrowthFactors!$B$1:$B$30,0))*$D14</f>
        <v>17.00941744819135</v>
      </c>
      <c r="P14" s="316">
        <f>INDEX(GrowthFactors!$O$1:$O$30,MATCH(P$3,GrowthFactors!$B$1:$B$30,0))*$D14</f>
        <v>17.115156765174937</v>
      </c>
      <c r="Q14" s="316">
        <f>INDEX(GrowthFactors!$O$1:$O$30,MATCH(Q$3,GrowthFactors!$B$1:$B$30,0))*$D14</f>
        <v>17.220896082158525</v>
      </c>
      <c r="R14" s="316">
        <f>INDEX(GrowthFactors!$O$1:$O$30,MATCH(R$3,GrowthFactors!$B$1:$B$30,0))*$D14</f>
        <v>17.326635399142116</v>
      </c>
      <c r="S14" s="316">
        <f>INDEX(GrowthFactors!$O$1:$O$30,MATCH(S$3,GrowthFactors!$B$1:$B$30,0))*$D14</f>
        <v>17.432374716125711</v>
      </c>
      <c r="T14" s="316">
        <f>INDEX(GrowthFactors!$O$1:$O$30,MATCH(T$3,GrowthFactors!$B$1:$B$30,0))*$D14</f>
        <v>17.538114033109292</v>
      </c>
      <c r="U14" s="316">
        <f>INDEX(GrowthFactors!$O$1:$O$30,MATCH(U$3,GrowthFactors!$B$1:$B$30,0))*$D14</f>
        <v>17.637391502943885</v>
      </c>
      <c r="V14" s="316">
        <f>INDEX(GrowthFactors!$O$1:$O$30,MATCH(V$3,GrowthFactors!$B$1:$B$30,0))*$D14</f>
        <v>17.736668972778478</v>
      </c>
      <c r="W14" s="316">
        <f>INDEX(GrowthFactors!$O$1:$O$30,MATCH(W$3,GrowthFactors!$B$1:$B$30,0))*$D14</f>
        <v>17.835946442613068</v>
      </c>
      <c r="X14" s="316">
        <f>INDEX(GrowthFactors!$O$1:$O$30,MATCH(X$3,GrowthFactors!$B$1:$B$30,0))*$D14</f>
        <v>17.935223912447661</v>
      </c>
      <c r="Y14" s="316">
        <f>INDEX(GrowthFactors!$O$1:$O$30,MATCH(Y$3,GrowthFactors!$B$1:$B$30,0))*$D14</f>
        <v>18.034501382282254</v>
      </c>
      <c r="Z14" s="316">
        <f>INDEX(GrowthFactors!$O$1:$O$30,MATCH(Z$3,GrowthFactors!$B$1:$B$30,0))*$D14</f>
        <v>18.133778852116841</v>
      </c>
      <c r="AA14" s="316">
        <f>INDEX(GrowthFactors!$O$1:$O$30,MATCH(AA$3,GrowthFactors!$B$1:$B$30,0))*$D14</f>
        <v>18.233056321951434</v>
      </c>
      <c r="AB14" s="316">
        <f>INDEX(GrowthFactors!$O$1:$O$30,MATCH(AB$3,GrowthFactors!$B$1:$B$30,0))*$D14</f>
        <v>18.332333791786027</v>
      </c>
      <c r="AC14" s="316">
        <f>INDEX(GrowthFactors!$O$1:$O$30,MATCH(AC$3,GrowthFactors!$B$1:$B$30,0))*$D14</f>
        <v>18.431611261620617</v>
      </c>
      <c r="AD14" s="316">
        <f>INDEX(GrowthFactors!$O$1:$O$30,MATCH(AD$3,GrowthFactors!$B$1:$B$30,0))*$D14</f>
        <v>18.530888731455217</v>
      </c>
    </row>
    <row r="15" spans="2:30" ht="17" thickBot="1" x14ac:dyDescent="0.25"/>
    <row r="16" spans="2:30" ht="17" thickBot="1" x14ac:dyDescent="0.25">
      <c r="B16" s="289" t="s">
        <v>1</v>
      </c>
      <c r="C16" s="92" t="s">
        <v>2</v>
      </c>
      <c r="D16" s="332" t="s">
        <v>110</v>
      </c>
      <c r="E16" s="334"/>
    </row>
    <row r="17" spans="2:30" x14ac:dyDescent="0.2">
      <c r="B17" s="294" t="str">
        <f t="shared" ref="B17:C27" si="0">B4</f>
        <v>Orlando</v>
      </c>
      <c r="C17" s="294" t="str">
        <f t="shared" si="0"/>
        <v>Iron Bridge Regional WRF</v>
      </c>
      <c r="D17" s="295">
        <f>ROUNDUP(D4/Coefficients!$C$22,0)</f>
        <v>7</v>
      </c>
      <c r="E17" s="296">
        <f>ROUNDUP(E4/Coefficients!$C$22,0)</f>
        <v>7</v>
      </c>
      <c r="F17" s="296">
        <f>ROUNDUP(F4/Coefficients!$C$22,0)</f>
        <v>7</v>
      </c>
      <c r="G17" s="296">
        <f>ROUNDUP(G4/Coefficients!$C$22,0)</f>
        <v>8</v>
      </c>
      <c r="H17" s="296">
        <f>ROUNDUP(H4/Coefficients!$C$22,0)</f>
        <v>8</v>
      </c>
      <c r="I17" s="296">
        <f>ROUNDUP(I4/Coefficients!$C$22,0)</f>
        <v>8</v>
      </c>
      <c r="J17" s="296">
        <f>ROUNDUP(J4/Coefficients!$C$22,0)</f>
        <v>8</v>
      </c>
      <c r="K17" s="296">
        <f>ROUNDUP(K4/Coefficients!$C$22,0)</f>
        <v>8</v>
      </c>
      <c r="L17" s="296">
        <f>ROUNDUP(L4/Coefficients!$C$22,0)</f>
        <v>8</v>
      </c>
      <c r="M17" s="296">
        <f>ROUNDUP(M4/Coefficients!$C$22,0)</f>
        <v>8</v>
      </c>
      <c r="N17" s="296">
        <f>ROUNDUP(N4/Coefficients!$C$22,0)</f>
        <v>8</v>
      </c>
      <c r="O17" s="296">
        <f>ROUNDUP(O4/Coefficients!$C$22,0)</f>
        <v>8</v>
      </c>
      <c r="P17" s="296">
        <f>ROUNDUP(P4/Coefficients!$C$22,0)</f>
        <v>8</v>
      </c>
      <c r="Q17" s="296">
        <f>ROUNDUP(Q4/Coefficients!$C$22,0)</f>
        <v>9</v>
      </c>
      <c r="R17" s="296">
        <f>ROUNDUP(R4/Coefficients!$C$22,0)</f>
        <v>9</v>
      </c>
      <c r="S17" s="296">
        <f>ROUNDUP(S4/Coefficients!$C$22,0)</f>
        <v>9</v>
      </c>
      <c r="T17" s="296">
        <f>ROUNDUP(T4/Coefficients!$C$22,0)</f>
        <v>9</v>
      </c>
      <c r="U17" s="296">
        <f>ROUNDUP(U4/Coefficients!$C$22,0)</f>
        <v>9</v>
      </c>
      <c r="V17" s="296">
        <f>ROUNDUP(V4/Coefficients!$C$22,0)</f>
        <v>9</v>
      </c>
      <c r="W17" s="296">
        <f>ROUNDUP(W4/Coefficients!$C$22,0)</f>
        <v>9</v>
      </c>
      <c r="X17" s="296">
        <f>ROUNDUP(X4/Coefficients!$C$22,0)</f>
        <v>9</v>
      </c>
      <c r="Y17" s="296">
        <f>ROUNDUP(Y4/Coefficients!$C$22,0)</f>
        <v>9</v>
      </c>
      <c r="Z17" s="296">
        <f>ROUNDUP(Z4/Coefficients!$C$22,0)</f>
        <v>9</v>
      </c>
      <c r="AA17" s="296">
        <f>ROUNDUP(AA4/Coefficients!$C$22,0)</f>
        <v>9</v>
      </c>
      <c r="AB17" s="296">
        <f>ROUNDUP(AB4/Coefficients!$C$22,0)</f>
        <v>9</v>
      </c>
      <c r="AC17" s="296">
        <f>ROUNDUP(AC4/Coefficients!$C$22,0)</f>
        <v>9</v>
      </c>
      <c r="AD17" s="296">
        <f>ROUNDUP(AD4/Coefficients!$C$22,0)</f>
        <v>9</v>
      </c>
    </row>
    <row r="18" spans="2:30" x14ac:dyDescent="0.2">
      <c r="B18" s="294" t="str">
        <f t="shared" si="0"/>
        <v>Orlando</v>
      </c>
      <c r="C18" s="294" t="str">
        <f t="shared" si="0"/>
        <v>Water Conserv II WRF</v>
      </c>
      <c r="D18" s="295">
        <f>ROUNDUP(D5/Coefficients!$C$22,0)</f>
        <v>5</v>
      </c>
      <c r="E18" s="296">
        <f>ROUNDUP(E5/Coefficients!$C$22,0)</f>
        <v>6</v>
      </c>
      <c r="F18" s="296">
        <f>ROUNDUP(F5/Coefficients!$C$22,0)</f>
        <v>6</v>
      </c>
      <c r="G18" s="296">
        <f>ROUNDUP(G5/Coefficients!$C$22,0)</f>
        <v>6</v>
      </c>
      <c r="H18" s="296">
        <f>ROUNDUP(H5/Coefficients!$C$22,0)</f>
        <v>6</v>
      </c>
      <c r="I18" s="296">
        <f>ROUNDUP(I5/Coefficients!$C$22,0)</f>
        <v>6</v>
      </c>
      <c r="J18" s="296">
        <f>ROUNDUP(J5/Coefficients!$C$22,0)</f>
        <v>6</v>
      </c>
      <c r="K18" s="296">
        <f>ROUNDUP(K5/Coefficients!$C$22,0)</f>
        <v>6</v>
      </c>
      <c r="L18" s="296">
        <f>ROUNDUP(L5/Coefficients!$C$22,0)</f>
        <v>6</v>
      </c>
      <c r="M18" s="296">
        <f>ROUNDUP(M5/Coefficients!$C$22,0)</f>
        <v>6</v>
      </c>
      <c r="N18" s="296">
        <f>ROUNDUP(N5/Coefficients!$C$22,0)</f>
        <v>6</v>
      </c>
      <c r="O18" s="296">
        <f>ROUNDUP(O5/Coefficients!$C$22,0)</f>
        <v>7</v>
      </c>
      <c r="P18" s="296">
        <f>ROUNDUP(P5/Coefficients!$C$22,0)</f>
        <v>7</v>
      </c>
      <c r="Q18" s="296">
        <f>ROUNDUP(Q5/Coefficients!$C$22,0)</f>
        <v>7</v>
      </c>
      <c r="R18" s="296">
        <f>ROUNDUP(R5/Coefficients!$C$22,0)</f>
        <v>7</v>
      </c>
      <c r="S18" s="296">
        <f>ROUNDUP(S5/Coefficients!$C$22,0)</f>
        <v>7</v>
      </c>
      <c r="T18" s="296">
        <f>ROUNDUP(T5/Coefficients!$C$22,0)</f>
        <v>7</v>
      </c>
      <c r="U18" s="296">
        <f>ROUNDUP(U5/Coefficients!$C$22,0)</f>
        <v>7</v>
      </c>
      <c r="V18" s="296">
        <f>ROUNDUP(V5/Coefficients!$C$22,0)</f>
        <v>7</v>
      </c>
      <c r="W18" s="296">
        <f>ROUNDUP(W5/Coefficients!$C$22,0)</f>
        <v>7</v>
      </c>
      <c r="X18" s="296">
        <f>ROUNDUP(X5/Coefficients!$C$22,0)</f>
        <v>7</v>
      </c>
      <c r="Y18" s="296">
        <f>ROUNDUP(Y5/Coefficients!$C$22,0)</f>
        <v>7</v>
      </c>
      <c r="Z18" s="296">
        <f>ROUNDUP(Z5/Coefficients!$C$22,0)</f>
        <v>7</v>
      </c>
      <c r="AA18" s="296">
        <f>ROUNDUP(AA5/Coefficients!$C$22,0)</f>
        <v>7</v>
      </c>
      <c r="AB18" s="296">
        <f>ROUNDUP(AB5/Coefficients!$C$22,0)</f>
        <v>7</v>
      </c>
      <c r="AC18" s="296">
        <f>ROUNDUP(AC5/Coefficients!$C$22,0)</f>
        <v>7</v>
      </c>
      <c r="AD18" s="296">
        <f>ROUNDUP(AD5/Coefficients!$C$22,0)</f>
        <v>7</v>
      </c>
    </row>
    <row r="19" spans="2:30" x14ac:dyDescent="0.2">
      <c r="B19" s="294" t="str">
        <f t="shared" si="0"/>
        <v>Orlando</v>
      </c>
      <c r="C19" s="294" t="str">
        <f t="shared" si="0"/>
        <v>Water Conserv I WRF</v>
      </c>
      <c r="D19" s="295">
        <f>ROUNDUP(D6/Coefficients!$C$22,0)</f>
        <v>2</v>
      </c>
      <c r="E19" s="296">
        <f>ROUNDUP(E6/Coefficients!$C$22,0)</f>
        <v>2</v>
      </c>
      <c r="F19" s="296">
        <f>ROUNDUP(F6/Coefficients!$C$22,0)</f>
        <v>2</v>
      </c>
      <c r="G19" s="296">
        <f>ROUNDUP(G6/Coefficients!$C$22,0)</f>
        <v>2</v>
      </c>
      <c r="H19" s="296">
        <f>ROUNDUP(H6/Coefficients!$C$22,0)</f>
        <v>2</v>
      </c>
      <c r="I19" s="296">
        <f>ROUNDUP(I6/Coefficients!$C$22,0)</f>
        <v>2</v>
      </c>
      <c r="J19" s="296">
        <f>ROUNDUP(J6/Coefficients!$C$22,0)</f>
        <v>2</v>
      </c>
      <c r="K19" s="296">
        <f>ROUNDUP(K6/Coefficients!$C$22,0)</f>
        <v>2</v>
      </c>
      <c r="L19" s="296">
        <f>ROUNDUP(L6/Coefficients!$C$22,0)</f>
        <v>2</v>
      </c>
      <c r="M19" s="296">
        <f>ROUNDUP(M6/Coefficients!$C$22,0)</f>
        <v>2</v>
      </c>
      <c r="N19" s="296">
        <f>ROUNDUP(N6/Coefficients!$C$22,0)</f>
        <v>2</v>
      </c>
      <c r="O19" s="296">
        <f>ROUNDUP(O6/Coefficients!$C$22,0)</f>
        <v>2</v>
      </c>
      <c r="P19" s="296">
        <f>ROUNDUP(P6/Coefficients!$C$22,0)</f>
        <v>2</v>
      </c>
      <c r="Q19" s="296">
        <f>ROUNDUP(Q6/Coefficients!$C$22,0)</f>
        <v>2</v>
      </c>
      <c r="R19" s="296">
        <f>ROUNDUP(R6/Coefficients!$C$22,0)</f>
        <v>2</v>
      </c>
      <c r="S19" s="296">
        <f>ROUNDUP(S6/Coefficients!$C$22,0)</f>
        <v>2</v>
      </c>
      <c r="T19" s="296">
        <f>ROUNDUP(T6/Coefficients!$C$22,0)</f>
        <v>2</v>
      </c>
      <c r="U19" s="296">
        <f>ROUNDUP(U6/Coefficients!$C$22,0)</f>
        <v>2</v>
      </c>
      <c r="V19" s="296">
        <f>ROUNDUP(V6/Coefficients!$C$22,0)</f>
        <v>2</v>
      </c>
      <c r="W19" s="296">
        <f>ROUNDUP(W6/Coefficients!$C$22,0)</f>
        <v>2</v>
      </c>
      <c r="X19" s="296">
        <f>ROUNDUP(X6/Coefficients!$C$22,0)</f>
        <v>2</v>
      </c>
      <c r="Y19" s="296">
        <f>ROUNDUP(Y6/Coefficients!$C$22,0)</f>
        <v>2</v>
      </c>
      <c r="Z19" s="296">
        <f>ROUNDUP(Z6/Coefficients!$C$22,0)</f>
        <v>2</v>
      </c>
      <c r="AA19" s="296">
        <f>ROUNDUP(AA6/Coefficients!$C$22,0)</f>
        <v>2</v>
      </c>
      <c r="AB19" s="296">
        <f>ROUNDUP(AB6/Coefficients!$C$22,0)</f>
        <v>2</v>
      </c>
      <c r="AC19" s="296">
        <f>ROUNDUP(AC6/Coefficients!$C$22,0)</f>
        <v>2</v>
      </c>
      <c r="AD19" s="296">
        <f>ROUNDUP(AD6/Coefficients!$C$22,0)</f>
        <v>2</v>
      </c>
    </row>
    <row r="20" spans="2:30" x14ac:dyDescent="0.2">
      <c r="B20" s="294" t="str">
        <f t="shared" si="0"/>
        <v>Altamonte Springs</v>
      </c>
      <c r="C20" s="294" t="str">
        <f t="shared" si="0"/>
        <v>Regional WRF</v>
      </c>
      <c r="D20" s="295">
        <f>ROUNDUP(D7/Coefficients!$C$22,0)</f>
        <v>2</v>
      </c>
      <c r="E20" s="296">
        <f>ROUNDUP(E7/Coefficients!$C$22,0)</f>
        <v>2</v>
      </c>
      <c r="F20" s="296">
        <f>ROUNDUP(F7/Coefficients!$C$22,0)</f>
        <v>2</v>
      </c>
      <c r="G20" s="296">
        <f>ROUNDUP(G7/Coefficients!$C$22,0)</f>
        <v>2</v>
      </c>
      <c r="H20" s="296">
        <f>ROUNDUP(H7/Coefficients!$C$22,0)</f>
        <v>2</v>
      </c>
      <c r="I20" s="296">
        <f>ROUNDUP(I7/Coefficients!$C$22,0)</f>
        <v>2</v>
      </c>
      <c r="J20" s="296">
        <f>ROUNDUP(J7/Coefficients!$C$22,0)</f>
        <v>2</v>
      </c>
      <c r="K20" s="296">
        <f>ROUNDUP(K7/Coefficients!$C$22,0)</f>
        <v>2</v>
      </c>
      <c r="L20" s="296">
        <f>ROUNDUP(L7/Coefficients!$C$22,0)</f>
        <v>2</v>
      </c>
      <c r="M20" s="296">
        <f>ROUNDUP(M7/Coefficients!$C$22,0)</f>
        <v>3</v>
      </c>
      <c r="N20" s="296">
        <f>ROUNDUP(N7/Coefficients!$C$22,0)</f>
        <v>3</v>
      </c>
      <c r="O20" s="296">
        <f>ROUNDUP(O7/Coefficients!$C$22,0)</f>
        <v>3</v>
      </c>
      <c r="P20" s="296">
        <f>ROUNDUP(P7/Coefficients!$C$22,0)</f>
        <v>3</v>
      </c>
      <c r="Q20" s="296">
        <f>ROUNDUP(Q7/Coefficients!$C$22,0)</f>
        <v>3</v>
      </c>
      <c r="R20" s="296">
        <f>ROUNDUP(R7/Coefficients!$C$22,0)</f>
        <v>3</v>
      </c>
      <c r="S20" s="296">
        <f>ROUNDUP(S7/Coefficients!$C$22,0)</f>
        <v>3</v>
      </c>
      <c r="T20" s="296">
        <f>ROUNDUP(T7/Coefficients!$C$22,0)</f>
        <v>3</v>
      </c>
      <c r="U20" s="296">
        <f>ROUNDUP(U7/Coefficients!$C$22,0)</f>
        <v>3</v>
      </c>
      <c r="V20" s="296">
        <f>ROUNDUP(V7/Coefficients!$C$22,0)</f>
        <v>3</v>
      </c>
      <c r="W20" s="296">
        <f>ROUNDUP(W7/Coefficients!$C$22,0)</f>
        <v>3</v>
      </c>
      <c r="X20" s="296">
        <f>ROUNDUP(X7/Coefficients!$C$22,0)</f>
        <v>3</v>
      </c>
      <c r="Y20" s="296">
        <f>ROUNDUP(Y7/Coefficients!$C$22,0)</f>
        <v>3</v>
      </c>
      <c r="Z20" s="296">
        <f>ROUNDUP(Z7/Coefficients!$C$22,0)</f>
        <v>3</v>
      </c>
      <c r="AA20" s="296">
        <f>ROUNDUP(AA7/Coefficients!$C$22,0)</f>
        <v>3</v>
      </c>
      <c r="AB20" s="296">
        <f>ROUNDUP(AB7/Coefficients!$C$22,0)</f>
        <v>3</v>
      </c>
      <c r="AC20" s="296">
        <f>ROUNDUP(AC7/Coefficients!$C$22,0)</f>
        <v>3</v>
      </c>
      <c r="AD20" s="296">
        <f>ROUNDUP(AD7/Coefficients!$C$22,0)</f>
        <v>3</v>
      </c>
    </row>
    <row r="21" spans="2:30" x14ac:dyDescent="0.2">
      <c r="B21" s="294" t="str">
        <f t="shared" si="0"/>
        <v>Toho Water Authority</v>
      </c>
      <c r="C21" s="294" t="str">
        <f t="shared" si="0"/>
        <v>South Bermuda WRF</v>
      </c>
      <c r="D21" s="295">
        <f>ROUNDUP(D8/Coefficients!$C$22,0)</f>
        <v>5</v>
      </c>
      <c r="E21" s="296">
        <f>ROUNDUP(E8/Coefficients!$C$22,0)</f>
        <v>5</v>
      </c>
      <c r="F21" s="296">
        <f>ROUNDUP(F8/Coefficients!$C$22,0)</f>
        <v>5</v>
      </c>
      <c r="G21" s="296">
        <f>ROUNDUP(G8/Coefficients!$C$22,0)</f>
        <v>5</v>
      </c>
      <c r="H21" s="296">
        <f>ROUNDUP(H8/Coefficients!$C$22,0)</f>
        <v>5</v>
      </c>
      <c r="I21" s="296">
        <f>ROUNDUP(I8/Coefficients!$C$22,0)</f>
        <v>6</v>
      </c>
      <c r="J21" s="296">
        <f>ROUNDUP(J8/Coefficients!$C$22,0)</f>
        <v>6</v>
      </c>
      <c r="K21" s="296">
        <f>ROUNDUP(K8/Coefficients!$C$22,0)</f>
        <v>6</v>
      </c>
      <c r="L21" s="296">
        <f>ROUNDUP(L8/Coefficients!$C$22,0)</f>
        <v>6</v>
      </c>
      <c r="M21" s="296">
        <f>ROUNDUP(M8/Coefficients!$C$22,0)</f>
        <v>6</v>
      </c>
      <c r="N21" s="296">
        <f>ROUNDUP(N8/Coefficients!$C$22,0)</f>
        <v>6</v>
      </c>
      <c r="O21" s="296">
        <f>ROUNDUP(O8/Coefficients!$C$22,0)</f>
        <v>6</v>
      </c>
      <c r="P21" s="296">
        <f>ROUNDUP(P8/Coefficients!$C$22,0)</f>
        <v>6</v>
      </c>
      <c r="Q21" s="296">
        <f>ROUNDUP(Q8/Coefficients!$C$22,0)</f>
        <v>6</v>
      </c>
      <c r="R21" s="296">
        <f>ROUNDUP(R8/Coefficients!$C$22,0)</f>
        <v>6</v>
      </c>
      <c r="S21" s="296">
        <f>ROUNDUP(S8/Coefficients!$C$22,0)</f>
        <v>6</v>
      </c>
      <c r="T21" s="296">
        <f>ROUNDUP(T8/Coefficients!$C$22,0)</f>
        <v>6</v>
      </c>
      <c r="U21" s="296">
        <f>ROUNDUP(U8/Coefficients!$C$22,0)</f>
        <v>6</v>
      </c>
      <c r="V21" s="296">
        <f>ROUNDUP(V8/Coefficients!$C$22,0)</f>
        <v>6</v>
      </c>
      <c r="W21" s="296">
        <f>ROUNDUP(W8/Coefficients!$C$22,0)</f>
        <v>6</v>
      </c>
      <c r="X21" s="296">
        <f>ROUNDUP(X8/Coefficients!$C$22,0)</f>
        <v>6</v>
      </c>
      <c r="Y21" s="296">
        <f>ROUNDUP(Y8/Coefficients!$C$22,0)</f>
        <v>6</v>
      </c>
      <c r="Z21" s="296">
        <f>ROUNDUP(Z8/Coefficients!$C$22,0)</f>
        <v>6</v>
      </c>
      <c r="AA21" s="296">
        <f>ROUNDUP(AA8/Coefficients!$C$22,0)</f>
        <v>6</v>
      </c>
      <c r="AB21" s="296">
        <f>ROUNDUP(AB8/Coefficients!$C$22,0)</f>
        <v>6</v>
      </c>
      <c r="AC21" s="296">
        <f>ROUNDUP(AC8/Coefficients!$C$22,0)</f>
        <v>6</v>
      </c>
      <c r="AD21" s="296">
        <f>ROUNDUP(AD8/Coefficients!$C$22,0)</f>
        <v>6</v>
      </c>
    </row>
    <row r="22" spans="2:30" x14ac:dyDescent="0.2">
      <c r="B22" s="294" t="str">
        <f t="shared" si="0"/>
        <v>Toho Water Authority</v>
      </c>
      <c r="C22" s="294" t="str">
        <f t="shared" si="0"/>
        <v>Sand Hill WRF</v>
      </c>
      <c r="D22" s="295">
        <f>ROUNDUP(D9/Coefficients!$C$22,0)</f>
        <v>2</v>
      </c>
      <c r="E22" s="296">
        <f>ROUNDUP(E9/Coefficients!$C$22,0)</f>
        <v>2</v>
      </c>
      <c r="F22" s="296">
        <f>ROUNDUP(F9/Coefficients!$C$22,0)</f>
        <v>2</v>
      </c>
      <c r="G22" s="296">
        <f>ROUNDUP(G9/Coefficients!$C$22,0)</f>
        <v>2</v>
      </c>
      <c r="H22" s="296">
        <f>ROUNDUP(H9/Coefficients!$C$22,0)</f>
        <v>2</v>
      </c>
      <c r="I22" s="296">
        <f>ROUNDUP(I9/Coefficients!$C$22,0)</f>
        <v>2</v>
      </c>
      <c r="J22" s="296">
        <f>ROUNDUP(J9/Coefficients!$C$22,0)</f>
        <v>2</v>
      </c>
      <c r="K22" s="296">
        <f>ROUNDUP(K9/Coefficients!$C$22,0)</f>
        <v>2</v>
      </c>
      <c r="L22" s="296">
        <f>ROUNDUP(L9/Coefficients!$C$22,0)</f>
        <v>2</v>
      </c>
      <c r="M22" s="296">
        <f>ROUNDUP(M9/Coefficients!$C$22,0)</f>
        <v>2</v>
      </c>
      <c r="N22" s="296">
        <f>ROUNDUP(N9/Coefficients!$C$22,0)</f>
        <v>2</v>
      </c>
      <c r="O22" s="296">
        <f>ROUNDUP(O9/Coefficients!$C$22,0)</f>
        <v>2</v>
      </c>
      <c r="P22" s="296">
        <f>ROUNDUP(P9/Coefficients!$C$22,0)</f>
        <v>2</v>
      </c>
      <c r="Q22" s="296">
        <f>ROUNDUP(Q9/Coefficients!$C$22,0)</f>
        <v>2</v>
      </c>
      <c r="R22" s="296">
        <f>ROUNDUP(R9/Coefficients!$C$22,0)</f>
        <v>2</v>
      </c>
      <c r="S22" s="296">
        <f>ROUNDUP(S9/Coefficients!$C$22,0)</f>
        <v>2</v>
      </c>
      <c r="T22" s="296">
        <f>ROUNDUP(T9/Coefficients!$C$22,0)</f>
        <v>2</v>
      </c>
      <c r="U22" s="296">
        <f>ROUNDUP(U9/Coefficients!$C$22,0)</f>
        <v>2</v>
      </c>
      <c r="V22" s="296">
        <f>ROUNDUP(V9/Coefficients!$C$22,0)</f>
        <v>2</v>
      </c>
      <c r="W22" s="296">
        <f>ROUNDUP(W9/Coefficients!$C$22,0)</f>
        <v>2</v>
      </c>
      <c r="X22" s="296">
        <f>ROUNDUP(X9/Coefficients!$C$22,0)</f>
        <v>2</v>
      </c>
      <c r="Y22" s="296">
        <f>ROUNDUP(Y9/Coefficients!$C$22,0)</f>
        <v>2</v>
      </c>
      <c r="Z22" s="296">
        <f>ROUNDUP(Z9/Coefficients!$C$22,0)</f>
        <v>2</v>
      </c>
      <c r="AA22" s="296">
        <f>ROUNDUP(AA9/Coefficients!$C$22,0)</f>
        <v>2</v>
      </c>
      <c r="AB22" s="296">
        <f>ROUNDUP(AB9/Coefficients!$C$22,0)</f>
        <v>2</v>
      </c>
      <c r="AC22" s="296">
        <f>ROUNDUP(AC9/Coefficients!$C$22,0)</f>
        <v>2</v>
      </c>
      <c r="AD22" s="296">
        <f>ROUNDUP(AD9/Coefficients!$C$22,0)</f>
        <v>2</v>
      </c>
    </row>
    <row r="23" spans="2:30" x14ac:dyDescent="0.2">
      <c r="B23" s="294" t="str">
        <f t="shared" si="0"/>
        <v>Toho Water Authority</v>
      </c>
      <c r="C23" s="294" t="str">
        <f t="shared" si="0"/>
        <v>Cypress West WRF</v>
      </c>
      <c r="D23" s="295">
        <f>ROUNDUP(D10/Coefficients!$C$22,0)</f>
        <v>1</v>
      </c>
      <c r="E23" s="296">
        <f>ROUNDUP(E10/Coefficients!$C$22,0)</f>
        <v>1</v>
      </c>
      <c r="F23" s="296">
        <f>ROUNDUP(F10/Coefficients!$C$22,0)</f>
        <v>1</v>
      </c>
      <c r="G23" s="296">
        <f>ROUNDUP(G10/Coefficients!$C$22,0)</f>
        <v>1</v>
      </c>
      <c r="H23" s="296">
        <f>ROUNDUP(H10/Coefficients!$C$22,0)</f>
        <v>1</v>
      </c>
      <c r="I23" s="296">
        <f>ROUNDUP(I10/Coefficients!$C$22,0)</f>
        <v>1</v>
      </c>
      <c r="J23" s="296">
        <f>ROUNDUP(J10/Coefficients!$C$22,0)</f>
        <v>1</v>
      </c>
      <c r="K23" s="296">
        <f>ROUNDUP(K10/Coefficients!$C$22,0)</f>
        <v>1</v>
      </c>
      <c r="L23" s="296">
        <f>ROUNDUP(L10/Coefficients!$C$22,0)</f>
        <v>1</v>
      </c>
      <c r="M23" s="296">
        <f>ROUNDUP(M10/Coefficients!$C$22,0)</f>
        <v>1</v>
      </c>
      <c r="N23" s="296">
        <f>ROUNDUP(N10/Coefficients!$C$22,0)</f>
        <v>1</v>
      </c>
      <c r="O23" s="296">
        <f>ROUNDUP(O10/Coefficients!$C$22,0)</f>
        <v>1</v>
      </c>
      <c r="P23" s="296">
        <f>ROUNDUP(P10/Coefficients!$C$22,0)</f>
        <v>1</v>
      </c>
      <c r="Q23" s="296">
        <f>ROUNDUP(Q10/Coefficients!$C$22,0)</f>
        <v>1</v>
      </c>
      <c r="R23" s="296">
        <f>ROUNDUP(R10/Coefficients!$C$22,0)</f>
        <v>1</v>
      </c>
      <c r="S23" s="296">
        <f>ROUNDUP(S10/Coefficients!$C$22,0)</f>
        <v>1</v>
      </c>
      <c r="T23" s="296">
        <f>ROUNDUP(T10/Coefficients!$C$22,0)</f>
        <v>1</v>
      </c>
      <c r="U23" s="296">
        <f>ROUNDUP(U10/Coefficients!$C$22,0)</f>
        <v>1</v>
      </c>
      <c r="V23" s="296">
        <f>ROUNDUP(V10/Coefficients!$C$22,0)</f>
        <v>1</v>
      </c>
      <c r="W23" s="296">
        <f>ROUNDUP(W10/Coefficients!$C$22,0)</f>
        <v>1</v>
      </c>
      <c r="X23" s="296">
        <f>ROUNDUP(X10/Coefficients!$C$22,0)</f>
        <v>1</v>
      </c>
      <c r="Y23" s="296">
        <f>ROUNDUP(Y10/Coefficients!$C$22,0)</f>
        <v>1</v>
      </c>
      <c r="Z23" s="296">
        <f>ROUNDUP(Z10/Coefficients!$C$22,0)</f>
        <v>1</v>
      </c>
      <c r="AA23" s="296">
        <f>ROUNDUP(AA10/Coefficients!$C$22,0)</f>
        <v>1</v>
      </c>
      <c r="AB23" s="296">
        <f>ROUNDUP(AB10/Coefficients!$C$22,0)</f>
        <v>1</v>
      </c>
      <c r="AC23" s="296">
        <f>ROUNDUP(AC10/Coefficients!$C$22,0)</f>
        <v>1</v>
      </c>
      <c r="AD23" s="296">
        <f>ROUNDUP(AD10/Coefficients!$C$22,0)</f>
        <v>1</v>
      </c>
    </row>
    <row r="24" spans="2:30" x14ac:dyDescent="0.2">
      <c r="B24" s="294" t="str">
        <f t="shared" si="0"/>
        <v>Toho Water Authority</v>
      </c>
      <c r="C24" s="294" t="str">
        <f t="shared" si="0"/>
        <v>Parkway WRF</v>
      </c>
      <c r="D24" s="295">
        <f>ROUNDUP(D11/Coefficients!$C$22,0)</f>
        <v>1</v>
      </c>
      <c r="E24" s="296">
        <f>ROUNDUP(E11/Coefficients!$C$22,0)</f>
        <v>1</v>
      </c>
      <c r="F24" s="296">
        <f>ROUNDUP(F11/Coefficients!$C$22,0)</f>
        <v>1</v>
      </c>
      <c r="G24" s="296">
        <f>ROUNDUP(G11/Coefficients!$C$22,0)</f>
        <v>1</v>
      </c>
      <c r="H24" s="296">
        <f>ROUNDUP(H11/Coefficients!$C$22,0)</f>
        <v>1</v>
      </c>
      <c r="I24" s="296">
        <f>ROUNDUP(I11/Coefficients!$C$22,0)</f>
        <v>1</v>
      </c>
      <c r="J24" s="296">
        <f>ROUNDUP(J11/Coefficients!$C$22,0)</f>
        <v>1</v>
      </c>
      <c r="K24" s="296">
        <f>ROUNDUP(K11/Coefficients!$C$22,0)</f>
        <v>1</v>
      </c>
      <c r="L24" s="296">
        <f>ROUNDUP(L11/Coefficients!$C$22,0)</f>
        <v>1</v>
      </c>
      <c r="M24" s="296">
        <f>ROUNDUP(M11/Coefficients!$C$22,0)</f>
        <v>1</v>
      </c>
      <c r="N24" s="296">
        <f>ROUNDUP(N11/Coefficients!$C$22,0)</f>
        <v>1</v>
      </c>
      <c r="O24" s="296">
        <f>ROUNDUP(O11/Coefficients!$C$22,0)</f>
        <v>1</v>
      </c>
      <c r="P24" s="296">
        <f>ROUNDUP(P11/Coefficients!$C$22,0)</f>
        <v>1</v>
      </c>
      <c r="Q24" s="296">
        <f>ROUNDUP(Q11/Coefficients!$C$22,0)</f>
        <v>1</v>
      </c>
      <c r="R24" s="296">
        <f>ROUNDUP(R11/Coefficients!$C$22,0)</f>
        <v>1</v>
      </c>
      <c r="S24" s="296">
        <f>ROUNDUP(S11/Coefficients!$C$22,0)</f>
        <v>1</v>
      </c>
      <c r="T24" s="296">
        <f>ROUNDUP(T11/Coefficients!$C$22,0)</f>
        <v>1</v>
      </c>
      <c r="U24" s="296">
        <f>ROUNDUP(U11/Coefficients!$C$22,0)</f>
        <v>1</v>
      </c>
      <c r="V24" s="296">
        <f>ROUNDUP(V11/Coefficients!$C$22,0)</f>
        <v>1</v>
      </c>
      <c r="W24" s="296">
        <f>ROUNDUP(W11/Coefficients!$C$22,0)</f>
        <v>1</v>
      </c>
      <c r="X24" s="296">
        <f>ROUNDUP(X11/Coefficients!$C$22,0)</f>
        <v>1</v>
      </c>
      <c r="Y24" s="296">
        <f>ROUNDUP(Y11/Coefficients!$C$22,0)</f>
        <v>1</v>
      </c>
      <c r="Z24" s="296">
        <f>ROUNDUP(Z11/Coefficients!$C$22,0)</f>
        <v>1</v>
      </c>
      <c r="AA24" s="296">
        <f>ROUNDUP(AA11/Coefficients!$C$22,0)</f>
        <v>1</v>
      </c>
      <c r="AB24" s="296">
        <f>ROUNDUP(AB11/Coefficients!$C$22,0)</f>
        <v>1</v>
      </c>
      <c r="AC24" s="296">
        <f>ROUNDUP(AC11/Coefficients!$C$22,0)</f>
        <v>1</v>
      </c>
      <c r="AD24" s="296">
        <f>ROUNDUP(AD11/Coefficients!$C$22,0)</f>
        <v>1</v>
      </c>
    </row>
    <row r="25" spans="2:30" x14ac:dyDescent="0.2">
      <c r="B25" s="294" t="str">
        <f t="shared" si="0"/>
        <v>Toho Water Authority</v>
      </c>
      <c r="C25" s="294" t="str">
        <f t="shared" si="0"/>
        <v>St. Cloud WRF</v>
      </c>
      <c r="D25" s="295">
        <f>ROUNDUP(D12/Coefficients!$C$22,0)</f>
        <v>2</v>
      </c>
      <c r="E25" s="296">
        <f>ROUNDUP(E12/Coefficients!$C$22,0)</f>
        <v>2</v>
      </c>
      <c r="F25" s="296">
        <f>ROUNDUP(F12/Coefficients!$C$22,0)</f>
        <v>2</v>
      </c>
      <c r="G25" s="296">
        <f>ROUNDUP(G12/Coefficients!$C$22,0)</f>
        <v>2</v>
      </c>
      <c r="H25" s="296">
        <f>ROUNDUP(H12/Coefficients!$C$22,0)</f>
        <v>2</v>
      </c>
      <c r="I25" s="296">
        <f>ROUNDUP(I12/Coefficients!$C$22,0)</f>
        <v>2</v>
      </c>
      <c r="J25" s="296">
        <f>ROUNDUP(J12/Coefficients!$C$22,0)</f>
        <v>2</v>
      </c>
      <c r="K25" s="296">
        <f>ROUNDUP(K12/Coefficients!$C$22,0)</f>
        <v>2</v>
      </c>
      <c r="L25" s="296">
        <f>ROUNDUP(L12/Coefficients!$C$22,0)</f>
        <v>2</v>
      </c>
      <c r="M25" s="296">
        <f>ROUNDUP(M12/Coefficients!$C$22,0)</f>
        <v>2</v>
      </c>
      <c r="N25" s="296">
        <f>ROUNDUP(N12/Coefficients!$C$22,0)</f>
        <v>2</v>
      </c>
      <c r="O25" s="296">
        <f>ROUNDUP(O12/Coefficients!$C$22,0)</f>
        <v>2</v>
      </c>
      <c r="P25" s="296">
        <f>ROUNDUP(P12/Coefficients!$C$22,0)</f>
        <v>2</v>
      </c>
      <c r="Q25" s="296">
        <f>ROUNDUP(Q12/Coefficients!$C$22,0)</f>
        <v>2</v>
      </c>
      <c r="R25" s="296">
        <f>ROUNDUP(R12/Coefficients!$C$22,0)</f>
        <v>2</v>
      </c>
      <c r="S25" s="296">
        <f>ROUNDUP(S12/Coefficients!$C$22,0)</f>
        <v>2</v>
      </c>
      <c r="T25" s="296">
        <f>ROUNDUP(T12/Coefficients!$C$22,0)</f>
        <v>2</v>
      </c>
      <c r="U25" s="296">
        <f>ROUNDUP(U12/Coefficients!$C$22,0)</f>
        <v>2</v>
      </c>
      <c r="V25" s="296">
        <f>ROUNDUP(V12/Coefficients!$C$22,0)</f>
        <v>2</v>
      </c>
      <c r="W25" s="296">
        <f>ROUNDUP(W12/Coefficients!$C$22,0)</f>
        <v>2</v>
      </c>
      <c r="X25" s="296">
        <f>ROUNDUP(X12/Coefficients!$C$22,0)</f>
        <v>2</v>
      </c>
      <c r="Y25" s="296">
        <f>ROUNDUP(Y12/Coefficients!$C$22,0)</f>
        <v>2</v>
      </c>
      <c r="Z25" s="296">
        <f>ROUNDUP(Z12/Coefficients!$C$22,0)</f>
        <v>2</v>
      </c>
      <c r="AA25" s="296">
        <f>ROUNDUP(AA12/Coefficients!$C$22,0)</f>
        <v>2</v>
      </c>
      <c r="AB25" s="296">
        <f>ROUNDUP(AB12/Coefficients!$C$22,0)</f>
        <v>2</v>
      </c>
      <c r="AC25" s="296">
        <f>ROUNDUP(AC12/Coefficients!$C$22,0)</f>
        <v>2</v>
      </c>
      <c r="AD25" s="296">
        <f>ROUNDUP(AD12/Coefficients!$C$22,0)</f>
        <v>2</v>
      </c>
    </row>
    <row r="26" spans="2:30" x14ac:dyDescent="0.2">
      <c r="B26" s="294" t="str">
        <f t="shared" si="0"/>
        <v>Seminole County</v>
      </c>
      <c r="C26" s="294" t="str">
        <f t="shared" si="0"/>
        <v>Greenwood Lakes WRF</v>
      </c>
      <c r="D26" s="295">
        <f>ROUNDUP(D13/Coefficients!$C$22,0)</f>
        <v>1</v>
      </c>
      <c r="E26" s="296">
        <f>ROUNDUP(E13/Coefficients!$C$22,0)</f>
        <v>1</v>
      </c>
      <c r="F26" s="296">
        <f>ROUNDUP(F13/Coefficients!$C$22,0)</f>
        <v>1</v>
      </c>
      <c r="G26" s="296">
        <f>ROUNDUP(G13/Coefficients!$C$22,0)</f>
        <v>1</v>
      </c>
      <c r="H26" s="296">
        <f>ROUNDUP(H13/Coefficients!$C$22,0)</f>
        <v>1</v>
      </c>
      <c r="I26" s="296">
        <f>ROUNDUP(I13/Coefficients!$C$22,0)</f>
        <v>1</v>
      </c>
      <c r="J26" s="296">
        <f>ROUNDUP(J13/Coefficients!$C$22,0)</f>
        <v>1</v>
      </c>
      <c r="K26" s="296">
        <f>ROUNDUP(K13/Coefficients!$C$22,0)</f>
        <v>1</v>
      </c>
      <c r="L26" s="296">
        <f>ROUNDUP(L13/Coefficients!$C$22,0)</f>
        <v>1</v>
      </c>
      <c r="M26" s="296">
        <f>ROUNDUP(M13/Coefficients!$C$22,0)</f>
        <v>1</v>
      </c>
      <c r="N26" s="296">
        <f>ROUNDUP(N13/Coefficients!$C$22,0)</f>
        <v>1</v>
      </c>
      <c r="O26" s="296">
        <f>ROUNDUP(O13/Coefficients!$C$22,0)</f>
        <v>1</v>
      </c>
      <c r="P26" s="296">
        <f>ROUNDUP(P13/Coefficients!$C$22,0)</f>
        <v>1</v>
      </c>
      <c r="Q26" s="296">
        <f>ROUNDUP(Q13/Coefficients!$C$22,0)</f>
        <v>1</v>
      </c>
      <c r="R26" s="296">
        <f>ROUNDUP(R13/Coefficients!$C$22,0)</f>
        <v>1</v>
      </c>
      <c r="S26" s="296">
        <f>ROUNDUP(S13/Coefficients!$C$22,0)</f>
        <v>1</v>
      </c>
      <c r="T26" s="296">
        <f>ROUNDUP(T13/Coefficients!$C$22,0)</f>
        <v>1</v>
      </c>
      <c r="U26" s="296">
        <f>ROUNDUP(U13/Coefficients!$C$22,0)</f>
        <v>1</v>
      </c>
      <c r="V26" s="296">
        <f>ROUNDUP(V13/Coefficients!$C$22,0)</f>
        <v>1</v>
      </c>
      <c r="W26" s="296">
        <f>ROUNDUP(W13/Coefficients!$C$22,0)</f>
        <v>1</v>
      </c>
      <c r="X26" s="296">
        <f>ROUNDUP(X13/Coefficients!$C$22,0)</f>
        <v>1</v>
      </c>
      <c r="Y26" s="296">
        <f>ROUNDUP(Y13/Coefficients!$C$22,0)</f>
        <v>1</v>
      </c>
      <c r="Z26" s="296">
        <f>ROUNDUP(Z13/Coefficients!$C$22,0)</f>
        <v>1</v>
      </c>
      <c r="AA26" s="296">
        <f>ROUNDUP(AA13/Coefficients!$C$22,0)</f>
        <v>1</v>
      </c>
      <c r="AB26" s="296">
        <f>ROUNDUP(AB13/Coefficients!$C$22,0)</f>
        <v>1</v>
      </c>
      <c r="AC26" s="296">
        <f>ROUNDUP(AC13/Coefficients!$C$22,0)</f>
        <v>2</v>
      </c>
      <c r="AD26" s="296">
        <f>ROUNDUP(AD13/Coefficients!$C$22,0)</f>
        <v>2</v>
      </c>
    </row>
    <row r="27" spans="2:30" x14ac:dyDescent="0.2">
      <c r="B27" s="294" t="str">
        <f t="shared" si="0"/>
        <v>Seminole County</v>
      </c>
      <c r="C27" s="294" t="str">
        <f t="shared" si="0"/>
        <v>Yankee Lake WRF</v>
      </c>
      <c r="D27" s="295">
        <f>ROUNDUP(D14/Coefficients!$C$22,0)</f>
        <v>1</v>
      </c>
      <c r="E27" s="296">
        <f>ROUNDUP(E14/Coefficients!$C$22,0)</f>
        <v>1</v>
      </c>
      <c r="F27" s="296">
        <f>ROUNDUP(F14/Coefficients!$C$22,0)</f>
        <v>1</v>
      </c>
      <c r="G27" s="296">
        <f>ROUNDUP(G14/Coefficients!$C$22,0)</f>
        <v>1</v>
      </c>
      <c r="H27" s="296">
        <f>ROUNDUP(H14/Coefficients!$C$22,0)</f>
        <v>1</v>
      </c>
      <c r="I27" s="296">
        <f>ROUNDUP(I14/Coefficients!$C$22,0)</f>
        <v>1</v>
      </c>
      <c r="J27" s="296">
        <f>ROUNDUP(J14/Coefficients!$C$22,0)</f>
        <v>1</v>
      </c>
      <c r="K27" s="296">
        <f>ROUNDUP(K14/Coefficients!$C$22,0)</f>
        <v>1</v>
      </c>
      <c r="L27" s="296">
        <f>ROUNDUP(L14/Coefficients!$C$22,0)</f>
        <v>1</v>
      </c>
      <c r="M27" s="296">
        <f>ROUNDUP(M14/Coefficients!$C$22,0)</f>
        <v>1</v>
      </c>
      <c r="N27" s="296">
        <f>ROUNDUP(N14/Coefficients!$C$22,0)</f>
        <v>1</v>
      </c>
      <c r="O27" s="296">
        <f>ROUNDUP(O14/Coefficients!$C$22,0)</f>
        <v>1</v>
      </c>
      <c r="P27" s="296">
        <f>ROUNDUP(P14/Coefficients!$C$22,0)</f>
        <v>1</v>
      </c>
      <c r="Q27" s="296">
        <f>ROUNDUP(Q14/Coefficients!$C$22,0)</f>
        <v>1</v>
      </c>
      <c r="R27" s="296">
        <f>ROUNDUP(R14/Coefficients!$C$22,0)</f>
        <v>1</v>
      </c>
      <c r="S27" s="296">
        <f>ROUNDUP(S14/Coefficients!$C$22,0)</f>
        <v>1</v>
      </c>
      <c r="T27" s="296">
        <f>ROUNDUP(T14/Coefficients!$C$22,0)</f>
        <v>1</v>
      </c>
      <c r="U27" s="296">
        <f>ROUNDUP(U14/Coefficients!$C$22,0)</f>
        <v>1</v>
      </c>
      <c r="V27" s="296">
        <f>ROUNDUP(V14/Coefficients!$C$22,0)</f>
        <v>1</v>
      </c>
      <c r="W27" s="296">
        <f>ROUNDUP(W14/Coefficients!$C$22,0)</f>
        <v>1</v>
      </c>
      <c r="X27" s="296">
        <f>ROUNDUP(X14/Coefficients!$C$22,0)</f>
        <v>1</v>
      </c>
      <c r="Y27" s="296">
        <f>ROUNDUP(Y14/Coefficients!$C$22,0)</f>
        <v>1</v>
      </c>
      <c r="Z27" s="296">
        <f>ROUNDUP(Z14/Coefficients!$C$22,0)</f>
        <v>1</v>
      </c>
      <c r="AA27" s="296">
        <f>ROUNDUP(AA14/Coefficients!$C$22,0)</f>
        <v>1</v>
      </c>
      <c r="AB27" s="296">
        <f>ROUNDUP(AB14/Coefficients!$C$22,0)</f>
        <v>1</v>
      </c>
      <c r="AC27" s="296">
        <f>ROUNDUP(AC14/Coefficients!$C$22,0)</f>
        <v>1</v>
      </c>
      <c r="AD27" s="296">
        <f>ROUNDUP(AD14/Coefficients!$C$22,0)</f>
        <v>1</v>
      </c>
    </row>
    <row r="28" spans="2:30" ht="17" thickBot="1" x14ac:dyDescent="0.25"/>
    <row r="29" spans="2:30" ht="17" thickBot="1" x14ac:dyDescent="0.25">
      <c r="B29" s="289" t="s">
        <v>1</v>
      </c>
      <c r="C29" s="92" t="s">
        <v>2</v>
      </c>
      <c r="D29" s="346" t="s">
        <v>114</v>
      </c>
      <c r="E29" s="347"/>
      <c r="F29" s="347"/>
      <c r="G29" s="348"/>
    </row>
    <row r="30" spans="2:30" x14ac:dyDescent="0.2">
      <c r="B30" s="297" t="s">
        <v>14</v>
      </c>
      <c r="C30" s="297" t="s">
        <v>15</v>
      </c>
      <c r="D30" s="298">
        <f>D17*Sludge!$M3*2</f>
        <v>764.4</v>
      </c>
      <c r="E30" s="66">
        <f>E17*Sludge!$M3*2</f>
        <v>764.4</v>
      </c>
      <c r="F30" s="66">
        <f>F17*Sludge!$M3*2</f>
        <v>764.4</v>
      </c>
      <c r="G30" s="66">
        <f>G17*Sludge!$M3*2</f>
        <v>873.6</v>
      </c>
      <c r="H30" s="66">
        <f>H17*Sludge!$M3*2</f>
        <v>873.6</v>
      </c>
      <c r="I30" s="66">
        <f>I17*Sludge!$M3*2</f>
        <v>873.6</v>
      </c>
      <c r="J30" s="66">
        <f>J17*Sludge!$M3*2</f>
        <v>873.6</v>
      </c>
      <c r="K30" s="66">
        <f>K17*Sludge!$M3*2</f>
        <v>873.6</v>
      </c>
      <c r="L30" s="66">
        <f>L17*Sludge!$M3*2</f>
        <v>873.6</v>
      </c>
      <c r="M30" s="66">
        <f>M17*Sludge!$M3*2</f>
        <v>873.6</v>
      </c>
      <c r="N30" s="66">
        <f>N17*Sludge!$M3*2</f>
        <v>873.6</v>
      </c>
      <c r="O30" s="66">
        <f>O17*Sludge!$M3*2</f>
        <v>873.6</v>
      </c>
      <c r="P30" s="66">
        <f>P17*Sludge!$M3*2</f>
        <v>873.6</v>
      </c>
      <c r="Q30" s="66">
        <f>Q17*Sludge!$M3*2</f>
        <v>982.80000000000007</v>
      </c>
      <c r="R30" s="66">
        <f>R17*Sludge!$M3*2</f>
        <v>982.80000000000007</v>
      </c>
      <c r="S30" s="66">
        <f>S17*Sludge!$M3*2</f>
        <v>982.80000000000007</v>
      </c>
      <c r="T30" s="66">
        <f>T17*Sludge!$M3*2</f>
        <v>982.80000000000007</v>
      </c>
      <c r="U30" s="66">
        <f>U17*Sludge!$M3*2</f>
        <v>982.80000000000007</v>
      </c>
      <c r="V30" s="66">
        <f>V17*Sludge!$M3*2</f>
        <v>982.80000000000007</v>
      </c>
      <c r="W30" s="66">
        <f>W17*Sludge!$M3*2</f>
        <v>982.80000000000007</v>
      </c>
      <c r="X30" s="66">
        <f>X17*Sludge!$M3*2</f>
        <v>982.80000000000007</v>
      </c>
      <c r="Y30" s="66">
        <f>Y17*Sludge!$M3*2</f>
        <v>982.80000000000007</v>
      </c>
      <c r="Z30" s="66">
        <f>Z17*Sludge!$M3*2</f>
        <v>982.80000000000007</v>
      </c>
      <c r="AA30" s="66">
        <f>AA17*Sludge!$M3*2</f>
        <v>982.80000000000007</v>
      </c>
      <c r="AB30" s="66">
        <f>AB17*Sludge!$M3*2</f>
        <v>982.80000000000007</v>
      </c>
      <c r="AC30" s="66">
        <f>AC17*Sludge!$M3*2</f>
        <v>982.80000000000007</v>
      </c>
      <c r="AD30" s="66">
        <f>AD17*Sludge!$M3*2</f>
        <v>982.80000000000007</v>
      </c>
    </row>
    <row r="31" spans="2:30" x14ac:dyDescent="0.2">
      <c r="B31" s="297" t="s">
        <v>14</v>
      </c>
      <c r="C31" s="297" t="s">
        <v>18</v>
      </c>
      <c r="D31" s="298">
        <f>D18*Sludge!$M4*2</f>
        <v>350</v>
      </c>
      <c r="E31" s="66">
        <f>E18*Sludge!$M4*2</f>
        <v>420</v>
      </c>
      <c r="F31" s="66">
        <f>F18*Sludge!$M4*2</f>
        <v>420</v>
      </c>
      <c r="G31" s="66">
        <f>G18*Sludge!$M4*2</f>
        <v>420</v>
      </c>
      <c r="H31" s="66">
        <f>H18*Sludge!$M4*2</f>
        <v>420</v>
      </c>
      <c r="I31" s="66">
        <f>I18*Sludge!$M4*2</f>
        <v>420</v>
      </c>
      <c r="J31" s="66">
        <f>J18*Sludge!$M4*2</f>
        <v>420</v>
      </c>
      <c r="K31" s="66">
        <f>K18*Sludge!$M4*2</f>
        <v>420</v>
      </c>
      <c r="L31" s="66">
        <f>L18*Sludge!$M4*2</f>
        <v>420</v>
      </c>
      <c r="M31" s="66">
        <f>M18*Sludge!$M4*2</f>
        <v>420</v>
      </c>
      <c r="N31" s="66">
        <f>N18*Sludge!$M4*2</f>
        <v>420</v>
      </c>
      <c r="O31" s="66">
        <f>O18*Sludge!$M4*2</f>
        <v>490</v>
      </c>
      <c r="P31" s="66">
        <f>P18*Sludge!$M4*2</f>
        <v>490</v>
      </c>
      <c r="Q31" s="66">
        <f>Q18*Sludge!$M4*2</f>
        <v>490</v>
      </c>
      <c r="R31" s="66">
        <f>R18*Sludge!$M4*2</f>
        <v>490</v>
      </c>
      <c r="S31" s="66">
        <f>S18*Sludge!$M4*2</f>
        <v>490</v>
      </c>
      <c r="T31" s="66">
        <f>T18*Sludge!$M4*2</f>
        <v>490</v>
      </c>
      <c r="U31" s="66">
        <f>U18*Sludge!$M4*2</f>
        <v>490</v>
      </c>
      <c r="V31" s="66">
        <f>V18*Sludge!$M4*2</f>
        <v>490</v>
      </c>
      <c r="W31" s="66">
        <f>W18*Sludge!$M4*2</f>
        <v>490</v>
      </c>
      <c r="X31" s="66">
        <f>X18*Sludge!$M4*2</f>
        <v>490</v>
      </c>
      <c r="Y31" s="66">
        <f>Y18*Sludge!$M4*2</f>
        <v>490</v>
      </c>
      <c r="Z31" s="66">
        <f>Z18*Sludge!$M4*2</f>
        <v>490</v>
      </c>
      <c r="AA31" s="66">
        <f>AA18*Sludge!$M4*2</f>
        <v>490</v>
      </c>
      <c r="AB31" s="66">
        <f>AB18*Sludge!$M4*2</f>
        <v>490</v>
      </c>
      <c r="AC31" s="66">
        <f>AC18*Sludge!$M4*2</f>
        <v>490</v>
      </c>
      <c r="AD31" s="66">
        <f>AD18*Sludge!$M4*2</f>
        <v>490</v>
      </c>
    </row>
    <row r="32" spans="2:30" x14ac:dyDescent="0.2">
      <c r="B32" s="297" t="s">
        <v>14</v>
      </c>
      <c r="C32" s="297" t="s">
        <v>20</v>
      </c>
      <c r="D32" s="298">
        <f>D19*Sludge!$M5*2</f>
        <v>0</v>
      </c>
      <c r="E32" s="66">
        <f>E19*Sludge!$M5*2</f>
        <v>0</v>
      </c>
      <c r="F32" s="66">
        <f>F19*Sludge!$M5*2</f>
        <v>0</v>
      </c>
      <c r="G32" s="66">
        <f>G19*Sludge!$M5*2</f>
        <v>0</v>
      </c>
      <c r="H32" s="66">
        <f>H19*Sludge!$M5*2</f>
        <v>0</v>
      </c>
      <c r="I32" s="66">
        <f>I19*Sludge!$M5*2</f>
        <v>0</v>
      </c>
      <c r="J32" s="66">
        <f>J19*Sludge!$M5*2</f>
        <v>0</v>
      </c>
      <c r="K32" s="66">
        <f>K19*Sludge!$M5*2</f>
        <v>0</v>
      </c>
      <c r="L32" s="66">
        <f>L19*Sludge!$M5*2</f>
        <v>0</v>
      </c>
      <c r="M32" s="66">
        <f>M19*Sludge!$M5*2</f>
        <v>0</v>
      </c>
      <c r="N32" s="66">
        <f>N19*Sludge!$M5*2</f>
        <v>0</v>
      </c>
      <c r="O32" s="66">
        <f>O19*Sludge!$M5*2</f>
        <v>0</v>
      </c>
      <c r="P32" s="66">
        <f>P19*Sludge!$M5*2</f>
        <v>0</v>
      </c>
      <c r="Q32" s="66">
        <f>Q19*Sludge!$M5*2</f>
        <v>0</v>
      </c>
      <c r="R32" s="66">
        <f>R19*Sludge!$M5*2</f>
        <v>0</v>
      </c>
      <c r="S32" s="66">
        <f>S19*Sludge!$M5*2</f>
        <v>0</v>
      </c>
      <c r="T32" s="66">
        <f>T19*Sludge!$M5*2</f>
        <v>0</v>
      </c>
      <c r="U32" s="66">
        <f>U19*Sludge!$M5*2</f>
        <v>0</v>
      </c>
      <c r="V32" s="66">
        <f>V19*Sludge!$M5*2</f>
        <v>0</v>
      </c>
      <c r="W32" s="66">
        <f>W19*Sludge!$M5*2</f>
        <v>0</v>
      </c>
      <c r="X32" s="66">
        <f>X19*Sludge!$M5*2</f>
        <v>0</v>
      </c>
      <c r="Y32" s="66">
        <f>Y19*Sludge!$M5*2</f>
        <v>0</v>
      </c>
      <c r="Z32" s="66">
        <f>Z19*Sludge!$M5*2</f>
        <v>0</v>
      </c>
      <c r="AA32" s="66">
        <f>AA19*Sludge!$M5*2</f>
        <v>0</v>
      </c>
      <c r="AB32" s="66">
        <f>AB19*Sludge!$M5*2</f>
        <v>0</v>
      </c>
      <c r="AC32" s="66">
        <f>AC19*Sludge!$M5*2</f>
        <v>0</v>
      </c>
      <c r="AD32" s="66">
        <f>AD19*Sludge!$M5*2</f>
        <v>0</v>
      </c>
    </row>
    <row r="33" spans="2:30" x14ac:dyDescent="0.2">
      <c r="B33" s="297" t="s">
        <v>27</v>
      </c>
      <c r="C33" s="297" t="s">
        <v>28</v>
      </c>
      <c r="D33" s="298">
        <f>D20*Sludge!$M6*2</f>
        <v>80</v>
      </c>
      <c r="E33" s="66">
        <f>E20*Sludge!$M6*2</f>
        <v>80</v>
      </c>
      <c r="F33" s="66">
        <f>F20*Sludge!$M6*2</f>
        <v>80</v>
      </c>
      <c r="G33" s="66">
        <f>G20*Sludge!$M6*2</f>
        <v>80</v>
      </c>
      <c r="H33" s="66">
        <f>H20*Sludge!$M6*2</f>
        <v>80</v>
      </c>
      <c r="I33" s="66">
        <f>I20*Sludge!$M6*2</f>
        <v>80</v>
      </c>
      <c r="J33" s="66">
        <f>J20*Sludge!$M6*2</f>
        <v>80</v>
      </c>
      <c r="K33" s="66">
        <f>K20*Sludge!$M6*2</f>
        <v>80</v>
      </c>
      <c r="L33" s="66">
        <f>L20*Sludge!$M6*2</f>
        <v>80</v>
      </c>
      <c r="M33" s="66">
        <f>M20*Sludge!$M6*2</f>
        <v>120</v>
      </c>
      <c r="N33" s="66">
        <f>N20*Sludge!$M6*2</f>
        <v>120</v>
      </c>
      <c r="O33" s="66">
        <f>O20*Sludge!$M6*2</f>
        <v>120</v>
      </c>
      <c r="P33" s="66">
        <f>P20*Sludge!$M6*2</f>
        <v>120</v>
      </c>
      <c r="Q33" s="66">
        <f>Q20*Sludge!$M6*2</f>
        <v>120</v>
      </c>
      <c r="R33" s="66">
        <f>R20*Sludge!$M6*2</f>
        <v>120</v>
      </c>
      <c r="S33" s="66">
        <f>S20*Sludge!$M6*2</f>
        <v>120</v>
      </c>
      <c r="T33" s="66">
        <f>T20*Sludge!$M6*2</f>
        <v>120</v>
      </c>
      <c r="U33" s="66">
        <f>U20*Sludge!$M6*2</f>
        <v>120</v>
      </c>
      <c r="V33" s="66">
        <f>V20*Sludge!$M6*2</f>
        <v>120</v>
      </c>
      <c r="W33" s="66">
        <f>W20*Sludge!$M6*2</f>
        <v>120</v>
      </c>
      <c r="X33" s="66">
        <f>X20*Sludge!$M6*2</f>
        <v>120</v>
      </c>
      <c r="Y33" s="66">
        <f>Y20*Sludge!$M6*2</f>
        <v>120</v>
      </c>
      <c r="Z33" s="66">
        <f>Z20*Sludge!$M6*2</f>
        <v>120</v>
      </c>
      <c r="AA33" s="66">
        <f>AA20*Sludge!$M6*2</f>
        <v>120</v>
      </c>
      <c r="AB33" s="66">
        <f>AB20*Sludge!$M6*2</f>
        <v>120</v>
      </c>
      <c r="AC33" s="66">
        <f>AC20*Sludge!$M6*2</f>
        <v>120</v>
      </c>
      <c r="AD33" s="66">
        <f>AD20*Sludge!$M6*2</f>
        <v>120</v>
      </c>
    </row>
    <row r="34" spans="2:30" x14ac:dyDescent="0.2">
      <c r="B34" s="297" t="s">
        <v>29</v>
      </c>
      <c r="C34" s="297" t="s">
        <v>30</v>
      </c>
      <c r="D34" s="298">
        <f>D21*Sludge!$M7*2</f>
        <v>422</v>
      </c>
      <c r="E34" s="66">
        <f>E21*Sludge!$M7*2</f>
        <v>422</v>
      </c>
      <c r="F34" s="66">
        <f>F21*Sludge!$M7*2</f>
        <v>422</v>
      </c>
      <c r="G34" s="66">
        <f>G21*Sludge!$M7*2</f>
        <v>422</v>
      </c>
      <c r="H34" s="66">
        <f>H21*Sludge!$M7*2</f>
        <v>422</v>
      </c>
      <c r="I34" s="66">
        <f>I21*Sludge!$M7*2</f>
        <v>506.40000000000003</v>
      </c>
      <c r="J34" s="66">
        <f>J21*Sludge!$M7*2</f>
        <v>506.40000000000003</v>
      </c>
      <c r="K34" s="66">
        <f>K21*Sludge!$M7*2</f>
        <v>506.40000000000003</v>
      </c>
      <c r="L34" s="66">
        <f>L21*Sludge!$M7*2</f>
        <v>506.40000000000003</v>
      </c>
      <c r="M34" s="66">
        <f>M21*Sludge!$M7*2</f>
        <v>506.40000000000003</v>
      </c>
      <c r="N34" s="66">
        <f>N21*Sludge!$M7*2</f>
        <v>506.40000000000003</v>
      </c>
      <c r="O34" s="66">
        <f>O21*Sludge!$M7*2</f>
        <v>506.40000000000003</v>
      </c>
      <c r="P34" s="66">
        <f>P21*Sludge!$M7*2</f>
        <v>506.40000000000003</v>
      </c>
      <c r="Q34" s="66">
        <f>Q21*Sludge!$M7*2</f>
        <v>506.40000000000003</v>
      </c>
      <c r="R34" s="66">
        <f>R21*Sludge!$M7*2</f>
        <v>506.40000000000003</v>
      </c>
      <c r="S34" s="66">
        <f>S21*Sludge!$M7*2</f>
        <v>506.40000000000003</v>
      </c>
      <c r="T34" s="66">
        <f>T21*Sludge!$M7*2</f>
        <v>506.40000000000003</v>
      </c>
      <c r="U34" s="66">
        <f>U21*Sludge!$M7*2</f>
        <v>506.40000000000003</v>
      </c>
      <c r="V34" s="66">
        <f>V21*Sludge!$M7*2</f>
        <v>506.40000000000003</v>
      </c>
      <c r="W34" s="66">
        <f>W21*Sludge!$M7*2</f>
        <v>506.40000000000003</v>
      </c>
      <c r="X34" s="66">
        <f>X21*Sludge!$M7*2</f>
        <v>506.40000000000003</v>
      </c>
      <c r="Y34" s="66">
        <f>Y21*Sludge!$M7*2</f>
        <v>506.40000000000003</v>
      </c>
      <c r="Z34" s="66">
        <f>Z21*Sludge!$M7*2</f>
        <v>506.40000000000003</v>
      </c>
      <c r="AA34" s="66">
        <f>AA21*Sludge!$M7*2</f>
        <v>506.40000000000003</v>
      </c>
      <c r="AB34" s="66">
        <f>AB21*Sludge!$M7*2</f>
        <v>506.40000000000003</v>
      </c>
      <c r="AC34" s="66">
        <f>AC21*Sludge!$M7*2</f>
        <v>506.40000000000003</v>
      </c>
      <c r="AD34" s="66">
        <f>AD21*Sludge!$M7*2</f>
        <v>506.40000000000003</v>
      </c>
    </row>
    <row r="35" spans="2:30" x14ac:dyDescent="0.2">
      <c r="B35" s="297" t="s">
        <v>29</v>
      </c>
      <c r="C35" s="297" t="s">
        <v>31</v>
      </c>
      <c r="D35" s="298">
        <f>D22*Sludge!$M8*2</f>
        <v>150.80000000000001</v>
      </c>
      <c r="E35" s="66">
        <f>E22*Sludge!$M8*2</f>
        <v>150.80000000000001</v>
      </c>
      <c r="F35" s="66">
        <f>F22*Sludge!$M8*2</f>
        <v>150.80000000000001</v>
      </c>
      <c r="G35" s="66">
        <f>G22*Sludge!$M8*2</f>
        <v>150.80000000000001</v>
      </c>
      <c r="H35" s="66">
        <f>H22*Sludge!$M8*2</f>
        <v>150.80000000000001</v>
      </c>
      <c r="I35" s="66">
        <f>I22*Sludge!$M8*2</f>
        <v>150.80000000000001</v>
      </c>
      <c r="J35" s="66">
        <f>J22*Sludge!$M8*2</f>
        <v>150.80000000000001</v>
      </c>
      <c r="K35" s="66">
        <f>K22*Sludge!$M8*2</f>
        <v>150.80000000000001</v>
      </c>
      <c r="L35" s="66">
        <f>L22*Sludge!$M8*2</f>
        <v>150.80000000000001</v>
      </c>
      <c r="M35" s="66">
        <f>M22*Sludge!$M8*2</f>
        <v>150.80000000000001</v>
      </c>
      <c r="N35" s="66">
        <f>N22*Sludge!$M8*2</f>
        <v>150.80000000000001</v>
      </c>
      <c r="O35" s="66">
        <f>O22*Sludge!$M8*2</f>
        <v>150.80000000000001</v>
      </c>
      <c r="P35" s="66">
        <f>P22*Sludge!$M8*2</f>
        <v>150.80000000000001</v>
      </c>
      <c r="Q35" s="66">
        <f>Q22*Sludge!$M8*2</f>
        <v>150.80000000000001</v>
      </c>
      <c r="R35" s="66">
        <f>R22*Sludge!$M8*2</f>
        <v>150.80000000000001</v>
      </c>
      <c r="S35" s="66">
        <f>S22*Sludge!$M8*2</f>
        <v>150.80000000000001</v>
      </c>
      <c r="T35" s="66">
        <f>T22*Sludge!$M8*2</f>
        <v>150.80000000000001</v>
      </c>
      <c r="U35" s="66">
        <f>U22*Sludge!$M8*2</f>
        <v>150.80000000000001</v>
      </c>
      <c r="V35" s="66">
        <f>V22*Sludge!$M8*2</f>
        <v>150.80000000000001</v>
      </c>
      <c r="W35" s="66">
        <f>W22*Sludge!$M8*2</f>
        <v>150.80000000000001</v>
      </c>
      <c r="X35" s="66">
        <f>X22*Sludge!$M8*2</f>
        <v>150.80000000000001</v>
      </c>
      <c r="Y35" s="66">
        <f>Y22*Sludge!$M8*2</f>
        <v>150.80000000000001</v>
      </c>
      <c r="Z35" s="66">
        <f>Z22*Sludge!$M8*2</f>
        <v>150.80000000000001</v>
      </c>
      <c r="AA35" s="66">
        <f>AA22*Sludge!$M8*2</f>
        <v>150.80000000000001</v>
      </c>
      <c r="AB35" s="66">
        <f>AB22*Sludge!$M8*2</f>
        <v>150.80000000000001</v>
      </c>
      <c r="AC35" s="66">
        <f>AC22*Sludge!$M8*2</f>
        <v>150.80000000000001</v>
      </c>
      <c r="AD35" s="66">
        <f>AD22*Sludge!$M8*2</f>
        <v>150.80000000000001</v>
      </c>
    </row>
    <row r="36" spans="2:30" x14ac:dyDescent="0.2">
      <c r="B36" s="297" t="s">
        <v>29</v>
      </c>
      <c r="C36" s="297" t="s">
        <v>32</v>
      </c>
      <c r="D36" s="298">
        <f>D23*Sludge!$M9*2</f>
        <v>102</v>
      </c>
      <c r="E36" s="66">
        <f>E23*Sludge!$M9*2</f>
        <v>102</v>
      </c>
      <c r="F36" s="66">
        <f>F23*Sludge!$M9*2</f>
        <v>102</v>
      </c>
      <c r="G36" s="66">
        <f>G23*Sludge!$M9*2</f>
        <v>102</v>
      </c>
      <c r="H36" s="66">
        <f>H23*Sludge!$M9*2</f>
        <v>102</v>
      </c>
      <c r="I36" s="66">
        <f>I23*Sludge!$M9*2</f>
        <v>102</v>
      </c>
      <c r="J36" s="66">
        <f>J23*Sludge!$M9*2</f>
        <v>102</v>
      </c>
      <c r="K36" s="66">
        <f>K23*Sludge!$M9*2</f>
        <v>102</v>
      </c>
      <c r="L36" s="66">
        <f>L23*Sludge!$M9*2</f>
        <v>102</v>
      </c>
      <c r="M36" s="66">
        <f>M23*Sludge!$M9*2</f>
        <v>102</v>
      </c>
      <c r="N36" s="66">
        <f>N23*Sludge!$M9*2</f>
        <v>102</v>
      </c>
      <c r="O36" s="66">
        <f>O23*Sludge!$M9*2</f>
        <v>102</v>
      </c>
      <c r="P36" s="66">
        <f>P23*Sludge!$M9*2</f>
        <v>102</v>
      </c>
      <c r="Q36" s="66">
        <f>Q23*Sludge!$M9*2</f>
        <v>102</v>
      </c>
      <c r="R36" s="66">
        <f>R23*Sludge!$M9*2</f>
        <v>102</v>
      </c>
      <c r="S36" s="66">
        <f>S23*Sludge!$M9*2</f>
        <v>102</v>
      </c>
      <c r="T36" s="66">
        <f>T23*Sludge!$M9*2</f>
        <v>102</v>
      </c>
      <c r="U36" s="66">
        <f>U23*Sludge!$M9*2</f>
        <v>102</v>
      </c>
      <c r="V36" s="66">
        <f>V23*Sludge!$M9*2</f>
        <v>102</v>
      </c>
      <c r="W36" s="66">
        <f>W23*Sludge!$M9*2</f>
        <v>102</v>
      </c>
      <c r="X36" s="66">
        <f>X23*Sludge!$M9*2</f>
        <v>102</v>
      </c>
      <c r="Y36" s="66">
        <f>Y23*Sludge!$M9*2</f>
        <v>102</v>
      </c>
      <c r="Z36" s="66">
        <f>Z23*Sludge!$M9*2</f>
        <v>102</v>
      </c>
      <c r="AA36" s="66">
        <f>AA23*Sludge!$M9*2</f>
        <v>102</v>
      </c>
      <c r="AB36" s="66">
        <f>AB23*Sludge!$M9*2</f>
        <v>102</v>
      </c>
      <c r="AC36" s="66">
        <f>AC23*Sludge!$M9*2</f>
        <v>102</v>
      </c>
      <c r="AD36" s="66">
        <f>AD23*Sludge!$M9*2</f>
        <v>102</v>
      </c>
    </row>
    <row r="37" spans="2:30" x14ac:dyDescent="0.2">
      <c r="B37" s="297" t="s">
        <v>29</v>
      </c>
      <c r="C37" s="297" t="s">
        <v>33</v>
      </c>
      <c r="D37" s="298">
        <f>D24*Sludge!$M10*2</f>
        <v>110</v>
      </c>
      <c r="E37" s="66">
        <f>E24*Sludge!$M10*2</f>
        <v>110</v>
      </c>
      <c r="F37" s="66">
        <f>F24*Sludge!$M10*2</f>
        <v>110</v>
      </c>
      <c r="G37" s="66">
        <f>G24*Sludge!$M10*2</f>
        <v>110</v>
      </c>
      <c r="H37" s="66">
        <f>H24*Sludge!$M10*2</f>
        <v>110</v>
      </c>
      <c r="I37" s="66">
        <f>I24*Sludge!$M10*2</f>
        <v>110</v>
      </c>
      <c r="J37" s="66">
        <f>J24*Sludge!$M10*2</f>
        <v>110</v>
      </c>
      <c r="K37" s="66">
        <f>K24*Sludge!$M10*2</f>
        <v>110</v>
      </c>
      <c r="L37" s="66">
        <f>L24*Sludge!$M10*2</f>
        <v>110</v>
      </c>
      <c r="M37" s="66">
        <f>M24*Sludge!$M10*2</f>
        <v>110</v>
      </c>
      <c r="N37" s="66">
        <f>N24*Sludge!$M10*2</f>
        <v>110</v>
      </c>
      <c r="O37" s="66">
        <f>O24*Sludge!$M10*2</f>
        <v>110</v>
      </c>
      <c r="P37" s="66">
        <f>P24*Sludge!$M10*2</f>
        <v>110</v>
      </c>
      <c r="Q37" s="66">
        <f>Q24*Sludge!$M10*2</f>
        <v>110</v>
      </c>
      <c r="R37" s="66">
        <f>R24*Sludge!$M10*2</f>
        <v>110</v>
      </c>
      <c r="S37" s="66">
        <f>S24*Sludge!$M10*2</f>
        <v>110</v>
      </c>
      <c r="T37" s="66">
        <f>T24*Sludge!$M10*2</f>
        <v>110</v>
      </c>
      <c r="U37" s="66">
        <f>U24*Sludge!$M10*2</f>
        <v>110</v>
      </c>
      <c r="V37" s="66">
        <f>V24*Sludge!$M10*2</f>
        <v>110</v>
      </c>
      <c r="W37" s="66">
        <f>W24*Sludge!$M10*2</f>
        <v>110</v>
      </c>
      <c r="X37" s="66">
        <f>X24*Sludge!$M10*2</f>
        <v>110</v>
      </c>
      <c r="Y37" s="66">
        <f>Y24*Sludge!$M10*2</f>
        <v>110</v>
      </c>
      <c r="Z37" s="66">
        <f>Z24*Sludge!$M10*2</f>
        <v>110</v>
      </c>
      <c r="AA37" s="66">
        <f>AA24*Sludge!$M10*2</f>
        <v>110</v>
      </c>
      <c r="AB37" s="66">
        <f>AB24*Sludge!$M10*2</f>
        <v>110</v>
      </c>
      <c r="AC37" s="66">
        <f>AC24*Sludge!$M10*2</f>
        <v>110</v>
      </c>
      <c r="AD37" s="66">
        <f>AD24*Sludge!$M10*2</f>
        <v>110</v>
      </c>
    </row>
    <row r="38" spans="2:30" x14ac:dyDescent="0.2">
      <c r="B38" s="297" t="s">
        <v>29</v>
      </c>
      <c r="C38" s="297" t="s">
        <v>34</v>
      </c>
      <c r="D38" s="298">
        <f>D25*Sludge!$M11*2</f>
        <v>193.2</v>
      </c>
      <c r="E38" s="66">
        <f>E25*Sludge!$M11*2</f>
        <v>193.2</v>
      </c>
      <c r="F38" s="66">
        <f>F25*Sludge!$M11*2</f>
        <v>193.2</v>
      </c>
      <c r="G38" s="66">
        <f>G25*Sludge!$M11*2</f>
        <v>193.2</v>
      </c>
      <c r="H38" s="66">
        <f>H25*Sludge!$M11*2</f>
        <v>193.2</v>
      </c>
      <c r="I38" s="66">
        <f>I25*Sludge!$M11*2</f>
        <v>193.2</v>
      </c>
      <c r="J38" s="66">
        <f>J25*Sludge!$M11*2</f>
        <v>193.2</v>
      </c>
      <c r="K38" s="66">
        <f>K25*Sludge!$M11*2</f>
        <v>193.2</v>
      </c>
      <c r="L38" s="66">
        <f>L25*Sludge!$M11*2</f>
        <v>193.2</v>
      </c>
      <c r="M38" s="66">
        <f>M25*Sludge!$M11*2</f>
        <v>193.2</v>
      </c>
      <c r="N38" s="66">
        <f>N25*Sludge!$M11*2</f>
        <v>193.2</v>
      </c>
      <c r="O38" s="66">
        <f>O25*Sludge!$M11*2</f>
        <v>193.2</v>
      </c>
      <c r="P38" s="66">
        <f>P25*Sludge!$M11*2</f>
        <v>193.2</v>
      </c>
      <c r="Q38" s="66">
        <f>Q25*Sludge!$M11*2</f>
        <v>193.2</v>
      </c>
      <c r="R38" s="66">
        <f>R25*Sludge!$M11*2</f>
        <v>193.2</v>
      </c>
      <c r="S38" s="66">
        <f>S25*Sludge!$M11*2</f>
        <v>193.2</v>
      </c>
      <c r="T38" s="66">
        <f>T25*Sludge!$M11*2</f>
        <v>193.2</v>
      </c>
      <c r="U38" s="66">
        <f>U25*Sludge!$M11*2</f>
        <v>193.2</v>
      </c>
      <c r="V38" s="66">
        <f>V25*Sludge!$M11*2</f>
        <v>193.2</v>
      </c>
      <c r="W38" s="66">
        <f>W25*Sludge!$M11*2</f>
        <v>193.2</v>
      </c>
      <c r="X38" s="66">
        <f>X25*Sludge!$M11*2</f>
        <v>193.2</v>
      </c>
      <c r="Y38" s="66">
        <f>Y25*Sludge!$M11*2</f>
        <v>193.2</v>
      </c>
      <c r="Z38" s="66">
        <f>Z25*Sludge!$M11*2</f>
        <v>193.2</v>
      </c>
      <c r="AA38" s="66">
        <f>AA25*Sludge!$M11*2</f>
        <v>193.2</v>
      </c>
      <c r="AB38" s="66">
        <f>AB25*Sludge!$M11*2</f>
        <v>193.2</v>
      </c>
      <c r="AC38" s="66">
        <f>AC25*Sludge!$M11*2</f>
        <v>193.2</v>
      </c>
      <c r="AD38" s="66">
        <f>AD25*Sludge!$M11*2</f>
        <v>193.2</v>
      </c>
    </row>
    <row r="39" spans="2:30" x14ac:dyDescent="0.2">
      <c r="B39" s="297" t="s">
        <v>29</v>
      </c>
      <c r="C39" s="297" t="s">
        <v>34</v>
      </c>
      <c r="D39" s="298">
        <f>D26*Sludge!$M12*2</f>
        <v>44.6</v>
      </c>
      <c r="E39" s="66">
        <f>E26*Sludge!$M12*2</f>
        <v>44.6</v>
      </c>
      <c r="F39" s="66">
        <f>F26*Sludge!$M12*2</f>
        <v>44.6</v>
      </c>
      <c r="G39" s="66">
        <f>G26*Sludge!$M12*2</f>
        <v>44.6</v>
      </c>
      <c r="H39" s="66">
        <f>H26*Sludge!$M12*2</f>
        <v>44.6</v>
      </c>
      <c r="I39" s="66">
        <f>I26*Sludge!$M12*2</f>
        <v>44.6</v>
      </c>
      <c r="J39" s="66">
        <f>J26*Sludge!$M12*2</f>
        <v>44.6</v>
      </c>
      <c r="K39" s="66">
        <f>K26*Sludge!$M12*2</f>
        <v>44.6</v>
      </c>
      <c r="L39" s="66">
        <f>L26*Sludge!$M12*2</f>
        <v>44.6</v>
      </c>
      <c r="M39" s="66">
        <f>M26*Sludge!$M12*2</f>
        <v>44.6</v>
      </c>
      <c r="N39" s="66">
        <f>N26*Sludge!$M12*2</f>
        <v>44.6</v>
      </c>
      <c r="O39" s="66">
        <f>O26*Sludge!$M12*2</f>
        <v>44.6</v>
      </c>
      <c r="P39" s="66">
        <f>P26*Sludge!$M12*2</f>
        <v>44.6</v>
      </c>
      <c r="Q39" s="66">
        <f>Q26*Sludge!$M12*2</f>
        <v>44.6</v>
      </c>
      <c r="R39" s="66">
        <f>R26*Sludge!$M12*2</f>
        <v>44.6</v>
      </c>
      <c r="S39" s="66">
        <f>S26*Sludge!$M12*2</f>
        <v>44.6</v>
      </c>
      <c r="T39" s="66">
        <f>T26*Sludge!$M12*2</f>
        <v>44.6</v>
      </c>
      <c r="U39" s="66">
        <f>U26*Sludge!$M12*2</f>
        <v>44.6</v>
      </c>
      <c r="V39" s="66">
        <f>V26*Sludge!$M12*2</f>
        <v>44.6</v>
      </c>
      <c r="W39" s="66">
        <f>W26*Sludge!$M12*2</f>
        <v>44.6</v>
      </c>
      <c r="X39" s="66">
        <f>X26*Sludge!$M12*2</f>
        <v>44.6</v>
      </c>
      <c r="Y39" s="66">
        <f>Y26*Sludge!$M12*2</f>
        <v>44.6</v>
      </c>
      <c r="Z39" s="66">
        <f>Z26*Sludge!$M12*2</f>
        <v>44.6</v>
      </c>
      <c r="AA39" s="66">
        <f>AA26*Sludge!$M12*2</f>
        <v>44.6</v>
      </c>
      <c r="AB39" s="66">
        <f>AB26*Sludge!$M12*2</f>
        <v>44.6</v>
      </c>
      <c r="AC39" s="66">
        <f>AC26*Sludge!$M12*2</f>
        <v>89.2</v>
      </c>
      <c r="AD39" s="66">
        <f>AD26*Sludge!$M12*2</f>
        <v>89.2</v>
      </c>
    </row>
    <row r="40" spans="2:30" x14ac:dyDescent="0.2">
      <c r="B40" s="297" t="s">
        <v>29</v>
      </c>
      <c r="C40" s="297" t="s">
        <v>34</v>
      </c>
      <c r="D40" s="298">
        <f>D27*Sludge!$M13*2</f>
        <v>48.6</v>
      </c>
      <c r="E40" s="66">
        <f>E27*Sludge!$M13*2</f>
        <v>48.6</v>
      </c>
      <c r="F40" s="66">
        <f>F27*Sludge!$M13*2</f>
        <v>48.6</v>
      </c>
      <c r="G40" s="66">
        <f>G27*Sludge!$M13*2</f>
        <v>48.6</v>
      </c>
      <c r="H40" s="66">
        <f>H27*Sludge!$M13*2</f>
        <v>48.6</v>
      </c>
      <c r="I40" s="66">
        <f>I27*Sludge!$M13*2</f>
        <v>48.6</v>
      </c>
      <c r="J40" s="66">
        <f>J27*Sludge!$M13*2</f>
        <v>48.6</v>
      </c>
      <c r="K40" s="66">
        <f>K27*Sludge!$M13*2</f>
        <v>48.6</v>
      </c>
      <c r="L40" s="66">
        <f>L27*Sludge!$M13*2</f>
        <v>48.6</v>
      </c>
      <c r="M40" s="66">
        <f>M27*Sludge!$M13*2</f>
        <v>48.6</v>
      </c>
      <c r="N40" s="66">
        <f>N27*Sludge!$M13*2</f>
        <v>48.6</v>
      </c>
      <c r="O40" s="66">
        <f>O27*Sludge!$M13*2</f>
        <v>48.6</v>
      </c>
      <c r="P40" s="66">
        <f>P27*Sludge!$M13*2</f>
        <v>48.6</v>
      </c>
      <c r="Q40" s="66">
        <f>Q27*Sludge!$M13*2</f>
        <v>48.6</v>
      </c>
      <c r="R40" s="66">
        <f>R27*Sludge!$M13*2</f>
        <v>48.6</v>
      </c>
      <c r="S40" s="66">
        <f>S27*Sludge!$M13*2</f>
        <v>48.6</v>
      </c>
      <c r="T40" s="66">
        <f>T27*Sludge!$M13*2</f>
        <v>48.6</v>
      </c>
      <c r="U40" s="66">
        <f>U27*Sludge!$M13*2</f>
        <v>48.6</v>
      </c>
      <c r="V40" s="66">
        <f>V27*Sludge!$M13*2</f>
        <v>48.6</v>
      </c>
      <c r="W40" s="66">
        <f>W27*Sludge!$M13*2</f>
        <v>48.6</v>
      </c>
      <c r="X40" s="66">
        <f>X27*Sludge!$M13*2</f>
        <v>48.6</v>
      </c>
      <c r="Y40" s="66">
        <f>Y27*Sludge!$M13*2</f>
        <v>48.6</v>
      </c>
      <c r="Z40" s="66">
        <f>Z27*Sludge!$M13*2</f>
        <v>48.6</v>
      </c>
      <c r="AA40" s="66">
        <f>AA27*Sludge!$M13*2</f>
        <v>48.6</v>
      </c>
      <c r="AB40" s="66">
        <f>AB27*Sludge!$M13*2</f>
        <v>48.6</v>
      </c>
      <c r="AC40" s="66">
        <f>AC27*Sludge!$M13*2</f>
        <v>48.6</v>
      </c>
      <c r="AD40" s="66">
        <f>AD27*Sludge!$M13*2</f>
        <v>48.6</v>
      </c>
    </row>
    <row r="41" spans="2:30" ht="17" thickBot="1" x14ac:dyDescent="0.25">
      <c r="D41"/>
    </row>
    <row r="42" spans="2:30" ht="17" thickBot="1" x14ac:dyDescent="0.25">
      <c r="B42" s="289" t="s">
        <v>1</v>
      </c>
      <c r="C42" s="92" t="s">
        <v>2</v>
      </c>
      <c r="D42" s="346" t="s">
        <v>111</v>
      </c>
      <c r="E42" s="347"/>
      <c r="F42" s="348"/>
    </row>
    <row r="43" spans="2:30" x14ac:dyDescent="0.2">
      <c r="B43" s="299" t="s">
        <v>14</v>
      </c>
      <c r="C43" s="299" t="s">
        <v>15</v>
      </c>
      <c r="D43" s="300">
        <f>D17*Sludge!$N3*2</f>
        <v>301</v>
      </c>
      <c r="E43" s="36">
        <f>E17*Sludge!$N3*2</f>
        <v>301</v>
      </c>
      <c r="F43" s="36">
        <f>F17*Sludge!$N3*2</f>
        <v>301</v>
      </c>
      <c r="G43" s="36">
        <f>G17*Sludge!$N3*2</f>
        <v>344</v>
      </c>
      <c r="H43" s="36">
        <f>H17*Sludge!$N3*2</f>
        <v>344</v>
      </c>
      <c r="I43" s="36">
        <f>I17*Sludge!$N3*2</f>
        <v>344</v>
      </c>
      <c r="J43" s="36">
        <f>J17*Sludge!$N3*2</f>
        <v>344</v>
      </c>
      <c r="K43" s="36">
        <f>K17*Sludge!$N3*2</f>
        <v>344</v>
      </c>
      <c r="L43" s="36">
        <f>L17*Sludge!$N3*2</f>
        <v>344</v>
      </c>
      <c r="M43" s="36">
        <f>M17*Sludge!$N3*2</f>
        <v>344</v>
      </c>
      <c r="N43" s="36">
        <f>N17*Sludge!$N3*2</f>
        <v>344</v>
      </c>
      <c r="O43" s="36">
        <f>O17*Sludge!$N3*2</f>
        <v>344</v>
      </c>
      <c r="P43" s="36">
        <f>P17*Sludge!$N3*2</f>
        <v>344</v>
      </c>
      <c r="Q43" s="36">
        <f>Q17*Sludge!$N3*2</f>
        <v>387</v>
      </c>
      <c r="R43" s="36">
        <f>R17*Sludge!$N3*2</f>
        <v>387</v>
      </c>
      <c r="S43" s="36">
        <f>S17*Sludge!$N3*2</f>
        <v>387</v>
      </c>
      <c r="T43" s="36">
        <f>T17*Sludge!$N3*2</f>
        <v>387</v>
      </c>
      <c r="U43" s="36">
        <f>U17*Sludge!$N3*2</f>
        <v>387</v>
      </c>
      <c r="V43" s="36">
        <f>V17*Sludge!$N3*2</f>
        <v>387</v>
      </c>
      <c r="W43" s="36">
        <f>W17*Sludge!$N3*2</f>
        <v>387</v>
      </c>
      <c r="X43" s="36">
        <f>X17*Sludge!$N3*2</f>
        <v>387</v>
      </c>
      <c r="Y43" s="36">
        <f>Y17*Sludge!$N3*2</f>
        <v>387</v>
      </c>
      <c r="Z43" s="36">
        <f>Z17*Sludge!$N3*2</f>
        <v>387</v>
      </c>
      <c r="AA43" s="36">
        <f>AA17*Sludge!$N3*2</f>
        <v>387</v>
      </c>
      <c r="AB43" s="36">
        <f>AB17*Sludge!$N3*2</f>
        <v>387</v>
      </c>
      <c r="AC43" s="36">
        <f>AC17*Sludge!$N3*2</f>
        <v>387</v>
      </c>
      <c r="AD43" s="36">
        <f>AD17*Sludge!$N3*2</f>
        <v>387</v>
      </c>
    </row>
    <row r="44" spans="2:30" x14ac:dyDescent="0.2">
      <c r="B44" s="299" t="s">
        <v>14</v>
      </c>
      <c r="C44" s="299" t="s">
        <v>18</v>
      </c>
      <c r="D44" s="300">
        <f>D18*Sludge!$N4*2</f>
        <v>263</v>
      </c>
      <c r="E44" s="36">
        <f>E18*Sludge!$N4*2</f>
        <v>315.60000000000002</v>
      </c>
      <c r="F44" s="36">
        <f>F18*Sludge!$N4*2</f>
        <v>315.60000000000002</v>
      </c>
      <c r="G44" s="36">
        <f>G18*Sludge!$N4*2</f>
        <v>315.60000000000002</v>
      </c>
      <c r="H44" s="36">
        <f>H18*Sludge!$N4*2</f>
        <v>315.60000000000002</v>
      </c>
      <c r="I44" s="36">
        <f>I18*Sludge!$N4*2</f>
        <v>315.60000000000002</v>
      </c>
      <c r="J44" s="36">
        <f>J18*Sludge!$N4*2</f>
        <v>315.60000000000002</v>
      </c>
      <c r="K44" s="36">
        <f>K18*Sludge!$N4*2</f>
        <v>315.60000000000002</v>
      </c>
      <c r="L44" s="36">
        <f>L18*Sludge!$N4*2</f>
        <v>315.60000000000002</v>
      </c>
      <c r="M44" s="36">
        <f>M18*Sludge!$N4*2</f>
        <v>315.60000000000002</v>
      </c>
      <c r="N44" s="36">
        <f>N18*Sludge!$N4*2</f>
        <v>315.60000000000002</v>
      </c>
      <c r="O44" s="36">
        <f>O18*Sludge!$N4*2</f>
        <v>368.2</v>
      </c>
      <c r="P44" s="36">
        <f>P18*Sludge!$N4*2</f>
        <v>368.2</v>
      </c>
      <c r="Q44" s="36">
        <f>Q18*Sludge!$N4*2</f>
        <v>368.2</v>
      </c>
      <c r="R44" s="36">
        <f>R18*Sludge!$N4*2</f>
        <v>368.2</v>
      </c>
      <c r="S44" s="36">
        <f>S18*Sludge!$N4*2</f>
        <v>368.2</v>
      </c>
      <c r="T44" s="36">
        <f>T18*Sludge!$N4*2</f>
        <v>368.2</v>
      </c>
      <c r="U44" s="36">
        <f>U18*Sludge!$N4*2</f>
        <v>368.2</v>
      </c>
      <c r="V44" s="36">
        <f>V18*Sludge!$N4*2</f>
        <v>368.2</v>
      </c>
      <c r="W44" s="36">
        <f>W18*Sludge!$N4*2</f>
        <v>368.2</v>
      </c>
      <c r="X44" s="36">
        <f>X18*Sludge!$N4*2</f>
        <v>368.2</v>
      </c>
      <c r="Y44" s="36">
        <f>Y18*Sludge!$N4*2</f>
        <v>368.2</v>
      </c>
      <c r="Z44" s="36">
        <f>Z18*Sludge!$N4*2</f>
        <v>368.2</v>
      </c>
      <c r="AA44" s="36">
        <f>AA18*Sludge!$N4*2</f>
        <v>368.2</v>
      </c>
      <c r="AB44" s="36">
        <f>AB18*Sludge!$N4*2</f>
        <v>368.2</v>
      </c>
      <c r="AC44" s="36">
        <f>AC18*Sludge!$N4*2</f>
        <v>368.2</v>
      </c>
      <c r="AD44" s="36">
        <f>AD18*Sludge!$N4*2</f>
        <v>368.2</v>
      </c>
    </row>
    <row r="45" spans="2:30" x14ac:dyDescent="0.2">
      <c r="B45" s="299" t="s">
        <v>14</v>
      </c>
      <c r="C45" s="299" t="s">
        <v>20</v>
      </c>
      <c r="D45" s="300">
        <f>D19*Sludge!$N5*2</f>
        <v>65.2</v>
      </c>
      <c r="E45" s="36">
        <f>E19*Sludge!$N5*2</f>
        <v>65.2</v>
      </c>
      <c r="F45" s="36">
        <f>F19*Sludge!$N5*2</f>
        <v>65.2</v>
      </c>
      <c r="G45" s="36">
        <f>G19*Sludge!$N5*2</f>
        <v>65.2</v>
      </c>
      <c r="H45" s="36">
        <f>H19*Sludge!$N5*2</f>
        <v>65.2</v>
      </c>
      <c r="I45" s="36">
        <f>I19*Sludge!$N5*2</f>
        <v>65.2</v>
      </c>
      <c r="J45" s="36">
        <f>J19*Sludge!$N5*2</f>
        <v>65.2</v>
      </c>
      <c r="K45" s="36">
        <f>K19*Sludge!$N5*2</f>
        <v>65.2</v>
      </c>
      <c r="L45" s="36">
        <f>L19*Sludge!$N5*2</f>
        <v>65.2</v>
      </c>
      <c r="M45" s="36">
        <f>M19*Sludge!$N5*2</f>
        <v>65.2</v>
      </c>
      <c r="N45" s="36">
        <f>N19*Sludge!$N5*2</f>
        <v>65.2</v>
      </c>
      <c r="O45" s="36">
        <f>O19*Sludge!$N5*2</f>
        <v>65.2</v>
      </c>
      <c r="P45" s="36">
        <f>P19*Sludge!$N5*2</f>
        <v>65.2</v>
      </c>
      <c r="Q45" s="36">
        <f>Q19*Sludge!$N5*2</f>
        <v>65.2</v>
      </c>
      <c r="R45" s="36">
        <f>R19*Sludge!$N5*2</f>
        <v>65.2</v>
      </c>
      <c r="S45" s="36">
        <f>S19*Sludge!$N5*2</f>
        <v>65.2</v>
      </c>
      <c r="T45" s="36">
        <f>T19*Sludge!$N5*2</f>
        <v>65.2</v>
      </c>
      <c r="U45" s="36">
        <f>U19*Sludge!$N5*2</f>
        <v>65.2</v>
      </c>
      <c r="V45" s="36">
        <f>V19*Sludge!$N5*2</f>
        <v>65.2</v>
      </c>
      <c r="W45" s="36">
        <f>W19*Sludge!$N5*2</f>
        <v>65.2</v>
      </c>
      <c r="X45" s="36">
        <f>X19*Sludge!$N5*2</f>
        <v>65.2</v>
      </c>
      <c r="Y45" s="36">
        <f>Y19*Sludge!$N5*2</f>
        <v>65.2</v>
      </c>
      <c r="Z45" s="36">
        <f>Z19*Sludge!$N5*2</f>
        <v>65.2</v>
      </c>
      <c r="AA45" s="36">
        <f>AA19*Sludge!$N5*2</f>
        <v>65.2</v>
      </c>
      <c r="AB45" s="36">
        <f>AB19*Sludge!$N5*2</f>
        <v>65.2</v>
      </c>
      <c r="AC45" s="36">
        <f>AC19*Sludge!$N5*2</f>
        <v>65.2</v>
      </c>
      <c r="AD45" s="36">
        <f>AD19*Sludge!$N5*2</f>
        <v>65.2</v>
      </c>
    </row>
    <row r="46" spans="2:30" x14ac:dyDescent="0.2">
      <c r="B46" s="299" t="s">
        <v>27</v>
      </c>
      <c r="C46" s="299" t="s">
        <v>28</v>
      </c>
      <c r="D46" s="300">
        <f>D21*Sludge!$N7*2</f>
        <v>288</v>
      </c>
      <c r="E46" s="36">
        <f>E21*Sludge!$N7*2</f>
        <v>288</v>
      </c>
      <c r="F46" s="36">
        <f>F21*Sludge!$N7*2</f>
        <v>288</v>
      </c>
      <c r="G46" s="36">
        <f>G21*Sludge!$N7*2</f>
        <v>288</v>
      </c>
      <c r="H46" s="36">
        <f>H21*Sludge!$N7*2</f>
        <v>288</v>
      </c>
      <c r="I46" s="36">
        <f>I21*Sludge!$N7*2</f>
        <v>345.6</v>
      </c>
      <c r="J46" s="36">
        <f>J21*Sludge!$N7*2</f>
        <v>345.6</v>
      </c>
      <c r="K46" s="36">
        <f>K21*Sludge!$N7*2</f>
        <v>345.6</v>
      </c>
      <c r="L46" s="36">
        <f>L21*Sludge!$N7*2</f>
        <v>345.6</v>
      </c>
      <c r="M46" s="36">
        <f>M21*Sludge!$N7*2</f>
        <v>345.6</v>
      </c>
      <c r="N46" s="36">
        <f>N21*Sludge!$N7*2</f>
        <v>345.6</v>
      </c>
      <c r="O46" s="36">
        <f>O21*Sludge!$N7*2</f>
        <v>345.6</v>
      </c>
      <c r="P46" s="36">
        <f>P21*Sludge!$N7*2</f>
        <v>345.6</v>
      </c>
      <c r="Q46" s="36">
        <f>Q21*Sludge!$N7*2</f>
        <v>345.6</v>
      </c>
      <c r="R46" s="36">
        <f>R21*Sludge!$N7*2</f>
        <v>345.6</v>
      </c>
      <c r="S46" s="36">
        <f>S21*Sludge!$N7*2</f>
        <v>345.6</v>
      </c>
      <c r="T46" s="36">
        <f>T21*Sludge!$N7*2</f>
        <v>345.6</v>
      </c>
      <c r="U46" s="36">
        <f>U21*Sludge!$N7*2</f>
        <v>345.6</v>
      </c>
      <c r="V46" s="36">
        <f>V21*Sludge!$N7*2</f>
        <v>345.6</v>
      </c>
      <c r="W46" s="36">
        <f>W21*Sludge!$N7*2</f>
        <v>345.6</v>
      </c>
      <c r="X46" s="36">
        <f>X21*Sludge!$N7*2</f>
        <v>345.6</v>
      </c>
      <c r="Y46" s="36">
        <f>Y21*Sludge!$N7*2</f>
        <v>345.6</v>
      </c>
      <c r="Z46" s="36">
        <f>Z21*Sludge!$N7*2</f>
        <v>345.6</v>
      </c>
      <c r="AA46" s="36">
        <f>AA21*Sludge!$N7*2</f>
        <v>345.6</v>
      </c>
      <c r="AB46" s="36">
        <f>AB21*Sludge!$N7*2</f>
        <v>345.6</v>
      </c>
      <c r="AC46" s="36">
        <f>AC21*Sludge!$N7*2</f>
        <v>345.6</v>
      </c>
      <c r="AD46" s="36">
        <f>AD21*Sludge!$N7*2</f>
        <v>345.6</v>
      </c>
    </row>
    <row r="47" spans="2:30" x14ac:dyDescent="0.2">
      <c r="B47" s="299" t="s">
        <v>29</v>
      </c>
      <c r="C47" s="299" t="s">
        <v>30</v>
      </c>
      <c r="D47" s="300">
        <f>D22*Sludge!$N8*2</f>
        <v>144</v>
      </c>
      <c r="E47" s="36">
        <f>E22*Sludge!$N8*2</f>
        <v>144</v>
      </c>
      <c r="F47" s="36">
        <f>F22*Sludge!$N8*2</f>
        <v>144</v>
      </c>
      <c r="G47" s="36">
        <f>G22*Sludge!$N8*2</f>
        <v>144</v>
      </c>
      <c r="H47" s="36">
        <f>H22*Sludge!$N8*2</f>
        <v>144</v>
      </c>
      <c r="I47" s="36">
        <f>I22*Sludge!$N8*2</f>
        <v>144</v>
      </c>
      <c r="J47" s="36">
        <f>J22*Sludge!$N8*2</f>
        <v>144</v>
      </c>
      <c r="K47" s="36">
        <f>K22*Sludge!$N8*2</f>
        <v>144</v>
      </c>
      <c r="L47" s="36">
        <f>L22*Sludge!$N8*2</f>
        <v>144</v>
      </c>
      <c r="M47" s="36">
        <f>M22*Sludge!$N8*2</f>
        <v>144</v>
      </c>
      <c r="N47" s="36">
        <f>N22*Sludge!$N8*2</f>
        <v>144</v>
      </c>
      <c r="O47" s="36">
        <f>O22*Sludge!$N8*2</f>
        <v>144</v>
      </c>
      <c r="P47" s="36">
        <f>P22*Sludge!$N8*2</f>
        <v>144</v>
      </c>
      <c r="Q47" s="36">
        <f>Q22*Sludge!$N8*2</f>
        <v>144</v>
      </c>
      <c r="R47" s="36">
        <f>R22*Sludge!$N8*2</f>
        <v>144</v>
      </c>
      <c r="S47" s="36">
        <f>S22*Sludge!$N8*2</f>
        <v>144</v>
      </c>
      <c r="T47" s="36">
        <f>T22*Sludge!$N8*2</f>
        <v>144</v>
      </c>
      <c r="U47" s="36">
        <f>U22*Sludge!$N8*2</f>
        <v>144</v>
      </c>
      <c r="V47" s="36">
        <f>V22*Sludge!$N8*2</f>
        <v>144</v>
      </c>
      <c r="W47" s="36">
        <f>W22*Sludge!$N8*2</f>
        <v>144</v>
      </c>
      <c r="X47" s="36">
        <f>X22*Sludge!$N8*2</f>
        <v>144</v>
      </c>
      <c r="Y47" s="36">
        <f>Y22*Sludge!$N8*2</f>
        <v>144</v>
      </c>
      <c r="Z47" s="36">
        <f>Z22*Sludge!$N8*2</f>
        <v>144</v>
      </c>
      <c r="AA47" s="36">
        <f>AA22*Sludge!$N8*2</f>
        <v>144</v>
      </c>
      <c r="AB47" s="36">
        <f>AB22*Sludge!$N8*2</f>
        <v>144</v>
      </c>
      <c r="AC47" s="36">
        <f>AC22*Sludge!$N8*2</f>
        <v>144</v>
      </c>
      <c r="AD47" s="36">
        <f>AD22*Sludge!$N8*2</f>
        <v>144</v>
      </c>
    </row>
    <row r="48" spans="2:30" x14ac:dyDescent="0.2">
      <c r="B48" s="299" t="s">
        <v>29</v>
      </c>
      <c r="C48" s="299" t="s">
        <v>31</v>
      </c>
      <c r="D48" s="300">
        <f>D23*Sludge!$N9*2</f>
        <v>98.2</v>
      </c>
      <c r="E48" s="36">
        <f>E23*Sludge!$N9*2</f>
        <v>98.2</v>
      </c>
      <c r="F48" s="36">
        <f>F23*Sludge!$N9*2</f>
        <v>98.2</v>
      </c>
      <c r="G48" s="36">
        <f>G23*Sludge!$N9*2</f>
        <v>98.2</v>
      </c>
      <c r="H48" s="36">
        <f>H23*Sludge!$N9*2</f>
        <v>98.2</v>
      </c>
      <c r="I48" s="36">
        <f>I23*Sludge!$N9*2</f>
        <v>98.2</v>
      </c>
      <c r="J48" s="36">
        <f>J23*Sludge!$N9*2</f>
        <v>98.2</v>
      </c>
      <c r="K48" s="36">
        <f>K23*Sludge!$N9*2</f>
        <v>98.2</v>
      </c>
      <c r="L48" s="36">
        <f>L23*Sludge!$N9*2</f>
        <v>98.2</v>
      </c>
      <c r="M48" s="36">
        <f>M23*Sludge!$N9*2</f>
        <v>98.2</v>
      </c>
      <c r="N48" s="36">
        <f>N23*Sludge!$N9*2</f>
        <v>98.2</v>
      </c>
      <c r="O48" s="36">
        <f>O23*Sludge!$N9*2</f>
        <v>98.2</v>
      </c>
      <c r="P48" s="36">
        <f>P23*Sludge!$N9*2</f>
        <v>98.2</v>
      </c>
      <c r="Q48" s="36">
        <f>Q23*Sludge!$N9*2</f>
        <v>98.2</v>
      </c>
      <c r="R48" s="36">
        <f>R23*Sludge!$N9*2</f>
        <v>98.2</v>
      </c>
      <c r="S48" s="36">
        <f>S23*Sludge!$N9*2</f>
        <v>98.2</v>
      </c>
      <c r="T48" s="36">
        <f>T23*Sludge!$N9*2</f>
        <v>98.2</v>
      </c>
      <c r="U48" s="36">
        <f>U23*Sludge!$N9*2</f>
        <v>98.2</v>
      </c>
      <c r="V48" s="36">
        <f>V23*Sludge!$N9*2</f>
        <v>98.2</v>
      </c>
      <c r="W48" s="36">
        <f>W23*Sludge!$N9*2</f>
        <v>98.2</v>
      </c>
      <c r="X48" s="36">
        <f>X23*Sludge!$N9*2</f>
        <v>98.2</v>
      </c>
      <c r="Y48" s="36">
        <f>Y23*Sludge!$N9*2</f>
        <v>98.2</v>
      </c>
      <c r="Z48" s="36">
        <f>Z23*Sludge!$N9*2</f>
        <v>98.2</v>
      </c>
      <c r="AA48" s="36">
        <f>AA23*Sludge!$N9*2</f>
        <v>98.2</v>
      </c>
      <c r="AB48" s="36">
        <f>AB23*Sludge!$N9*2</f>
        <v>98.2</v>
      </c>
      <c r="AC48" s="36">
        <f>AC23*Sludge!$N9*2</f>
        <v>98.2</v>
      </c>
      <c r="AD48" s="36">
        <f>AD23*Sludge!$N9*2</f>
        <v>98.2</v>
      </c>
    </row>
    <row r="49" spans="2:30" x14ac:dyDescent="0.2">
      <c r="B49" s="299" t="s">
        <v>29</v>
      </c>
      <c r="C49" s="299" t="s">
        <v>32</v>
      </c>
      <c r="D49" s="300">
        <f>D24*Sludge!$N10*2</f>
        <v>42.2</v>
      </c>
      <c r="E49" s="36">
        <f>E24*Sludge!$N10*2</f>
        <v>42.2</v>
      </c>
      <c r="F49" s="36">
        <f>F24*Sludge!$N10*2</f>
        <v>42.2</v>
      </c>
      <c r="G49" s="36">
        <f>G24*Sludge!$N10*2</f>
        <v>42.2</v>
      </c>
      <c r="H49" s="36">
        <f>H24*Sludge!$N10*2</f>
        <v>42.2</v>
      </c>
      <c r="I49" s="36">
        <f>I24*Sludge!$N10*2</f>
        <v>42.2</v>
      </c>
      <c r="J49" s="36">
        <f>J24*Sludge!$N10*2</f>
        <v>42.2</v>
      </c>
      <c r="K49" s="36">
        <f>K24*Sludge!$N10*2</f>
        <v>42.2</v>
      </c>
      <c r="L49" s="36">
        <f>L24*Sludge!$N10*2</f>
        <v>42.2</v>
      </c>
      <c r="M49" s="36">
        <f>M24*Sludge!$N10*2</f>
        <v>42.2</v>
      </c>
      <c r="N49" s="36">
        <f>N24*Sludge!$N10*2</f>
        <v>42.2</v>
      </c>
      <c r="O49" s="36">
        <f>O24*Sludge!$N10*2</f>
        <v>42.2</v>
      </c>
      <c r="P49" s="36">
        <f>P24*Sludge!$N10*2</f>
        <v>42.2</v>
      </c>
      <c r="Q49" s="36">
        <f>Q24*Sludge!$N10*2</f>
        <v>42.2</v>
      </c>
      <c r="R49" s="36">
        <f>R24*Sludge!$N10*2</f>
        <v>42.2</v>
      </c>
      <c r="S49" s="36">
        <f>S24*Sludge!$N10*2</f>
        <v>42.2</v>
      </c>
      <c r="T49" s="36">
        <f>T24*Sludge!$N10*2</f>
        <v>42.2</v>
      </c>
      <c r="U49" s="36">
        <f>U24*Sludge!$N10*2</f>
        <v>42.2</v>
      </c>
      <c r="V49" s="36">
        <f>V24*Sludge!$N10*2</f>
        <v>42.2</v>
      </c>
      <c r="W49" s="36">
        <f>W24*Sludge!$N10*2</f>
        <v>42.2</v>
      </c>
      <c r="X49" s="36">
        <f>X24*Sludge!$N10*2</f>
        <v>42.2</v>
      </c>
      <c r="Y49" s="36">
        <f>Y24*Sludge!$N10*2</f>
        <v>42.2</v>
      </c>
      <c r="Z49" s="36">
        <f>Z24*Sludge!$N10*2</f>
        <v>42.2</v>
      </c>
      <c r="AA49" s="36">
        <f>AA24*Sludge!$N10*2</f>
        <v>42.2</v>
      </c>
      <c r="AB49" s="36">
        <f>AB24*Sludge!$N10*2</f>
        <v>42.2</v>
      </c>
      <c r="AC49" s="36">
        <f>AC24*Sludge!$N10*2</f>
        <v>42.2</v>
      </c>
      <c r="AD49" s="36">
        <f>AD24*Sludge!$N10*2</f>
        <v>42.2</v>
      </c>
    </row>
    <row r="50" spans="2:30" x14ac:dyDescent="0.2">
      <c r="B50" s="299" t="s">
        <v>29</v>
      </c>
      <c r="C50" s="299" t="s">
        <v>33</v>
      </c>
      <c r="D50" s="300">
        <f>D25*Sludge!$N11*2</f>
        <v>121.6</v>
      </c>
      <c r="E50" s="36">
        <f>E25*Sludge!$N11*2</f>
        <v>121.6</v>
      </c>
      <c r="F50" s="36">
        <f>F25*Sludge!$N11*2</f>
        <v>121.6</v>
      </c>
      <c r="G50" s="36">
        <f>G25*Sludge!$N11*2</f>
        <v>121.6</v>
      </c>
      <c r="H50" s="36">
        <f>H25*Sludge!$N11*2</f>
        <v>121.6</v>
      </c>
      <c r="I50" s="36">
        <f>I25*Sludge!$N11*2</f>
        <v>121.6</v>
      </c>
      <c r="J50" s="36">
        <f>J25*Sludge!$N11*2</f>
        <v>121.6</v>
      </c>
      <c r="K50" s="36">
        <f>K25*Sludge!$N11*2</f>
        <v>121.6</v>
      </c>
      <c r="L50" s="36">
        <f>L25*Sludge!$N11*2</f>
        <v>121.6</v>
      </c>
      <c r="M50" s="36">
        <f>M25*Sludge!$N11*2</f>
        <v>121.6</v>
      </c>
      <c r="N50" s="36">
        <f>N25*Sludge!$N11*2</f>
        <v>121.6</v>
      </c>
      <c r="O50" s="36">
        <f>O25*Sludge!$N11*2</f>
        <v>121.6</v>
      </c>
      <c r="P50" s="36">
        <f>P25*Sludge!$N11*2</f>
        <v>121.6</v>
      </c>
      <c r="Q50" s="36">
        <f>Q25*Sludge!$N11*2</f>
        <v>121.6</v>
      </c>
      <c r="R50" s="36">
        <f>R25*Sludge!$N11*2</f>
        <v>121.6</v>
      </c>
      <c r="S50" s="36">
        <f>S25*Sludge!$N11*2</f>
        <v>121.6</v>
      </c>
      <c r="T50" s="36">
        <f>T25*Sludge!$N11*2</f>
        <v>121.6</v>
      </c>
      <c r="U50" s="36">
        <f>U25*Sludge!$N11*2</f>
        <v>121.6</v>
      </c>
      <c r="V50" s="36">
        <f>V25*Sludge!$N11*2</f>
        <v>121.6</v>
      </c>
      <c r="W50" s="36">
        <f>W25*Sludge!$N11*2</f>
        <v>121.6</v>
      </c>
      <c r="X50" s="36">
        <f>X25*Sludge!$N11*2</f>
        <v>121.6</v>
      </c>
      <c r="Y50" s="36">
        <f>Y25*Sludge!$N11*2</f>
        <v>121.6</v>
      </c>
      <c r="Z50" s="36">
        <f>Z25*Sludge!$N11*2</f>
        <v>121.6</v>
      </c>
      <c r="AA50" s="36">
        <f>AA25*Sludge!$N11*2</f>
        <v>121.6</v>
      </c>
      <c r="AB50" s="36">
        <f>AB25*Sludge!$N11*2</f>
        <v>121.6</v>
      </c>
      <c r="AC50" s="36">
        <f>AC25*Sludge!$N11*2</f>
        <v>121.6</v>
      </c>
      <c r="AD50" s="36">
        <f>AD25*Sludge!$N11*2</f>
        <v>121.6</v>
      </c>
    </row>
    <row r="51" spans="2:30" x14ac:dyDescent="0.2">
      <c r="B51" s="299" t="s">
        <v>29</v>
      </c>
      <c r="C51" s="299" t="s">
        <v>33</v>
      </c>
      <c r="D51" s="300">
        <f>D26*Sludge!$N12*2</f>
        <v>74</v>
      </c>
      <c r="E51" s="36">
        <f>E26*Sludge!$N12*2</f>
        <v>74</v>
      </c>
      <c r="F51" s="36">
        <f>F26*Sludge!$N12*2</f>
        <v>74</v>
      </c>
      <c r="G51" s="36">
        <f>G26*Sludge!$N12*2</f>
        <v>74</v>
      </c>
      <c r="H51" s="36">
        <f>H26*Sludge!$N12*2</f>
        <v>74</v>
      </c>
      <c r="I51" s="36">
        <f>I26*Sludge!$N12*2</f>
        <v>74</v>
      </c>
      <c r="J51" s="36">
        <f>J26*Sludge!$N12*2</f>
        <v>74</v>
      </c>
      <c r="K51" s="36">
        <f>K26*Sludge!$N12*2</f>
        <v>74</v>
      </c>
      <c r="L51" s="36">
        <f>L26*Sludge!$N12*2</f>
        <v>74</v>
      </c>
      <c r="M51" s="36">
        <f>M26*Sludge!$N12*2</f>
        <v>74</v>
      </c>
      <c r="N51" s="36">
        <f>N26*Sludge!$N12*2</f>
        <v>74</v>
      </c>
      <c r="O51" s="36">
        <f>O26*Sludge!$N12*2</f>
        <v>74</v>
      </c>
      <c r="P51" s="36">
        <f>P26*Sludge!$N12*2</f>
        <v>74</v>
      </c>
      <c r="Q51" s="36">
        <f>Q26*Sludge!$N12*2</f>
        <v>74</v>
      </c>
      <c r="R51" s="36">
        <f>R26*Sludge!$N12*2</f>
        <v>74</v>
      </c>
      <c r="S51" s="36">
        <f>S26*Sludge!$N12*2</f>
        <v>74</v>
      </c>
      <c r="T51" s="36">
        <f>T26*Sludge!$N12*2</f>
        <v>74</v>
      </c>
      <c r="U51" s="36">
        <f>U26*Sludge!$N12*2</f>
        <v>74</v>
      </c>
      <c r="V51" s="36">
        <f>V26*Sludge!$N12*2</f>
        <v>74</v>
      </c>
      <c r="W51" s="36">
        <f>W26*Sludge!$N12*2</f>
        <v>74</v>
      </c>
      <c r="X51" s="36">
        <f>X26*Sludge!$N12*2</f>
        <v>74</v>
      </c>
      <c r="Y51" s="36">
        <f>Y26*Sludge!$N12*2</f>
        <v>74</v>
      </c>
      <c r="Z51" s="36">
        <f>Z26*Sludge!$N12*2</f>
        <v>74</v>
      </c>
      <c r="AA51" s="36">
        <f>AA26*Sludge!$N12*2</f>
        <v>74</v>
      </c>
      <c r="AB51" s="36">
        <f>AB26*Sludge!$N12*2</f>
        <v>74</v>
      </c>
      <c r="AC51" s="36">
        <f>AC26*Sludge!$N12*2</f>
        <v>148</v>
      </c>
      <c r="AD51" s="36">
        <f>AD26*Sludge!$N12*2</f>
        <v>148</v>
      </c>
    </row>
    <row r="52" spans="2:30" x14ac:dyDescent="0.2">
      <c r="B52" s="299" t="s">
        <v>29</v>
      </c>
      <c r="C52" s="299" t="s">
        <v>33</v>
      </c>
      <c r="D52" s="300">
        <f>D27*Sludge!$N13*2</f>
        <v>84</v>
      </c>
      <c r="E52" s="36">
        <f>E27*Sludge!$N13*2</f>
        <v>84</v>
      </c>
      <c r="F52" s="36">
        <f>F27*Sludge!$N13*2</f>
        <v>84</v>
      </c>
      <c r="G52" s="36">
        <f>G27*Sludge!$N13*2</f>
        <v>84</v>
      </c>
      <c r="H52" s="36">
        <f>H27*Sludge!$N13*2</f>
        <v>84</v>
      </c>
      <c r="I52" s="36">
        <f>I27*Sludge!$N13*2</f>
        <v>84</v>
      </c>
      <c r="J52" s="36">
        <f>J27*Sludge!$N13*2</f>
        <v>84</v>
      </c>
      <c r="K52" s="36">
        <f>K27*Sludge!$N13*2</f>
        <v>84</v>
      </c>
      <c r="L52" s="36">
        <f>L27*Sludge!$N13*2</f>
        <v>84</v>
      </c>
      <c r="M52" s="36">
        <f>M27*Sludge!$N13*2</f>
        <v>84</v>
      </c>
      <c r="N52" s="36">
        <f>N27*Sludge!$N13*2</f>
        <v>84</v>
      </c>
      <c r="O52" s="36">
        <f>O27*Sludge!$N13*2</f>
        <v>84</v>
      </c>
      <c r="P52" s="36">
        <f>P27*Sludge!$N13*2</f>
        <v>84</v>
      </c>
      <c r="Q52" s="36">
        <f>Q27*Sludge!$N13*2</f>
        <v>84</v>
      </c>
      <c r="R52" s="36">
        <f>R27*Sludge!$N13*2</f>
        <v>84</v>
      </c>
      <c r="S52" s="36">
        <f>S27*Sludge!$N13*2</f>
        <v>84</v>
      </c>
      <c r="T52" s="36">
        <f>T27*Sludge!$N13*2</f>
        <v>84</v>
      </c>
      <c r="U52" s="36">
        <f>U27*Sludge!$N13*2</f>
        <v>84</v>
      </c>
      <c r="V52" s="36">
        <f>V27*Sludge!$N13*2</f>
        <v>84</v>
      </c>
      <c r="W52" s="36">
        <f>W27*Sludge!$N13*2</f>
        <v>84</v>
      </c>
      <c r="X52" s="36">
        <f>X27*Sludge!$N13*2</f>
        <v>84</v>
      </c>
      <c r="Y52" s="36">
        <f>Y27*Sludge!$N13*2</f>
        <v>84</v>
      </c>
      <c r="Z52" s="36">
        <f>Z27*Sludge!$N13*2</f>
        <v>84</v>
      </c>
      <c r="AA52" s="36">
        <f>AA27*Sludge!$N13*2</f>
        <v>84</v>
      </c>
      <c r="AB52" s="36">
        <f>AB27*Sludge!$N13*2</f>
        <v>84</v>
      </c>
      <c r="AC52" s="36">
        <f>AC27*Sludge!$N13*2</f>
        <v>84</v>
      </c>
      <c r="AD52" s="36">
        <f>AD27*Sludge!$N13*2</f>
        <v>84</v>
      </c>
    </row>
    <row r="53" spans="2:30" ht="17" thickBot="1" x14ac:dyDescent="0.25"/>
    <row r="54" spans="2:30" ht="17" thickBot="1" x14ac:dyDescent="0.25">
      <c r="B54" s="289" t="s">
        <v>1</v>
      </c>
      <c r="C54" s="92" t="s">
        <v>2</v>
      </c>
      <c r="D54" s="346" t="s">
        <v>209</v>
      </c>
      <c r="E54" s="347"/>
      <c r="F54" s="347"/>
      <c r="G54" s="347"/>
      <c r="H54" s="347"/>
      <c r="I54" s="347"/>
      <c r="J54" s="347"/>
      <c r="K54" s="347"/>
      <c r="L54" s="347"/>
      <c r="M54" s="347"/>
      <c r="N54" s="347"/>
      <c r="O54" s="347"/>
      <c r="P54" s="348"/>
    </row>
    <row r="55" spans="2:30" x14ac:dyDescent="0.2">
      <c r="B55" s="299" t="s">
        <v>14</v>
      </c>
      <c r="C55" s="299" t="s">
        <v>15</v>
      </c>
      <c r="D55" s="300">
        <f t="shared" ref="D55:F57" si="1">D30</f>
        <v>764.4</v>
      </c>
      <c r="E55" s="36">
        <f t="shared" si="1"/>
        <v>764.4</v>
      </c>
      <c r="F55" s="36">
        <f t="shared" si="1"/>
        <v>764.4</v>
      </c>
      <c r="G55" s="36">
        <f>G43+ROUNDUP(SUM(G$4:G$14)*Coefficients!$C$32/Coefficients!$C$22,0)*Coefficients!$C$21</f>
        <v>417.2</v>
      </c>
      <c r="H55" s="36">
        <f>H43+ROUNDUP(SUM(H$4:H$14)*Coefficients!$C$32/Coefficients!$C$22,0)*Coefficients!$C$21</f>
        <v>417.2</v>
      </c>
      <c r="I55" s="36">
        <f>I43+ROUNDUP(SUM(I$4:I$14)*Coefficients!$C$32/Coefficients!$C$22,0)*Coefficients!$C$21</f>
        <v>417.2</v>
      </c>
      <c r="J55" s="36">
        <f>J43+ROUNDUP(SUM(J$4:J$14)*Coefficients!$C$32/Coefficients!$C$22,0)*Coefficients!$C$21</f>
        <v>417.2</v>
      </c>
      <c r="K55" s="36">
        <f>K43+ROUNDUP(SUM(K$4:K$14)*Coefficients!$C$32/Coefficients!$C$22,0)*Coefficients!$C$21</f>
        <v>417.2</v>
      </c>
      <c r="L55" s="36">
        <f>L43+ROUNDUP(SUM(L$4:L$14)*Coefficients!$C$32/Coefficients!$C$22,0)*Coefficients!$C$21</f>
        <v>417.2</v>
      </c>
      <c r="M55" s="36">
        <f>M43+ROUNDUP(SUM(M$4:M$14)*Coefficients!$C$32/Coefficients!$C$22,0)*Coefficients!$C$21</f>
        <v>417.2</v>
      </c>
      <c r="N55" s="36">
        <f>N43+ROUNDUP(SUM(N$4:N$14)*Coefficients!$C$32/Coefficients!$C$22,0)*Coefficients!$C$21</f>
        <v>417.2</v>
      </c>
      <c r="O55" s="36">
        <f>O43+ROUNDUP(SUM(O$4:O$14)*Coefficients!$C$32/Coefficients!$C$22,0)*Coefficients!$C$21</f>
        <v>417.2</v>
      </c>
      <c r="P55" s="36">
        <f>P43+ROUNDUP(SUM(P$4:P$14)*Coefficients!$C$32/Coefficients!$C$22,0)*Coefficients!$C$21</f>
        <v>417.2</v>
      </c>
      <c r="Q55" s="36">
        <f>Q43+ROUNDUP(SUM(Q$4:Q$14)*Coefficients!$C$32/Coefficients!$C$22,0)*Coefficients!$C$21</f>
        <v>460.2</v>
      </c>
      <c r="R55" s="36">
        <f>R43+ROUNDUP(SUM(R$4:R$14)*Coefficients!$C$32/Coefficients!$C$22,0)*Coefficients!$C$21</f>
        <v>460.2</v>
      </c>
      <c r="S55" s="36">
        <f>S43+ROUNDUP(SUM(S$4:S$14)*Coefficients!$C$32/Coefficients!$C$22,0)*Coefficients!$C$21</f>
        <v>460.2</v>
      </c>
      <c r="T55" s="36">
        <f>T43+ROUNDUP(SUM(T$4:T$14)*Coefficients!$C$32/Coefficients!$C$22,0)*Coefficients!$C$21</f>
        <v>460.2</v>
      </c>
      <c r="U55" s="36">
        <f>U43+ROUNDUP(SUM(U$4:U$14)*Coefficients!$C$32/Coefficients!$C$22,0)*Coefficients!$C$21</f>
        <v>460.2</v>
      </c>
      <c r="V55" s="36">
        <f>V43+ROUNDUP(SUM(V$4:V$14)*Coefficients!$C$32/Coefficients!$C$22,0)*Coefficients!$C$21</f>
        <v>460.2</v>
      </c>
      <c r="W55" s="36">
        <f>W43+ROUNDUP(SUM(W$4:W$14)*Coefficients!$C$32/Coefficients!$C$22,0)*Coefficients!$C$21</f>
        <v>460.2</v>
      </c>
      <c r="X55" s="36">
        <f>X43+ROUNDUP(SUM(X$4:X$14)*Coefficients!$C$32/Coefficients!$C$22,0)*Coefficients!$C$21</f>
        <v>460.2</v>
      </c>
      <c r="Y55" s="36">
        <f>Y43+ROUNDUP(SUM(Y$4:Y$14)*Coefficients!$C$32/Coefficients!$C$22,0)*Coefficients!$C$21</f>
        <v>460.2</v>
      </c>
      <c r="Z55" s="36">
        <f>Z43+ROUNDUP(SUM(Z$4:Z$14)*Coefficients!$C$32/Coefficients!$C$22,0)*Coefficients!$C$21</f>
        <v>460.2</v>
      </c>
      <c r="AA55" s="36">
        <f>AA43+ROUNDUP(SUM(AA$4:AA$14)*Coefficients!$C$32/Coefficients!$C$22,0)*Coefficients!$C$21</f>
        <v>460.2</v>
      </c>
      <c r="AB55" s="36">
        <f>AB43+ROUNDUP(SUM(AB$4:AB$14)*Coefficients!$C$32/Coefficients!$C$22,0)*Coefficients!$C$21</f>
        <v>460.2</v>
      </c>
      <c r="AC55" s="36">
        <f>AC43+ROUNDUP(SUM(AC$4:AC$14)*Coefficients!$C$32/Coefficients!$C$22,0)*Coefficients!$C$21</f>
        <v>460.2</v>
      </c>
      <c r="AD55" s="36">
        <f>AD43+ROUNDUP(SUM(AD$4:AD$14)*Coefficients!$C$32/Coefficients!$C$22,0)*Coefficients!$C$21</f>
        <v>460.2</v>
      </c>
    </row>
    <row r="56" spans="2:30" x14ac:dyDescent="0.2">
      <c r="B56" s="299" t="s">
        <v>14</v>
      </c>
      <c r="C56" s="299" t="s">
        <v>18</v>
      </c>
      <c r="D56" s="300">
        <f t="shared" si="1"/>
        <v>350</v>
      </c>
      <c r="E56" s="36">
        <f t="shared" si="1"/>
        <v>420</v>
      </c>
      <c r="F56" s="36">
        <f t="shared" si="1"/>
        <v>420</v>
      </c>
      <c r="G56" s="36">
        <f>G44+ROUNDUP(SUM(G$4:G$14)*Coefficients!$C$32/Coefficients!$C$22,0)*Coefficients!$C$21</f>
        <v>388.8</v>
      </c>
      <c r="H56" s="36">
        <f>H44+ROUNDUP(SUM(H$4:H$14)*Coefficients!$C$32/Coefficients!$C$22,0)*Coefficients!$C$21</f>
        <v>388.8</v>
      </c>
      <c r="I56" s="36">
        <f>I44+ROUNDUP(SUM(I$4:I$14)*Coefficients!$C$32/Coefficients!$C$22,0)*Coefficients!$C$21</f>
        <v>388.8</v>
      </c>
      <c r="J56" s="36">
        <f>J44+ROUNDUP(SUM(J$4:J$14)*Coefficients!$C$32/Coefficients!$C$22,0)*Coefficients!$C$21</f>
        <v>388.8</v>
      </c>
      <c r="K56" s="36">
        <f>K44+ROUNDUP(SUM(K$4:K$14)*Coefficients!$C$32/Coefficients!$C$22,0)*Coefficients!$C$21</f>
        <v>388.8</v>
      </c>
      <c r="L56" s="36">
        <f>L44+ROUNDUP(SUM(L$4:L$14)*Coefficients!$C$32/Coefficients!$C$22,0)*Coefficients!$C$21</f>
        <v>388.8</v>
      </c>
      <c r="M56" s="36">
        <f>M44+ROUNDUP(SUM(M$4:M$14)*Coefficients!$C$32/Coefficients!$C$22,0)*Coefficients!$C$21</f>
        <v>388.8</v>
      </c>
      <c r="N56" s="36">
        <f>N44+ROUNDUP(SUM(N$4:N$14)*Coefficients!$C$32/Coefficients!$C$22,0)*Coefficients!$C$21</f>
        <v>388.8</v>
      </c>
      <c r="O56" s="36">
        <f>O44+ROUNDUP(SUM(O$4:O$14)*Coefficients!$C$32/Coefficients!$C$22,0)*Coefficients!$C$21</f>
        <v>441.4</v>
      </c>
      <c r="P56" s="36">
        <f>P44+ROUNDUP(SUM(P$4:P$14)*Coefficients!$C$32/Coefficients!$C$22,0)*Coefficients!$C$21</f>
        <v>441.4</v>
      </c>
      <c r="Q56" s="36">
        <f>Q44+ROUNDUP(SUM(Q$4:Q$14)*Coefficients!$C$32/Coefficients!$C$22,0)*Coefficients!$C$21</f>
        <v>441.4</v>
      </c>
      <c r="R56" s="36">
        <f>R44+ROUNDUP(SUM(R$4:R$14)*Coefficients!$C$32/Coefficients!$C$22,0)*Coefficients!$C$21</f>
        <v>441.4</v>
      </c>
      <c r="S56" s="36">
        <f>S44+ROUNDUP(SUM(S$4:S$14)*Coefficients!$C$32/Coefficients!$C$22,0)*Coefficients!$C$21</f>
        <v>441.4</v>
      </c>
      <c r="T56" s="36">
        <f>T44+ROUNDUP(SUM(T$4:T$14)*Coefficients!$C$32/Coefficients!$C$22,0)*Coefficients!$C$21</f>
        <v>441.4</v>
      </c>
      <c r="U56" s="36">
        <f>U44+ROUNDUP(SUM(U$4:U$14)*Coefficients!$C$32/Coefficients!$C$22,0)*Coefficients!$C$21</f>
        <v>441.4</v>
      </c>
      <c r="V56" s="36">
        <f>V44+ROUNDUP(SUM(V$4:V$14)*Coefficients!$C$32/Coefficients!$C$22,0)*Coefficients!$C$21</f>
        <v>441.4</v>
      </c>
      <c r="W56" s="36">
        <f>W44+ROUNDUP(SUM(W$4:W$14)*Coefficients!$C$32/Coefficients!$C$22,0)*Coefficients!$C$21</f>
        <v>441.4</v>
      </c>
      <c r="X56" s="36">
        <f>X44+ROUNDUP(SUM(X$4:X$14)*Coefficients!$C$32/Coefficients!$C$22,0)*Coefficients!$C$21</f>
        <v>441.4</v>
      </c>
      <c r="Y56" s="36">
        <f>Y44+ROUNDUP(SUM(Y$4:Y$14)*Coefficients!$C$32/Coefficients!$C$22,0)*Coefficients!$C$21</f>
        <v>441.4</v>
      </c>
      <c r="Z56" s="36">
        <f>Z44+ROUNDUP(SUM(Z$4:Z$14)*Coefficients!$C$32/Coefficients!$C$22,0)*Coefficients!$C$21</f>
        <v>441.4</v>
      </c>
      <c r="AA56" s="36">
        <f>AA44+ROUNDUP(SUM(AA$4:AA$14)*Coefficients!$C$32/Coefficients!$C$22,0)*Coefficients!$C$21</f>
        <v>441.4</v>
      </c>
      <c r="AB56" s="36">
        <f>AB44+ROUNDUP(SUM(AB$4:AB$14)*Coefficients!$C$32/Coefficients!$C$22,0)*Coefficients!$C$21</f>
        <v>441.4</v>
      </c>
      <c r="AC56" s="36">
        <f>AC44+ROUNDUP(SUM(AC$4:AC$14)*Coefficients!$C$32/Coefficients!$C$22,0)*Coefficients!$C$21</f>
        <v>441.4</v>
      </c>
      <c r="AD56" s="36">
        <f>AD44+ROUNDUP(SUM(AD$4:AD$14)*Coefficients!$C$32/Coefficients!$C$22,0)*Coefficients!$C$21</f>
        <v>441.4</v>
      </c>
    </row>
    <row r="57" spans="2:30" x14ac:dyDescent="0.2">
      <c r="B57" s="299" t="s">
        <v>14</v>
      </c>
      <c r="C57" s="299" t="s">
        <v>20</v>
      </c>
      <c r="D57" s="300">
        <f t="shared" si="1"/>
        <v>0</v>
      </c>
      <c r="E57" s="36">
        <f t="shared" si="1"/>
        <v>0</v>
      </c>
      <c r="F57" s="36">
        <f t="shared" si="1"/>
        <v>0</v>
      </c>
      <c r="G57" s="36">
        <f>G45+ROUNDUP(SUM(G$4:G$14)*Coefficients!$C$32/Coefficients!$C$22,0)*Coefficients!$C$21</f>
        <v>138.4</v>
      </c>
      <c r="H57" s="36">
        <f>H45+ROUNDUP(SUM(H$4:H$14)*Coefficients!$C$32/Coefficients!$C$22,0)*Coefficients!$C$21</f>
        <v>138.4</v>
      </c>
      <c r="I57" s="36">
        <f>I45+ROUNDUP(SUM(I$4:I$14)*Coefficients!$C$32/Coefficients!$C$22,0)*Coefficients!$C$21</f>
        <v>138.4</v>
      </c>
      <c r="J57" s="36">
        <f>J45+ROUNDUP(SUM(J$4:J$14)*Coefficients!$C$32/Coefficients!$C$22,0)*Coefficients!$C$21</f>
        <v>138.4</v>
      </c>
      <c r="K57" s="36">
        <f>K45+ROUNDUP(SUM(K$4:K$14)*Coefficients!$C$32/Coefficients!$C$22,0)*Coefficients!$C$21</f>
        <v>138.4</v>
      </c>
      <c r="L57" s="36">
        <f>L45+ROUNDUP(SUM(L$4:L$14)*Coefficients!$C$32/Coefficients!$C$22,0)*Coefficients!$C$21</f>
        <v>138.4</v>
      </c>
      <c r="M57" s="36">
        <f>M45+ROUNDUP(SUM(M$4:M$14)*Coefficients!$C$32/Coefficients!$C$22,0)*Coefficients!$C$21</f>
        <v>138.4</v>
      </c>
      <c r="N57" s="36">
        <f>N45+ROUNDUP(SUM(N$4:N$14)*Coefficients!$C$32/Coefficients!$C$22,0)*Coefficients!$C$21</f>
        <v>138.4</v>
      </c>
      <c r="O57" s="36">
        <f>O45+ROUNDUP(SUM(O$4:O$14)*Coefficients!$C$32/Coefficients!$C$22,0)*Coefficients!$C$21</f>
        <v>138.4</v>
      </c>
      <c r="P57" s="36">
        <f>P45+ROUNDUP(SUM(P$4:P$14)*Coefficients!$C$32/Coefficients!$C$22,0)*Coefficients!$C$21</f>
        <v>138.4</v>
      </c>
      <c r="Q57" s="36">
        <f>Q45+ROUNDUP(SUM(Q$4:Q$14)*Coefficients!$C$32/Coefficients!$C$22,0)*Coefficients!$C$21</f>
        <v>138.4</v>
      </c>
      <c r="R57" s="36">
        <f>R45+ROUNDUP(SUM(R$4:R$14)*Coefficients!$C$32/Coefficients!$C$22,0)*Coefficients!$C$21</f>
        <v>138.4</v>
      </c>
      <c r="S57" s="36">
        <f>S45+ROUNDUP(SUM(S$4:S$14)*Coefficients!$C$32/Coefficients!$C$22,0)*Coefficients!$C$21</f>
        <v>138.4</v>
      </c>
      <c r="T57" s="36">
        <f>T45+ROUNDUP(SUM(T$4:T$14)*Coefficients!$C$32/Coefficients!$C$22,0)*Coefficients!$C$21</f>
        <v>138.4</v>
      </c>
      <c r="U57" s="36">
        <f>U45+ROUNDUP(SUM(U$4:U$14)*Coefficients!$C$32/Coefficients!$C$22,0)*Coefficients!$C$21</f>
        <v>138.4</v>
      </c>
      <c r="V57" s="36">
        <f>V45+ROUNDUP(SUM(V$4:V$14)*Coefficients!$C$32/Coefficients!$C$22,0)*Coefficients!$C$21</f>
        <v>138.4</v>
      </c>
      <c r="W57" s="36">
        <f>W45+ROUNDUP(SUM(W$4:W$14)*Coefficients!$C$32/Coefficients!$C$22,0)*Coefficients!$C$21</f>
        <v>138.4</v>
      </c>
      <c r="X57" s="36">
        <f>X45+ROUNDUP(SUM(X$4:X$14)*Coefficients!$C$32/Coefficients!$C$22,0)*Coefficients!$C$21</f>
        <v>138.4</v>
      </c>
      <c r="Y57" s="36">
        <f>Y45+ROUNDUP(SUM(Y$4:Y$14)*Coefficients!$C$32/Coefficients!$C$22,0)*Coefficients!$C$21</f>
        <v>138.4</v>
      </c>
      <c r="Z57" s="36">
        <f>Z45+ROUNDUP(SUM(Z$4:Z$14)*Coefficients!$C$32/Coefficients!$C$22,0)*Coefficients!$C$21</f>
        <v>138.4</v>
      </c>
      <c r="AA57" s="36">
        <f>AA45+ROUNDUP(SUM(AA$4:AA$14)*Coefficients!$C$32/Coefficients!$C$22,0)*Coefficients!$C$21</f>
        <v>138.4</v>
      </c>
      <c r="AB57" s="36">
        <f>AB45+ROUNDUP(SUM(AB$4:AB$14)*Coefficients!$C$32/Coefficients!$C$22,0)*Coefficients!$C$21</f>
        <v>138.4</v>
      </c>
      <c r="AC57" s="36">
        <f>AC45+ROUNDUP(SUM(AC$4:AC$14)*Coefficients!$C$32/Coefficients!$C$22,0)*Coefficients!$C$21</f>
        <v>138.4</v>
      </c>
      <c r="AD57" s="36">
        <f>AD45+ROUNDUP(SUM(AD$4:AD$14)*Coefficients!$C$32/Coefficients!$C$22,0)*Coefficients!$C$21</f>
        <v>138.4</v>
      </c>
    </row>
    <row r="58" spans="2:30" x14ac:dyDescent="0.2">
      <c r="B58" s="299" t="s">
        <v>27</v>
      </c>
      <c r="C58" s="299" t="s">
        <v>28</v>
      </c>
      <c r="D58" s="300">
        <f t="shared" ref="D58:F64" si="2">D34</f>
        <v>422</v>
      </c>
      <c r="E58" s="36">
        <f t="shared" si="2"/>
        <v>422</v>
      </c>
      <c r="F58" s="36">
        <f t="shared" si="2"/>
        <v>422</v>
      </c>
      <c r="G58" s="36">
        <f>G46+ROUNDUP(SUM(G$4:G$14)*Coefficients!$C$32/Coefficients!$C$22,0)*Coefficients!$C$21</f>
        <v>361.2</v>
      </c>
      <c r="H58" s="36">
        <f>H46+ROUNDUP(SUM(H$4:H$14)*Coefficients!$C$32/Coefficients!$C$22,0)*Coefficients!$C$21</f>
        <v>361.2</v>
      </c>
      <c r="I58" s="36">
        <f>I46+ROUNDUP(SUM(I$4:I$14)*Coefficients!$C$32/Coefficients!$C$22,0)*Coefficients!$C$21</f>
        <v>418.8</v>
      </c>
      <c r="J58" s="36">
        <f>J46+ROUNDUP(SUM(J$4:J$14)*Coefficients!$C$32/Coefficients!$C$22,0)*Coefficients!$C$21</f>
        <v>418.8</v>
      </c>
      <c r="K58" s="36">
        <f>K46+ROUNDUP(SUM(K$4:K$14)*Coefficients!$C$32/Coefficients!$C$22,0)*Coefficients!$C$21</f>
        <v>418.8</v>
      </c>
      <c r="L58" s="36">
        <f>L46+ROUNDUP(SUM(L$4:L$14)*Coefficients!$C$32/Coefficients!$C$22,0)*Coefficients!$C$21</f>
        <v>418.8</v>
      </c>
      <c r="M58" s="36">
        <f>M46+ROUNDUP(SUM(M$4:M$14)*Coefficients!$C$32/Coefficients!$C$22,0)*Coefficients!$C$21</f>
        <v>418.8</v>
      </c>
      <c r="N58" s="36">
        <f>N46+ROUNDUP(SUM(N$4:N$14)*Coefficients!$C$32/Coefficients!$C$22,0)*Coefficients!$C$21</f>
        <v>418.8</v>
      </c>
      <c r="O58" s="36">
        <f>O46+ROUNDUP(SUM(O$4:O$14)*Coefficients!$C$32/Coefficients!$C$22,0)*Coefficients!$C$21</f>
        <v>418.8</v>
      </c>
      <c r="P58" s="36">
        <f>P46+ROUNDUP(SUM(P$4:P$14)*Coefficients!$C$32/Coefficients!$C$22,0)*Coefficients!$C$21</f>
        <v>418.8</v>
      </c>
      <c r="Q58" s="36">
        <f>Q46+ROUNDUP(SUM(Q$4:Q$14)*Coefficients!$C$32/Coefficients!$C$22,0)*Coefficients!$C$21</f>
        <v>418.8</v>
      </c>
      <c r="R58" s="36">
        <f>R46+ROUNDUP(SUM(R$4:R$14)*Coefficients!$C$32/Coefficients!$C$22,0)*Coefficients!$C$21</f>
        <v>418.8</v>
      </c>
      <c r="S58" s="36">
        <f>S46+ROUNDUP(SUM(S$4:S$14)*Coefficients!$C$32/Coefficients!$C$22,0)*Coefficients!$C$21</f>
        <v>418.8</v>
      </c>
      <c r="T58" s="36">
        <f>T46+ROUNDUP(SUM(T$4:T$14)*Coefficients!$C$32/Coefficients!$C$22,0)*Coefficients!$C$21</f>
        <v>418.8</v>
      </c>
      <c r="U58" s="36">
        <f>U46+ROUNDUP(SUM(U$4:U$14)*Coefficients!$C$32/Coefficients!$C$22,0)*Coefficients!$C$21</f>
        <v>418.8</v>
      </c>
      <c r="V58" s="36">
        <f>V46+ROUNDUP(SUM(V$4:V$14)*Coefficients!$C$32/Coefficients!$C$22,0)*Coefficients!$C$21</f>
        <v>418.8</v>
      </c>
      <c r="W58" s="36">
        <f>W46+ROUNDUP(SUM(W$4:W$14)*Coefficients!$C$32/Coefficients!$C$22,0)*Coefficients!$C$21</f>
        <v>418.8</v>
      </c>
      <c r="X58" s="36">
        <f>X46+ROUNDUP(SUM(X$4:X$14)*Coefficients!$C$32/Coefficients!$C$22,0)*Coefficients!$C$21</f>
        <v>418.8</v>
      </c>
      <c r="Y58" s="36">
        <f>Y46+ROUNDUP(SUM(Y$4:Y$14)*Coefficients!$C$32/Coefficients!$C$22,0)*Coefficients!$C$21</f>
        <v>418.8</v>
      </c>
      <c r="Z58" s="36">
        <f>Z46+ROUNDUP(SUM(Z$4:Z$14)*Coefficients!$C$32/Coefficients!$C$22,0)*Coefficients!$C$21</f>
        <v>418.8</v>
      </c>
      <c r="AA58" s="36">
        <f>AA46+ROUNDUP(SUM(AA$4:AA$14)*Coefficients!$C$32/Coefficients!$C$22,0)*Coefficients!$C$21</f>
        <v>418.8</v>
      </c>
      <c r="AB58" s="36">
        <f>AB46+ROUNDUP(SUM(AB$4:AB$14)*Coefficients!$C$32/Coefficients!$C$22,0)*Coefficients!$C$21</f>
        <v>418.8</v>
      </c>
      <c r="AC58" s="36">
        <f>AC46+ROUNDUP(SUM(AC$4:AC$14)*Coefficients!$C$32/Coefficients!$C$22,0)*Coefficients!$C$21</f>
        <v>418.8</v>
      </c>
      <c r="AD58" s="36">
        <f>AD46+ROUNDUP(SUM(AD$4:AD$14)*Coefficients!$C$32/Coefficients!$C$22,0)*Coefficients!$C$21</f>
        <v>418.8</v>
      </c>
    </row>
    <row r="59" spans="2:30" x14ac:dyDescent="0.2">
      <c r="B59" s="299" t="s">
        <v>29</v>
      </c>
      <c r="C59" s="299" t="s">
        <v>30</v>
      </c>
      <c r="D59" s="300">
        <f t="shared" si="2"/>
        <v>150.80000000000001</v>
      </c>
      <c r="E59" s="36">
        <f t="shared" si="2"/>
        <v>150.80000000000001</v>
      </c>
      <c r="F59" s="36">
        <f t="shared" si="2"/>
        <v>150.80000000000001</v>
      </c>
      <c r="G59" s="36">
        <f>G47+ROUNDUP(SUM(G$4:G$14)*Coefficients!$C$32/Coefficients!$C$22,0)*Coefficients!$C$21</f>
        <v>217.2</v>
      </c>
      <c r="H59" s="36">
        <f>H47+ROUNDUP(SUM(H$4:H$14)*Coefficients!$C$32/Coefficients!$C$22,0)*Coefficients!$C$21</f>
        <v>217.2</v>
      </c>
      <c r="I59" s="36">
        <f>I47+ROUNDUP(SUM(I$4:I$14)*Coefficients!$C$32/Coefficients!$C$22,0)*Coefficients!$C$21</f>
        <v>217.2</v>
      </c>
      <c r="J59" s="36">
        <f>J47+ROUNDUP(SUM(J$4:J$14)*Coefficients!$C$32/Coefficients!$C$22,0)*Coefficients!$C$21</f>
        <v>217.2</v>
      </c>
      <c r="K59" s="36">
        <f>K47+ROUNDUP(SUM(K$4:K$14)*Coefficients!$C$32/Coefficients!$C$22,0)*Coefficients!$C$21</f>
        <v>217.2</v>
      </c>
      <c r="L59" s="36">
        <f>L47+ROUNDUP(SUM(L$4:L$14)*Coefficients!$C$32/Coefficients!$C$22,0)*Coefficients!$C$21</f>
        <v>217.2</v>
      </c>
      <c r="M59" s="36">
        <f>M47+ROUNDUP(SUM(M$4:M$14)*Coefficients!$C$32/Coefficients!$C$22,0)*Coefficients!$C$21</f>
        <v>217.2</v>
      </c>
      <c r="N59" s="36">
        <f>N47+ROUNDUP(SUM(N$4:N$14)*Coefficients!$C$32/Coefficients!$C$22,0)*Coefficients!$C$21</f>
        <v>217.2</v>
      </c>
      <c r="O59" s="36">
        <f>O47+ROUNDUP(SUM(O$4:O$14)*Coefficients!$C$32/Coefficients!$C$22,0)*Coefficients!$C$21</f>
        <v>217.2</v>
      </c>
      <c r="P59" s="36">
        <f>P47+ROUNDUP(SUM(P$4:P$14)*Coefficients!$C$32/Coefficients!$C$22,0)*Coefficients!$C$21</f>
        <v>217.2</v>
      </c>
      <c r="Q59" s="36">
        <f>Q47+ROUNDUP(SUM(Q$4:Q$14)*Coefficients!$C$32/Coefficients!$C$22,0)*Coefficients!$C$21</f>
        <v>217.2</v>
      </c>
      <c r="R59" s="36">
        <f>R47+ROUNDUP(SUM(R$4:R$14)*Coefficients!$C$32/Coefficients!$C$22,0)*Coefficients!$C$21</f>
        <v>217.2</v>
      </c>
      <c r="S59" s="36">
        <f>S47+ROUNDUP(SUM(S$4:S$14)*Coefficients!$C$32/Coefficients!$C$22,0)*Coefficients!$C$21</f>
        <v>217.2</v>
      </c>
      <c r="T59" s="36">
        <f>T47+ROUNDUP(SUM(T$4:T$14)*Coefficients!$C$32/Coefficients!$C$22,0)*Coefficients!$C$21</f>
        <v>217.2</v>
      </c>
      <c r="U59" s="36">
        <f>U47+ROUNDUP(SUM(U$4:U$14)*Coefficients!$C$32/Coefficients!$C$22,0)*Coefficients!$C$21</f>
        <v>217.2</v>
      </c>
      <c r="V59" s="36">
        <f>V47+ROUNDUP(SUM(V$4:V$14)*Coefficients!$C$32/Coefficients!$C$22,0)*Coefficients!$C$21</f>
        <v>217.2</v>
      </c>
      <c r="W59" s="36">
        <f>W47+ROUNDUP(SUM(W$4:W$14)*Coefficients!$C$32/Coefficients!$C$22,0)*Coefficients!$C$21</f>
        <v>217.2</v>
      </c>
      <c r="X59" s="36">
        <f>X47+ROUNDUP(SUM(X$4:X$14)*Coefficients!$C$32/Coefficients!$C$22,0)*Coefficients!$C$21</f>
        <v>217.2</v>
      </c>
      <c r="Y59" s="36">
        <f>Y47+ROUNDUP(SUM(Y$4:Y$14)*Coefficients!$C$32/Coefficients!$C$22,0)*Coefficients!$C$21</f>
        <v>217.2</v>
      </c>
      <c r="Z59" s="36">
        <f>Z47+ROUNDUP(SUM(Z$4:Z$14)*Coefficients!$C$32/Coefficients!$C$22,0)*Coefficients!$C$21</f>
        <v>217.2</v>
      </c>
      <c r="AA59" s="36">
        <f>AA47+ROUNDUP(SUM(AA$4:AA$14)*Coefficients!$C$32/Coefficients!$C$22,0)*Coefficients!$C$21</f>
        <v>217.2</v>
      </c>
      <c r="AB59" s="36">
        <f>AB47+ROUNDUP(SUM(AB$4:AB$14)*Coefficients!$C$32/Coefficients!$C$22,0)*Coefficients!$C$21</f>
        <v>217.2</v>
      </c>
      <c r="AC59" s="36">
        <f>AC47+ROUNDUP(SUM(AC$4:AC$14)*Coefficients!$C$32/Coefficients!$C$22,0)*Coefficients!$C$21</f>
        <v>217.2</v>
      </c>
      <c r="AD59" s="36">
        <f>AD47+ROUNDUP(SUM(AD$4:AD$14)*Coefficients!$C$32/Coefficients!$C$22,0)*Coefficients!$C$21</f>
        <v>217.2</v>
      </c>
    </row>
    <row r="60" spans="2:30" x14ac:dyDescent="0.2">
      <c r="B60" s="299" t="s">
        <v>29</v>
      </c>
      <c r="C60" s="299" t="s">
        <v>31</v>
      </c>
      <c r="D60" s="300">
        <f t="shared" si="2"/>
        <v>102</v>
      </c>
      <c r="E60" s="36">
        <f t="shared" si="2"/>
        <v>102</v>
      </c>
      <c r="F60" s="36">
        <f t="shared" si="2"/>
        <v>102</v>
      </c>
      <c r="G60" s="36">
        <f>G48+ROUNDUP(SUM(G$4:G$14)*Coefficients!$C$32/Coefficients!$C$22,0)*Coefficients!$C$21</f>
        <v>171.4</v>
      </c>
      <c r="H60" s="36">
        <f>H48+ROUNDUP(SUM(H$4:H$14)*Coefficients!$C$32/Coefficients!$C$22,0)*Coefficients!$C$21</f>
        <v>171.4</v>
      </c>
      <c r="I60" s="36">
        <f>I48+ROUNDUP(SUM(I$4:I$14)*Coefficients!$C$32/Coefficients!$C$22,0)*Coefficients!$C$21</f>
        <v>171.4</v>
      </c>
      <c r="J60" s="36">
        <f>J48+ROUNDUP(SUM(J$4:J$14)*Coefficients!$C$32/Coefficients!$C$22,0)*Coefficients!$C$21</f>
        <v>171.4</v>
      </c>
      <c r="K60" s="36">
        <f>K48+ROUNDUP(SUM(K$4:K$14)*Coefficients!$C$32/Coefficients!$C$22,0)*Coefficients!$C$21</f>
        <v>171.4</v>
      </c>
      <c r="L60" s="36">
        <f>L48+ROUNDUP(SUM(L$4:L$14)*Coefficients!$C$32/Coefficients!$C$22,0)*Coefficients!$C$21</f>
        <v>171.4</v>
      </c>
      <c r="M60" s="36">
        <f>M48+ROUNDUP(SUM(M$4:M$14)*Coefficients!$C$32/Coefficients!$C$22,0)*Coefficients!$C$21</f>
        <v>171.4</v>
      </c>
      <c r="N60" s="36">
        <f>N48+ROUNDUP(SUM(N$4:N$14)*Coefficients!$C$32/Coefficients!$C$22,0)*Coefficients!$C$21</f>
        <v>171.4</v>
      </c>
      <c r="O60" s="36">
        <f>O48+ROUNDUP(SUM(O$4:O$14)*Coefficients!$C$32/Coefficients!$C$22,0)*Coefficients!$C$21</f>
        <v>171.4</v>
      </c>
      <c r="P60" s="36">
        <f>P48+ROUNDUP(SUM(P$4:P$14)*Coefficients!$C$32/Coefficients!$C$22,0)*Coefficients!$C$21</f>
        <v>171.4</v>
      </c>
      <c r="Q60" s="36">
        <f>Q48+ROUNDUP(SUM(Q$4:Q$14)*Coefficients!$C$32/Coefficients!$C$22,0)*Coefficients!$C$21</f>
        <v>171.4</v>
      </c>
      <c r="R60" s="36">
        <f>R48+ROUNDUP(SUM(R$4:R$14)*Coefficients!$C$32/Coefficients!$C$22,0)*Coefficients!$C$21</f>
        <v>171.4</v>
      </c>
      <c r="S60" s="36">
        <f>S48+ROUNDUP(SUM(S$4:S$14)*Coefficients!$C$32/Coefficients!$C$22,0)*Coefficients!$C$21</f>
        <v>171.4</v>
      </c>
      <c r="T60" s="36">
        <f>T48+ROUNDUP(SUM(T$4:T$14)*Coefficients!$C$32/Coefficients!$C$22,0)*Coefficients!$C$21</f>
        <v>171.4</v>
      </c>
      <c r="U60" s="36">
        <f>U48+ROUNDUP(SUM(U$4:U$14)*Coefficients!$C$32/Coefficients!$C$22,0)*Coefficients!$C$21</f>
        <v>171.4</v>
      </c>
      <c r="V60" s="36">
        <f>V48+ROUNDUP(SUM(V$4:V$14)*Coefficients!$C$32/Coefficients!$C$22,0)*Coefficients!$C$21</f>
        <v>171.4</v>
      </c>
      <c r="W60" s="36">
        <f>W48+ROUNDUP(SUM(W$4:W$14)*Coefficients!$C$32/Coefficients!$C$22,0)*Coefficients!$C$21</f>
        <v>171.4</v>
      </c>
      <c r="X60" s="36">
        <f>X48+ROUNDUP(SUM(X$4:X$14)*Coefficients!$C$32/Coefficients!$C$22,0)*Coefficients!$C$21</f>
        <v>171.4</v>
      </c>
      <c r="Y60" s="36">
        <f>Y48+ROUNDUP(SUM(Y$4:Y$14)*Coefficients!$C$32/Coefficients!$C$22,0)*Coefficients!$C$21</f>
        <v>171.4</v>
      </c>
      <c r="Z60" s="36">
        <f>Z48+ROUNDUP(SUM(Z$4:Z$14)*Coefficients!$C$32/Coefficients!$C$22,0)*Coefficients!$C$21</f>
        <v>171.4</v>
      </c>
      <c r="AA60" s="36">
        <f>AA48+ROUNDUP(SUM(AA$4:AA$14)*Coefficients!$C$32/Coefficients!$C$22,0)*Coefficients!$C$21</f>
        <v>171.4</v>
      </c>
      <c r="AB60" s="36">
        <f>AB48+ROUNDUP(SUM(AB$4:AB$14)*Coefficients!$C$32/Coefficients!$C$22,0)*Coefficients!$C$21</f>
        <v>171.4</v>
      </c>
      <c r="AC60" s="36">
        <f>AC48+ROUNDUP(SUM(AC$4:AC$14)*Coefficients!$C$32/Coefficients!$C$22,0)*Coefficients!$C$21</f>
        <v>171.4</v>
      </c>
      <c r="AD60" s="36">
        <f>AD48+ROUNDUP(SUM(AD$4:AD$14)*Coefficients!$C$32/Coefficients!$C$22,0)*Coefficients!$C$21</f>
        <v>171.4</v>
      </c>
    </row>
    <row r="61" spans="2:30" x14ac:dyDescent="0.2">
      <c r="B61" s="299" t="s">
        <v>29</v>
      </c>
      <c r="C61" s="299" t="s">
        <v>32</v>
      </c>
      <c r="D61" s="300">
        <f t="shared" si="2"/>
        <v>110</v>
      </c>
      <c r="E61" s="36">
        <f t="shared" si="2"/>
        <v>110</v>
      </c>
      <c r="F61" s="36">
        <f t="shared" si="2"/>
        <v>110</v>
      </c>
      <c r="G61" s="36">
        <f>G49+ROUNDUP(SUM(G$4:G$14)*Coefficients!$C$32/Coefficients!$C$22,0)*Coefficients!$C$21</f>
        <v>115.4</v>
      </c>
      <c r="H61" s="36">
        <f>H49+ROUNDUP(SUM(H$4:H$14)*Coefficients!$C$32/Coefficients!$C$22,0)*Coefficients!$C$21</f>
        <v>115.4</v>
      </c>
      <c r="I61" s="36">
        <f>I49+ROUNDUP(SUM(I$4:I$14)*Coefficients!$C$32/Coefficients!$C$22,0)*Coefficients!$C$21</f>
        <v>115.4</v>
      </c>
      <c r="J61" s="36">
        <f>J49+ROUNDUP(SUM(J$4:J$14)*Coefficients!$C$32/Coefficients!$C$22,0)*Coefficients!$C$21</f>
        <v>115.4</v>
      </c>
      <c r="K61" s="36">
        <f>K49+ROUNDUP(SUM(K$4:K$14)*Coefficients!$C$32/Coefficients!$C$22,0)*Coefficients!$C$21</f>
        <v>115.4</v>
      </c>
      <c r="L61" s="36">
        <f>L49+ROUNDUP(SUM(L$4:L$14)*Coefficients!$C$32/Coefficients!$C$22,0)*Coefficients!$C$21</f>
        <v>115.4</v>
      </c>
      <c r="M61" s="36">
        <f>M49+ROUNDUP(SUM(M$4:M$14)*Coefficients!$C$32/Coefficients!$C$22,0)*Coefficients!$C$21</f>
        <v>115.4</v>
      </c>
      <c r="N61" s="36">
        <f>N49+ROUNDUP(SUM(N$4:N$14)*Coefficients!$C$32/Coefficients!$C$22,0)*Coefficients!$C$21</f>
        <v>115.4</v>
      </c>
      <c r="O61" s="36">
        <f>O49+ROUNDUP(SUM(O$4:O$14)*Coefficients!$C$32/Coefficients!$C$22,0)*Coefficients!$C$21</f>
        <v>115.4</v>
      </c>
      <c r="P61" s="36">
        <f>P49+ROUNDUP(SUM(P$4:P$14)*Coefficients!$C$32/Coefficients!$C$22,0)*Coefficients!$C$21</f>
        <v>115.4</v>
      </c>
      <c r="Q61" s="36">
        <f>Q49+ROUNDUP(SUM(Q$4:Q$14)*Coefficients!$C$32/Coefficients!$C$22,0)*Coefficients!$C$21</f>
        <v>115.4</v>
      </c>
      <c r="R61" s="36">
        <f>R49+ROUNDUP(SUM(R$4:R$14)*Coefficients!$C$32/Coefficients!$C$22,0)*Coefficients!$C$21</f>
        <v>115.4</v>
      </c>
      <c r="S61" s="36">
        <f>S49+ROUNDUP(SUM(S$4:S$14)*Coefficients!$C$32/Coefficients!$C$22,0)*Coefficients!$C$21</f>
        <v>115.4</v>
      </c>
      <c r="T61" s="36">
        <f>T49+ROUNDUP(SUM(T$4:T$14)*Coefficients!$C$32/Coefficients!$C$22,0)*Coefficients!$C$21</f>
        <v>115.4</v>
      </c>
      <c r="U61" s="36">
        <f>U49+ROUNDUP(SUM(U$4:U$14)*Coefficients!$C$32/Coefficients!$C$22,0)*Coefficients!$C$21</f>
        <v>115.4</v>
      </c>
      <c r="V61" s="36">
        <f>V49+ROUNDUP(SUM(V$4:V$14)*Coefficients!$C$32/Coefficients!$C$22,0)*Coefficients!$C$21</f>
        <v>115.4</v>
      </c>
      <c r="W61" s="36">
        <f>W49+ROUNDUP(SUM(W$4:W$14)*Coefficients!$C$32/Coefficients!$C$22,0)*Coefficients!$C$21</f>
        <v>115.4</v>
      </c>
      <c r="X61" s="36">
        <f>X49+ROUNDUP(SUM(X$4:X$14)*Coefficients!$C$32/Coefficients!$C$22,0)*Coefficients!$C$21</f>
        <v>115.4</v>
      </c>
      <c r="Y61" s="36">
        <f>Y49+ROUNDUP(SUM(Y$4:Y$14)*Coefficients!$C$32/Coefficients!$C$22,0)*Coefficients!$C$21</f>
        <v>115.4</v>
      </c>
      <c r="Z61" s="36">
        <f>Z49+ROUNDUP(SUM(Z$4:Z$14)*Coefficients!$C$32/Coefficients!$C$22,0)*Coefficients!$C$21</f>
        <v>115.4</v>
      </c>
      <c r="AA61" s="36">
        <f>AA49+ROUNDUP(SUM(AA$4:AA$14)*Coefficients!$C$32/Coefficients!$C$22,0)*Coefficients!$C$21</f>
        <v>115.4</v>
      </c>
      <c r="AB61" s="36">
        <f>AB49+ROUNDUP(SUM(AB$4:AB$14)*Coefficients!$C$32/Coefficients!$C$22,0)*Coefficients!$C$21</f>
        <v>115.4</v>
      </c>
      <c r="AC61" s="36">
        <f>AC49+ROUNDUP(SUM(AC$4:AC$14)*Coefficients!$C$32/Coefficients!$C$22,0)*Coefficients!$C$21</f>
        <v>115.4</v>
      </c>
      <c r="AD61" s="36">
        <f>AD49+ROUNDUP(SUM(AD$4:AD$14)*Coefficients!$C$32/Coefficients!$C$22,0)*Coefficients!$C$21</f>
        <v>115.4</v>
      </c>
    </row>
    <row r="62" spans="2:30" x14ac:dyDescent="0.2">
      <c r="B62" s="299" t="s">
        <v>29</v>
      </c>
      <c r="C62" s="299" t="s">
        <v>33</v>
      </c>
      <c r="D62" s="300">
        <f t="shared" si="2"/>
        <v>193.2</v>
      </c>
      <c r="E62" s="36">
        <f t="shared" si="2"/>
        <v>193.2</v>
      </c>
      <c r="F62" s="36">
        <f t="shared" si="2"/>
        <v>193.2</v>
      </c>
      <c r="G62" s="36">
        <f>G50+ROUNDUP(SUM(G$4:G$14)*Coefficients!$C$32/Coefficients!$C$22,0)*Coefficients!$C$21</f>
        <v>194.8</v>
      </c>
      <c r="H62" s="36">
        <f>H50+ROUNDUP(SUM(H$4:H$14)*Coefficients!$C$32/Coefficients!$C$22,0)*Coefficients!$C$21</f>
        <v>194.8</v>
      </c>
      <c r="I62" s="36">
        <f>I50+ROUNDUP(SUM(I$4:I$14)*Coefficients!$C$32/Coefficients!$C$22,0)*Coefficients!$C$21</f>
        <v>194.8</v>
      </c>
      <c r="J62" s="36">
        <f>J50+ROUNDUP(SUM(J$4:J$14)*Coefficients!$C$32/Coefficients!$C$22,0)*Coefficients!$C$21</f>
        <v>194.8</v>
      </c>
      <c r="K62" s="36">
        <f>K50+ROUNDUP(SUM(K$4:K$14)*Coefficients!$C$32/Coefficients!$C$22,0)*Coefficients!$C$21</f>
        <v>194.8</v>
      </c>
      <c r="L62" s="36">
        <f>L50+ROUNDUP(SUM(L$4:L$14)*Coefficients!$C$32/Coefficients!$C$22,0)*Coefficients!$C$21</f>
        <v>194.8</v>
      </c>
      <c r="M62" s="36">
        <f>M50+ROUNDUP(SUM(M$4:M$14)*Coefficients!$C$32/Coefficients!$C$22,0)*Coefficients!$C$21</f>
        <v>194.8</v>
      </c>
      <c r="N62" s="36">
        <f>N50+ROUNDUP(SUM(N$4:N$14)*Coefficients!$C$32/Coefficients!$C$22,0)*Coefficients!$C$21</f>
        <v>194.8</v>
      </c>
      <c r="O62" s="36">
        <f>O50+ROUNDUP(SUM(O$4:O$14)*Coefficients!$C$32/Coefficients!$C$22,0)*Coefficients!$C$21</f>
        <v>194.8</v>
      </c>
      <c r="P62" s="36">
        <f>P50+ROUNDUP(SUM(P$4:P$14)*Coefficients!$C$32/Coefficients!$C$22,0)*Coefficients!$C$21</f>
        <v>194.8</v>
      </c>
      <c r="Q62" s="36">
        <f>Q50+ROUNDUP(SUM(Q$4:Q$14)*Coefficients!$C$32/Coefficients!$C$22,0)*Coefficients!$C$21</f>
        <v>194.8</v>
      </c>
      <c r="R62" s="36">
        <f>R50+ROUNDUP(SUM(R$4:R$14)*Coefficients!$C$32/Coefficients!$C$22,0)*Coefficients!$C$21</f>
        <v>194.8</v>
      </c>
      <c r="S62" s="36">
        <f>S50+ROUNDUP(SUM(S$4:S$14)*Coefficients!$C$32/Coefficients!$C$22,0)*Coefficients!$C$21</f>
        <v>194.8</v>
      </c>
      <c r="T62" s="36">
        <f>T50+ROUNDUP(SUM(T$4:T$14)*Coefficients!$C$32/Coefficients!$C$22,0)*Coefficients!$C$21</f>
        <v>194.8</v>
      </c>
      <c r="U62" s="36">
        <f>U50+ROUNDUP(SUM(U$4:U$14)*Coefficients!$C$32/Coefficients!$C$22,0)*Coefficients!$C$21</f>
        <v>194.8</v>
      </c>
      <c r="V62" s="36">
        <f>V50+ROUNDUP(SUM(V$4:V$14)*Coefficients!$C$32/Coefficients!$C$22,0)*Coefficients!$C$21</f>
        <v>194.8</v>
      </c>
      <c r="W62" s="36">
        <f>W50+ROUNDUP(SUM(W$4:W$14)*Coefficients!$C$32/Coefficients!$C$22,0)*Coefficients!$C$21</f>
        <v>194.8</v>
      </c>
      <c r="X62" s="36">
        <f>X50+ROUNDUP(SUM(X$4:X$14)*Coefficients!$C$32/Coefficients!$C$22,0)*Coefficients!$C$21</f>
        <v>194.8</v>
      </c>
      <c r="Y62" s="36">
        <f>Y50+ROUNDUP(SUM(Y$4:Y$14)*Coefficients!$C$32/Coefficients!$C$22,0)*Coefficients!$C$21</f>
        <v>194.8</v>
      </c>
      <c r="Z62" s="36">
        <f>Z50+ROUNDUP(SUM(Z$4:Z$14)*Coefficients!$C$32/Coefficients!$C$22,0)*Coefficients!$C$21</f>
        <v>194.8</v>
      </c>
      <c r="AA62" s="36">
        <f>AA50+ROUNDUP(SUM(AA$4:AA$14)*Coefficients!$C$32/Coefficients!$C$22,0)*Coefficients!$C$21</f>
        <v>194.8</v>
      </c>
      <c r="AB62" s="36">
        <f>AB50+ROUNDUP(SUM(AB$4:AB$14)*Coefficients!$C$32/Coefficients!$C$22,0)*Coefficients!$C$21</f>
        <v>194.8</v>
      </c>
      <c r="AC62" s="36">
        <f>AC50+ROUNDUP(SUM(AC$4:AC$14)*Coefficients!$C$32/Coefficients!$C$22,0)*Coefficients!$C$21</f>
        <v>194.8</v>
      </c>
      <c r="AD62" s="36">
        <f>AD50+ROUNDUP(SUM(AD$4:AD$14)*Coefficients!$C$32/Coefficients!$C$22,0)*Coefficients!$C$21</f>
        <v>194.8</v>
      </c>
    </row>
    <row r="63" spans="2:30" x14ac:dyDescent="0.2">
      <c r="B63" s="299" t="s">
        <v>29</v>
      </c>
      <c r="C63" s="299" t="s">
        <v>33</v>
      </c>
      <c r="D63" s="300">
        <f t="shared" si="2"/>
        <v>44.6</v>
      </c>
      <c r="E63" s="36">
        <f t="shared" si="2"/>
        <v>44.6</v>
      </c>
      <c r="F63" s="36">
        <f t="shared" si="2"/>
        <v>44.6</v>
      </c>
      <c r="G63" s="36">
        <f>G51+ROUNDUP(SUM(G$4:G$14)*Coefficients!$C$32/Coefficients!$C$22,0)*Coefficients!$C$21</f>
        <v>147.19999999999999</v>
      </c>
      <c r="H63" s="36">
        <f>H51+ROUNDUP(SUM(H$4:H$14)*Coefficients!$C$32/Coefficients!$C$22,0)*Coefficients!$C$21</f>
        <v>147.19999999999999</v>
      </c>
      <c r="I63" s="36">
        <f>I51+ROUNDUP(SUM(I$4:I$14)*Coefficients!$C$32/Coefficients!$C$22,0)*Coefficients!$C$21</f>
        <v>147.19999999999999</v>
      </c>
      <c r="J63" s="36">
        <f>J51+ROUNDUP(SUM(J$4:J$14)*Coefficients!$C$32/Coefficients!$C$22,0)*Coefficients!$C$21</f>
        <v>147.19999999999999</v>
      </c>
      <c r="K63" s="36">
        <f>K51+ROUNDUP(SUM(K$4:K$14)*Coefficients!$C$32/Coefficients!$C$22,0)*Coefficients!$C$21</f>
        <v>147.19999999999999</v>
      </c>
      <c r="L63" s="36">
        <f>L51+ROUNDUP(SUM(L$4:L$14)*Coefficients!$C$32/Coefficients!$C$22,0)*Coefficients!$C$21</f>
        <v>147.19999999999999</v>
      </c>
      <c r="M63" s="36">
        <f>M51+ROUNDUP(SUM(M$4:M$14)*Coefficients!$C$32/Coefficients!$C$22,0)*Coefficients!$C$21</f>
        <v>147.19999999999999</v>
      </c>
      <c r="N63" s="36">
        <f>N51+ROUNDUP(SUM(N$4:N$14)*Coefficients!$C$32/Coefficients!$C$22,0)*Coefficients!$C$21</f>
        <v>147.19999999999999</v>
      </c>
      <c r="O63" s="36">
        <f>O51+ROUNDUP(SUM(O$4:O$14)*Coefficients!$C$32/Coefficients!$C$22,0)*Coefficients!$C$21</f>
        <v>147.19999999999999</v>
      </c>
      <c r="P63" s="36">
        <f>P51+ROUNDUP(SUM(P$4:P$14)*Coefficients!$C$32/Coefficients!$C$22,0)*Coefficients!$C$21</f>
        <v>147.19999999999999</v>
      </c>
      <c r="Q63" s="36">
        <f>Q51+ROUNDUP(SUM(Q$4:Q$14)*Coefficients!$C$32/Coefficients!$C$22,0)*Coefficients!$C$21</f>
        <v>147.19999999999999</v>
      </c>
      <c r="R63" s="36">
        <f>R51+ROUNDUP(SUM(R$4:R$14)*Coefficients!$C$32/Coefficients!$C$22,0)*Coefficients!$C$21</f>
        <v>147.19999999999999</v>
      </c>
      <c r="S63" s="36">
        <f>S51+ROUNDUP(SUM(S$4:S$14)*Coefficients!$C$32/Coefficients!$C$22,0)*Coefficients!$C$21</f>
        <v>147.19999999999999</v>
      </c>
      <c r="T63" s="36">
        <f>T51+ROUNDUP(SUM(T$4:T$14)*Coefficients!$C$32/Coefficients!$C$22,0)*Coefficients!$C$21</f>
        <v>147.19999999999999</v>
      </c>
      <c r="U63" s="36">
        <f>U51+ROUNDUP(SUM(U$4:U$14)*Coefficients!$C$32/Coefficients!$C$22,0)*Coefficients!$C$21</f>
        <v>147.19999999999999</v>
      </c>
      <c r="V63" s="36">
        <f>V51+ROUNDUP(SUM(V$4:V$14)*Coefficients!$C$32/Coefficients!$C$22,0)*Coefficients!$C$21</f>
        <v>147.19999999999999</v>
      </c>
      <c r="W63" s="36">
        <f>W51+ROUNDUP(SUM(W$4:W$14)*Coefficients!$C$32/Coefficients!$C$22,0)*Coefficients!$C$21</f>
        <v>147.19999999999999</v>
      </c>
      <c r="X63" s="36">
        <f>X51+ROUNDUP(SUM(X$4:X$14)*Coefficients!$C$32/Coefficients!$C$22,0)*Coefficients!$C$21</f>
        <v>147.19999999999999</v>
      </c>
      <c r="Y63" s="36">
        <f>Y51+ROUNDUP(SUM(Y$4:Y$14)*Coefficients!$C$32/Coefficients!$C$22,0)*Coefficients!$C$21</f>
        <v>147.19999999999999</v>
      </c>
      <c r="Z63" s="36">
        <f>Z51+ROUNDUP(SUM(Z$4:Z$14)*Coefficients!$C$32/Coefficients!$C$22,0)*Coefficients!$C$21</f>
        <v>147.19999999999999</v>
      </c>
      <c r="AA63" s="36">
        <f>AA51+ROUNDUP(SUM(AA$4:AA$14)*Coefficients!$C$32/Coefficients!$C$22,0)*Coefficients!$C$21</f>
        <v>147.19999999999999</v>
      </c>
      <c r="AB63" s="36">
        <f>AB51+ROUNDUP(SUM(AB$4:AB$14)*Coefficients!$C$32/Coefficients!$C$22,0)*Coefficients!$C$21</f>
        <v>147.19999999999999</v>
      </c>
      <c r="AC63" s="36">
        <f>AC51+ROUNDUP(SUM(AC$4:AC$14)*Coefficients!$C$32/Coefficients!$C$22,0)*Coefficients!$C$21</f>
        <v>221.2</v>
      </c>
      <c r="AD63" s="36">
        <f>AD51+ROUNDUP(SUM(AD$4:AD$14)*Coefficients!$C$32/Coefficients!$C$22,0)*Coefficients!$C$21</f>
        <v>221.2</v>
      </c>
    </row>
    <row r="64" spans="2:30" x14ac:dyDescent="0.2">
      <c r="B64" s="299" t="s">
        <v>29</v>
      </c>
      <c r="C64" s="299" t="s">
        <v>33</v>
      </c>
      <c r="D64" s="300">
        <f t="shared" si="2"/>
        <v>48.6</v>
      </c>
      <c r="E64" s="36">
        <f t="shared" si="2"/>
        <v>48.6</v>
      </c>
      <c r="F64" s="36">
        <f t="shared" si="2"/>
        <v>48.6</v>
      </c>
      <c r="G64" s="36">
        <f>G52+ROUNDUP(SUM(G$4:G$14)*Coefficients!$C$32/Coefficients!$C$22,0)*Coefficients!$C$21</f>
        <v>157.19999999999999</v>
      </c>
      <c r="H64" s="36">
        <f>H52+ROUNDUP(SUM(H$4:H$14)*Coefficients!$C$32/Coefficients!$C$22,0)*Coefficients!$C$21</f>
        <v>157.19999999999999</v>
      </c>
      <c r="I64" s="36">
        <f>I52+ROUNDUP(SUM(I$4:I$14)*Coefficients!$C$32/Coefficients!$C$22,0)*Coefficients!$C$21</f>
        <v>157.19999999999999</v>
      </c>
      <c r="J64" s="36">
        <f>J52+ROUNDUP(SUM(J$4:J$14)*Coefficients!$C$32/Coefficients!$C$22,0)*Coefficients!$C$21</f>
        <v>157.19999999999999</v>
      </c>
      <c r="K64" s="36">
        <f>K52+ROUNDUP(SUM(K$4:K$14)*Coefficients!$C$32/Coefficients!$C$22,0)*Coefficients!$C$21</f>
        <v>157.19999999999999</v>
      </c>
      <c r="L64" s="36">
        <f>L52+ROUNDUP(SUM(L$4:L$14)*Coefficients!$C$32/Coefficients!$C$22,0)*Coefficients!$C$21</f>
        <v>157.19999999999999</v>
      </c>
      <c r="M64" s="36">
        <f>M52+ROUNDUP(SUM(M$4:M$14)*Coefficients!$C$32/Coefficients!$C$22,0)*Coefficients!$C$21</f>
        <v>157.19999999999999</v>
      </c>
      <c r="N64" s="36">
        <f>N52+ROUNDUP(SUM(N$4:N$14)*Coefficients!$C$32/Coefficients!$C$22,0)*Coefficients!$C$21</f>
        <v>157.19999999999999</v>
      </c>
      <c r="O64" s="36">
        <f>O52+ROUNDUP(SUM(O$4:O$14)*Coefficients!$C$32/Coefficients!$C$22,0)*Coefficients!$C$21</f>
        <v>157.19999999999999</v>
      </c>
      <c r="P64" s="36">
        <f>P52+ROUNDUP(SUM(P$4:P$14)*Coefficients!$C$32/Coefficients!$C$22,0)*Coefficients!$C$21</f>
        <v>157.19999999999999</v>
      </c>
      <c r="Q64" s="36">
        <f>Q52+ROUNDUP(SUM(Q$4:Q$14)*Coefficients!$C$32/Coefficients!$C$22,0)*Coefficients!$C$21</f>
        <v>157.19999999999999</v>
      </c>
      <c r="R64" s="36">
        <f>R52+ROUNDUP(SUM(R$4:R$14)*Coefficients!$C$32/Coefficients!$C$22,0)*Coefficients!$C$21</f>
        <v>157.19999999999999</v>
      </c>
      <c r="S64" s="36">
        <f>S52+ROUNDUP(SUM(S$4:S$14)*Coefficients!$C$32/Coefficients!$C$22,0)*Coefficients!$C$21</f>
        <v>157.19999999999999</v>
      </c>
      <c r="T64" s="36">
        <f>T52+ROUNDUP(SUM(T$4:T$14)*Coefficients!$C$32/Coefficients!$C$22,0)*Coefficients!$C$21</f>
        <v>157.19999999999999</v>
      </c>
      <c r="U64" s="36">
        <f>U52+ROUNDUP(SUM(U$4:U$14)*Coefficients!$C$32/Coefficients!$C$22,0)*Coefficients!$C$21</f>
        <v>157.19999999999999</v>
      </c>
      <c r="V64" s="36">
        <f>V52+ROUNDUP(SUM(V$4:V$14)*Coefficients!$C$32/Coefficients!$C$22,0)*Coefficients!$C$21</f>
        <v>157.19999999999999</v>
      </c>
      <c r="W64" s="36">
        <f>W52+ROUNDUP(SUM(W$4:W$14)*Coefficients!$C$32/Coefficients!$C$22,0)*Coefficients!$C$21</f>
        <v>157.19999999999999</v>
      </c>
      <c r="X64" s="36">
        <f>X52+ROUNDUP(SUM(X$4:X$14)*Coefficients!$C$32/Coefficients!$C$22,0)*Coefficients!$C$21</f>
        <v>157.19999999999999</v>
      </c>
      <c r="Y64" s="36">
        <f>Y52+ROUNDUP(SUM(Y$4:Y$14)*Coefficients!$C$32/Coefficients!$C$22,0)*Coefficients!$C$21</f>
        <v>157.19999999999999</v>
      </c>
      <c r="Z64" s="36">
        <f>Z52+ROUNDUP(SUM(Z$4:Z$14)*Coefficients!$C$32/Coefficients!$C$22,0)*Coefficients!$C$21</f>
        <v>157.19999999999999</v>
      </c>
      <c r="AA64" s="36">
        <f>AA52+ROUNDUP(SUM(AA$4:AA$14)*Coefficients!$C$32/Coefficients!$C$22,0)*Coefficients!$C$21</f>
        <v>157.19999999999999</v>
      </c>
      <c r="AB64" s="36">
        <f>AB52+ROUNDUP(SUM(AB$4:AB$14)*Coefficients!$C$32/Coefficients!$C$22,0)*Coefficients!$C$21</f>
        <v>157.19999999999999</v>
      </c>
      <c r="AC64" s="36">
        <f>AC52+ROUNDUP(SUM(AC$4:AC$14)*Coefficients!$C$32/Coefficients!$C$22,0)*Coefficients!$C$21</f>
        <v>157.19999999999999</v>
      </c>
      <c r="AD64" s="36">
        <f>AD52+ROUNDUP(SUM(AD$4:AD$14)*Coefficients!$C$32/Coefficients!$C$22,0)*Coefficients!$C$21</f>
        <v>157.19999999999999</v>
      </c>
    </row>
    <row r="65" spans="2:34" ht="17" thickBot="1" x14ac:dyDescent="0.25"/>
    <row r="66" spans="2:34" ht="17" thickBot="1" x14ac:dyDescent="0.25">
      <c r="B66" s="289" t="s">
        <v>1</v>
      </c>
      <c r="C66" s="92" t="s">
        <v>2</v>
      </c>
      <c r="D66" s="346" t="s">
        <v>121</v>
      </c>
      <c r="E66" s="347"/>
      <c r="F66" s="347"/>
      <c r="G66" s="348"/>
    </row>
    <row r="67" spans="2:34" x14ac:dyDescent="0.2">
      <c r="B67" s="349" t="s">
        <v>252</v>
      </c>
      <c r="C67" s="349"/>
      <c r="D67" s="310">
        <f>SUM(D55:D64)/Coefficients!$C$23</f>
        <v>485.68888888888887</v>
      </c>
      <c r="E67" s="199">
        <f>SUM(E55:E64)/Coefficients!$C$23</f>
        <v>501.24444444444441</v>
      </c>
      <c r="F67" s="199">
        <f>SUM(F55:F64)/Coefficients!$C$23</f>
        <v>501.24444444444441</v>
      </c>
      <c r="G67" s="199">
        <f>SUM(G55:G64)/Coefficients!$C$23</f>
        <v>513.06666666666661</v>
      </c>
      <c r="H67" s="199">
        <f>SUM(H55:H64)/Coefficients!$C$23</f>
        <v>513.06666666666661</v>
      </c>
      <c r="I67" s="199">
        <f>SUM(I55:I64)/Coefficients!$C$23</f>
        <v>525.86666666666667</v>
      </c>
      <c r="J67" s="199">
        <f>SUM(J55:J64)/Coefficients!$C$23</f>
        <v>525.86666666666667</v>
      </c>
      <c r="K67" s="199">
        <f>SUM(K55:K64)/Coefficients!$C$23</f>
        <v>525.86666666666667</v>
      </c>
      <c r="L67" s="199">
        <f>SUM(L55:L64)/Coefficients!$C$23</f>
        <v>525.86666666666667</v>
      </c>
      <c r="M67" s="199">
        <f>SUM(M55:M64)/Coefficients!$C$23</f>
        <v>525.86666666666667</v>
      </c>
      <c r="N67" s="199">
        <f>SUM(N55:N64)/Coefficients!$C$23</f>
        <v>525.86666666666667</v>
      </c>
      <c r="O67" s="199">
        <f>SUM(O55:O64)/Coefficients!$C$23</f>
        <v>537.55555555555554</v>
      </c>
      <c r="P67" s="199">
        <f>SUM(P55:P64)/Coefficients!$C$23</f>
        <v>537.55555555555554</v>
      </c>
      <c r="Q67" s="199">
        <f>SUM(Q55:Q64)/Coefficients!$C$23</f>
        <v>547.11111111111109</v>
      </c>
      <c r="R67" s="199">
        <f>SUM(R55:R64)/Coefficients!$C$23</f>
        <v>547.11111111111109</v>
      </c>
      <c r="S67" s="199">
        <f>SUM(S55:S64)/Coefficients!$C$23</f>
        <v>547.11111111111109</v>
      </c>
      <c r="T67" s="199">
        <f>SUM(T55:T64)/Coefficients!$C$23</f>
        <v>547.11111111111109</v>
      </c>
      <c r="U67" s="199">
        <f>SUM(U55:U64)/Coefficients!$C$23</f>
        <v>547.11111111111109</v>
      </c>
      <c r="V67" s="199">
        <f>SUM(V55:V64)/Coefficients!$C$23</f>
        <v>547.11111111111109</v>
      </c>
      <c r="W67" s="199">
        <f>SUM(W55:W64)/Coefficients!$C$23</f>
        <v>547.11111111111109</v>
      </c>
      <c r="X67" s="199">
        <f>SUM(X55:X64)/Coefficients!$C$23</f>
        <v>547.11111111111109</v>
      </c>
      <c r="Y67" s="199">
        <f>SUM(Y55:Y64)/Coefficients!$C$23</f>
        <v>547.11111111111109</v>
      </c>
      <c r="Z67" s="199">
        <f>SUM(Z55:Z64)/Coefficients!$C$23</f>
        <v>547.11111111111109</v>
      </c>
      <c r="AA67" s="199">
        <f>SUM(AA55:AA64)/Coefficients!$C$23</f>
        <v>547.11111111111109</v>
      </c>
      <c r="AB67" s="199">
        <f>SUM(AB55:AB64)/Coefficients!$C$23</f>
        <v>547.11111111111109</v>
      </c>
      <c r="AC67" s="199">
        <f>SUM(AC55:AC64)/Coefficients!$C$23</f>
        <v>563.55555555555554</v>
      </c>
      <c r="AD67" s="199">
        <f>SUM(AD55:AD64)/Coefficients!$C$23</f>
        <v>563.55555555555554</v>
      </c>
    </row>
    <row r="68" spans="2:34" ht="17" thickBot="1" x14ac:dyDescent="0.25"/>
    <row r="69" spans="2:34" ht="17" thickBot="1" x14ac:dyDescent="0.25">
      <c r="B69" s="289" t="s">
        <v>1</v>
      </c>
      <c r="C69" s="92" t="s">
        <v>2</v>
      </c>
      <c r="D69" s="346" t="s">
        <v>122</v>
      </c>
      <c r="E69" s="347"/>
      <c r="F69" s="348"/>
    </row>
    <row r="70" spans="2:34" x14ac:dyDescent="0.2">
      <c r="B70" s="350" t="s">
        <v>252</v>
      </c>
      <c r="C70" s="350"/>
      <c r="D70" s="311">
        <f>SUM(D55:D64)/Coefficients!$C$24</f>
        <v>624.4571428571428</v>
      </c>
      <c r="E70" s="236">
        <f>SUM(E55:E64)/Coefficients!$C$24</f>
        <v>644.4571428571428</v>
      </c>
      <c r="F70" s="236">
        <f>SUM(F55:F64)/Coefficients!$C$24</f>
        <v>644.4571428571428</v>
      </c>
      <c r="G70" s="236">
        <f>SUM(G55:G64)/Coefficients!$C$24</f>
        <v>659.65714285714273</v>
      </c>
      <c r="H70" s="236">
        <f>SUM(H55:H64)/Coefficients!$C$24</f>
        <v>659.65714285714273</v>
      </c>
      <c r="I70" s="236">
        <f>SUM(I55:I64)/Coefficients!$C$24</f>
        <v>676.11428571428576</v>
      </c>
      <c r="J70" s="236">
        <f>SUM(J55:J64)/Coefficients!$C$24</f>
        <v>676.11428571428576</v>
      </c>
      <c r="K70" s="236">
        <f>SUM(K55:K64)/Coefficients!$C$24</f>
        <v>676.11428571428576</v>
      </c>
      <c r="L70" s="236">
        <f>SUM(L55:L64)/Coefficients!$C$24</f>
        <v>676.11428571428576</v>
      </c>
      <c r="M70" s="236">
        <f>SUM(M55:M64)/Coefficients!$C$24</f>
        <v>676.11428571428576</v>
      </c>
      <c r="N70" s="236">
        <f>SUM(N55:N64)/Coefficients!$C$24</f>
        <v>676.11428571428576</v>
      </c>
      <c r="O70" s="236">
        <f>SUM(O55:O64)/Coefficients!$C$24</f>
        <v>691.14285714285711</v>
      </c>
      <c r="P70" s="236">
        <f>SUM(P55:P64)/Coefficients!$C$24</f>
        <v>691.14285714285711</v>
      </c>
      <c r="Q70" s="236">
        <f>SUM(Q55:Q64)/Coefficients!$C$24</f>
        <v>703.42857142857144</v>
      </c>
      <c r="R70" s="236">
        <f>SUM(R55:R64)/Coefficients!$C$24</f>
        <v>703.42857142857144</v>
      </c>
      <c r="S70" s="236">
        <f>SUM(S55:S64)/Coefficients!$C$24</f>
        <v>703.42857142857144</v>
      </c>
      <c r="T70" s="236">
        <f>SUM(T55:T64)/Coefficients!$C$24</f>
        <v>703.42857142857144</v>
      </c>
      <c r="U70" s="236">
        <f>SUM(U55:U64)/Coefficients!$C$24</f>
        <v>703.42857142857144</v>
      </c>
      <c r="V70" s="236">
        <f>SUM(V55:V64)/Coefficients!$C$24</f>
        <v>703.42857142857144</v>
      </c>
      <c r="W70" s="236">
        <f>SUM(W55:W64)/Coefficients!$C$24</f>
        <v>703.42857142857144</v>
      </c>
      <c r="X70" s="236">
        <f>SUM(X55:X64)/Coefficients!$C$24</f>
        <v>703.42857142857144</v>
      </c>
      <c r="Y70" s="236">
        <f>SUM(Y55:Y64)/Coefficients!$C$24</f>
        <v>703.42857142857144</v>
      </c>
      <c r="Z70" s="236">
        <f>SUM(Z55:Z64)/Coefficients!$C$24</f>
        <v>703.42857142857144</v>
      </c>
      <c r="AA70" s="236">
        <f>SUM(AA55:AA64)/Coefficients!$C$24</f>
        <v>703.42857142857144</v>
      </c>
      <c r="AB70" s="236">
        <f>SUM(AB55:AB64)/Coefficients!$C$24</f>
        <v>703.42857142857144</v>
      </c>
      <c r="AC70" s="236">
        <f>SUM(AC55:AC64)/Coefficients!$C$24</f>
        <v>724.57142857142856</v>
      </c>
      <c r="AD70" s="236">
        <f>SUM(AD55:AD64)/Coefficients!$C$24</f>
        <v>724.57142857142856</v>
      </c>
    </row>
    <row r="71" spans="2:34" ht="17" thickBot="1" x14ac:dyDescent="0.25"/>
    <row r="72" spans="2:34" ht="17" thickBot="1" x14ac:dyDescent="0.25">
      <c r="B72" s="289" t="s">
        <v>1</v>
      </c>
      <c r="C72" s="92" t="s">
        <v>2</v>
      </c>
      <c r="D72" s="346" t="s">
        <v>192</v>
      </c>
      <c r="E72" s="347"/>
      <c r="F72" s="347"/>
      <c r="G72" s="348"/>
    </row>
    <row r="73" spans="2:34" x14ac:dyDescent="0.2">
      <c r="B73" s="349" t="s">
        <v>252</v>
      </c>
      <c r="C73" s="349"/>
      <c r="D73" s="155">
        <f>D67*Coefficients!$C$83*Coefficients!$C$10</f>
        <v>5020.0947978965232</v>
      </c>
      <c r="E73" s="67">
        <f>E67*Coefficients!$C$83*Coefficients!$C$10</f>
        <v>5180.8774826754197</v>
      </c>
      <c r="F73" s="67">
        <f>F67*Coefficients!$C$83*Coefficients!$C$10</f>
        <v>5180.8774826754197</v>
      </c>
      <c r="G73" s="67">
        <f>G67*Coefficients!$C$83*Coefficients!$C$10</f>
        <v>5303.0723231073825</v>
      </c>
      <c r="H73" s="67">
        <f>H67*Coefficients!$C$83*Coefficients!$C$10</f>
        <v>5303.0723231073825</v>
      </c>
      <c r="I73" s="67">
        <f>I67*Coefficients!$C$83*Coefficients!$C$10</f>
        <v>5435.3735037254464</v>
      </c>
      <c r="J73" s="67">
        <f>J67*Coefficients!$C$83*Coefficients!$C$10</f>
        <v>5435.3735037254464</v>
      </c>
      <c r="K73" s="67">
        <f>K67*Coefficients!$C$83*Coefficients!$C$10</f>
        <v>5435.3735037254464</v>
      </c>
      <c r="L73" s="67">
        <f>L67*Coefficients!$C$83*Coefficients!$C$10</f>
        <v>5435.3735037254464</v>
      </c>
      <c r="M73" s="67">
        <f>M67*Coefficients!$C$83*Coefficients!$C$10</f>
        <v>5435.3735037254464</v>
      </c>
      <c r="N73" s="67">
        <f>N67*Coefficients!$C$83*Coefficients!$C$10</f>
        <v>5435.3735037254464</v>
      </c>
      <c r="O73" s="67">
        <f>O67*Coefficients!$C$83*Coefficients!$C$10</f>
        <v>5556.1902068593026</v>
      </c>
      <c r="P73" s="67">
        <f>P67*Coefficients!$C$83*Coefficients!$C$10</f>
        <v>5556.1902068593026</v>
      </c>
      <c r="Q73" s="67">
        <f>Q67*Coefficients!$C$83*Coefficients!$C$10</f>
        <v>5654.9567132234815</v>
      </c>
      <c r="R73" s="67">
        <f>R67*Coefficients!$C$83*Coefficients!$C$10</f>
        <v>5654.9567132234815</v>
      </c>
      <c r="S73" s="67">
        <f>S67*Coefficients!$C$83*Coefficients!$C$10</f>
        <v>5654.9567132234815</v>
      </c>
      <c r="T73" s="67">
        <f>T67*Coefficients!$C$83*Coefficients!$C$10</f>
        <v>5654.9567132234815</v>
      </c>
      <c r="U73" s="67">
        <f>U67*Coefficients!$C$83*Coefficients!$C$10</f>
        <v>5654.9567132234815</v>
      </c>
      <c r="V73" s="67">
        <f>V67*Coefficients!$C$83*Coefficients!$C$10</f>
        <v>5654.9567132234815</v>
      </c>
      <c r="W73" s="67">
        <f>W67*Coefficients!$C$83*Coefficients!$C$10</f>
        <v>5654.9567132234815</v>
      </c>
      <c r="X73" s="67">
        <f>X67*Coefficients!$C$83*Coefficients!$C$10</f>
        <v>5654.9567132234815</v>
      </c>
      <c r="Y73" s="67">
        <f>Y67*Coefficients!$C$83*Coefficients!$C$10</f>
        <v>5654.9567132234815</v>
      </c>
      <c r="Z73" s="67">
        <f>Z67*Coefficients!$C$83*Coefficients!$C$10</f>
        <v>5654.9567132234815</v>
      </c>
      <c r="AA73" s="67">
        <f>AA67*Coefficients!$C$83*Coefficients!$C$10</f>
        <v>5654.9567132234815</v>
      </c>
      <c r="AB73" s="67">
        <f>AB67*Coefficients!$C$83*Coefficients!$C$10</f>
        <v>5654.9567132234815</v>
      </c>
      <c r="AC73" s="67">
        <f>AC67*Coefficients!$C$83*Coefficients!$C$10</f>
        <v>5824.9269799897438</v>
      </c>
      <c r="AD73" s="67">
        <f>AD67*Coefficients!$C$83*Coefficients!$C$10</f>
        <v>5824.9269799897438</v>
      </c>
    </row>
    <row r="74" spans="2:34" ht="17" thickBot="1" x14ac:dyDescent="0.25"/>
    <row r="75" spans="2:34" ht="17" thickBot="1" x14ac:dyDescent="0.25">
      <c r="B75" s="289" t="s">
        <v>1</v>
      </c>
      <c r="C75" s="92" t="s">
        <v>2</v>
      </c>
      <c r="D75" s="346" t="s">
        <v>193</v>
      </c>
      <c r="E75" s="347"/>
      <c r="F75" s="347"/>
      <c r="G75" s="348"/>
    </row>
    <row r="76" spans="2:34" x14ac:dyDescent="0.2">
      <c r="B76" s="350" t="s">
        <v>252</v>
      </c>
      <c r="C76" s="350"/>
      <c r="D76" s="146">
        <f>D70*Coefficients!$C$84*Coefficients!$C$10</f>
        <v>4240.4839575051492</v>
      </c>
      <c r="E76" s="70">
        <f>E70*Coefficients!$C$84*Coefficients!$C$10</f>
        <v>4376.2974078278803</v>
      </c>
      <c r="F76" s="70">
        <f>F70*Coefficients!$C$84*Coefficients!$C$10</f>
        <v>4376.2974078278803</v>
      </c>
      <c r="G76" s="70">
        <f>G70*Coefficients!$C$84*Coefficients!$C$10</f>
        <v>4479.5156300731551</v>
      </c>
      <c r="H76" s="70">
        <f>H70*Coefficients!$C$84*Coefficients!$C$10</f>
        <v>4479.5156300731551</v>
      </c>
      <c r="I76" s="70">
        <f>I70*Coefficients!$C$84*Coefficients!$C$10</f>
        <v>4591.2706977672897</v>
      </c>
      <c r="J76" s="70">
        <f>J70*Coefficients!$C$84*Coefficients!$C$10</f>
        <v>4591.2706977672897</v>
      </c>
      <c r="K76" s="70">
        <f>K70*Coefficients!$C$84*Coefficients!$C$10</f>
        <v>4591.2706977672897</v>
      </c>
      <c r="L76" s="70">
        <f>L70*Coefficients!$C$84*Coefficients!$C$10</f>
        <v>4591.2706977672897</v>
      </c>
      <c r="M76" s="70">
        <f>M70*Coefficients!$C$84*Coefficients!$C$10</f>
        <v>4591.2706977672897</v>
      </c>
      <c r="N76" s="70">
        <f>N70*Coefficients!$C$84*Coefficients!$C$10</f>
        <v>4591.2706977672897</v>
      </c>
      <c r="O76" s="70">
        <f>O70*Coefficients!$C$84*Coefficients!$C$10</f>
        <v>4693.3248047240841</v>
      </c>
      <c r="P76" s="70">
        <f>P70*Coefficients!$C$84*Coefficients!$C$10</f>
        <v>4693.3248047240841</v>
      </c>
      <c r="Q76" s="70">
        <f>Q70*Coefficients!$C$84*Coefficients!$C$10</f>
        <v>4776.7530670651895</v>
      </c>
      <c r="R76" s="70">
        <f>R70*Coefficients!$C$84*Coefficients!$C$10</f>
        <v>4776.7530670651895</v>
      </c>
      <c r="S76" s="70">
        <f>S70*Coefficients!$C$84*Coefficients!$C$10</f>
        <v>4776.7530670651895</v>
      </c>
      <c r="T76" s="70">
        <f>T70*Coefficients!$C$84*Coefficients!$C$10</f>
        <v>4776.7530670651895</v>
      </c>
      <c r="U76" s="70">
        <f>U70*Coefficients!$C$84*Coefficients!$C$10</f>
        <v>4776.7530670651895</v>
      </c>
      <c r="V76" s="70">
        <f>V70*Coefficients!$C$84*Coefficients!$C$10</f>
        <v>4776.7530670651895</v>
      </c>
      <c r="W76" s="70">
        <f>W70*Coefficients!$C$84*Coefficients!$C$10</f>
        <v>4776.7530670651895</v>
      </c>
      <c r="X76" s="70">
        <f>X70*Coefficients!$C$84*Coefficients!$C$10</f>
        <v>4776.7530670651895</v>
      </c>
      <c r="Y76" s="70">
        <f>Y70*Coefficients!$C$84*Coefficients!$C$10</f>
        <v>4776.7530670651895</v>
      </c>
      <c r="Z76" s="70">
        <f>Z70*Coefficients!$C$84*Coefficients!$C$10</f>
        <v>4776.7530670651895</v>
      </c>
      <c r="AA76" s="70">
        <f>AA70*Coefficients!$C$84*Coefficients!$C$10</f>
        <v>4776.7530670651895</v>
      </c>
      <c r="AB76" s="70">
        <f>AB70*Coefficients!$C$84*Coefficients!$C$10</f>
        <v>4776.7530670651895</v>
      </c>
      <c r="AC76" s="70">
        <f>AC70*Coefficients!$C$84*Coefficients!$C$10</f>
        <v>4920.3272859777908</v>
      </c>
      <c r="AD76" s="70">
        <f>AD70*Coefficients!$C$84*Coefficients!$C$10</f>
        <v>4920.3272859777908</v>
      </c>
    </row>
    <row r="77" spans="2:34" ht="17" thickBot="1" x14ac:dyDescent="0.25"/>
    <row r="78" spans="2:34" ht="17" thickBot="1" x14ac:dyDescent="0.25">
      <c r="B78" s="289" t="s">
        <v>1</v>
      </c>
      <c r="C78" s="92" t="s">
        <v>2</v>
      </c>
      <c r="D78" s="346" t="s">
        <v>194</v>
      </c>
      <c r="E78" s="347"/>
      <c r="F78" s="347"/>
      <c r="G78" s="348"/>
      <c r="AF78" s="222" t="s">
        <v>217</v>
      </c>
      <c r="AG78" s="89" t="s">
        <v>218</v>
      </c>
    </row>
    <row r="79" spans="2:34" x14ac:dyDescent="0.2">
      <c r="B79" s="349" t="s">
        <v>252</v>
      </c>
      <c r="C79" s="349"/>
      <c r="D79" s="155">
        <f>D73*Coefficients!$C$6</f>
        <v>1832334.6012322309</v>
      </c>
      <c r="E79" s="67">
        <f>E73*Coefficients!$C$6</f>
        <v>1891020.2811765282</v>
      </c>
      <c r="F79" s="67">
        <f>F73*Coefficients!$C$6</f>
        <v>1891020.2811765282</v>
      </c>
      <c r="G79" s="67">
        <f>G73*Coefficients!$C$6</f>
        <v>1935621.3979341947</v>
      </c>
      <c r="H79" s="67">
        <f>H73*Coefficients!$C$6</f>
        <v>1935621.3979341947</v>
      </c>
      <c r="I79" s="67">
        <f>I73*Coefficients!$C$6</f>
        <v>1983911.3288597879</v>
      </c>
      <c r="J79" s="67">
        <f>J73*Coefficients!$C$6</f>
        <v>1983911.3288597879</v>
      </c>
      <c r="K79" s="67">
        <f>K73*Coefficients!$C$6</f>
        <v>1983911.3288597879</v>
      </c>
      <c r="L79" s="67">
        <f>L73*Coefficients!$C$6</f>
        <v>1983911.3288597879</v>
      </c>
      <c r="M79" s="67">
        <f>M73*Coefficients!$C$6</f>
        <v>1983911.3288597879</v>
      </c>
      <c r="N79" s="67">
        <f>N73*Coefficients!$C$6</f>
        <v>1983911.3288597879</v>
      </c>
      <c r="O79" s="67">
        <f>O73*Coefficients!$C$6</f>
        <v>2028009.4255036456</v>
      </c>
      <c r="P79" s="67">
        <f>P73*Coefficients!$C$6</f>
        <v>2028009.4255036456</v>
      </c>
      <c r="Q79" s="67">
        <f>Q73*Coefficients!$C$6</f>
        <v>2064059.2003265708</v>
      </c>
      <c r="R79" s="67">
        <f>R73*Coefficients!$C$6</f>
        <v>2064059.2003265708</v>
      </c>
      <c r="S79" s="67">
        <f>S73*Coefficients!$C$6</f>
        <v>2064059.2003265708</v>
      </c>
      <c r="T79" s="67">
        <f>T73*Coefficients!$C$6</f>
        <v>2064059.2003265708</v>
      </c>
      <c r="U79" s="67">
        <f>U73*Coefficients!$C$6</f>
        <v>2064059.2003265708</v>
      </c>
      <c r="V79" s="67">
        <f>V73*Coefficients!$C$6</f>
        <v>2064059.2003265708</v>
      </c>
      <c r="W79" s="67">
        <f>W73*Coefficients!$C$6</f>
        <v>2064059.2003265708</v>
      </c>
      <c r="X79" s="67">
        <f>X73*Coefficients!$C$6</f>
        <v>2064059.2003265708</v>
      </c>
      <c r="Y79" s="67">
        <f>Y73*Coefficients!$C$6</f>
        <v>2064059.2003265708</v>
      </c>
      <c r="Z79" s="67">
        <f>Z73*Coefficients!$C$6</f>
        <v>2064059.2003265708</v>
      </c>
      <c r="AA79" s="67">
        <f>AA73*Coefficients!$C$6</f>
        <v>2064059.2003265708</v>
      </c>
      <c r="AB79" s="67">
        <f>AB73*Coefficients!$C$6</f>
        <v>2064059.2003265708</v>
      </c>
      <c r="AC79" s="67">
        <f>AC73*Coefficients!$C$6</f>
        <v>2126098.3476962564</v>
      </c>
      <c r="AD79" s="67">
        <f>AD73*Coefficients!$C$6</f>
        <v>2126098.3476962564</v>
      </c>
      <c r="AF79" s="67">
        <f>SUM(E79:J79)/1000</f>
        <v>11621.106015941021</v>
      </c>
      <c r="AG79" s="67">
        <f>SUM(E79:AD79)/1000</f>
        <v>52633.677281698816</v>
      </c>
      <c r="AH79" t="s">
        <v>206</v>
      </c>
    </row>
    <row r="80" spans="2:34" ht="17" thickBot="1" x14ac:dyDescent="0.25"/>
    <row r="81" spans="2:34" ht="17" thickBot="1" x14ac:dyDescent="0.25">
      <c r="B81" s="289" t="s">
        <v>1</v>
      </c>
      <c r="C81" s="92" t="s">
        <v>2</v>
      </c>
      <c r="D81" s="346" t="s">
        <v>195</v>
      </c>
      <c r="E81" s="347"/>
      <c r="F81" s="347"/>
      <c r="G81" s="348"/>
    </row>
    <row r="82" spans="2:34" x14ac:dyDescent="0.2">
      <c r="B82" s="350" t="s">
        <v>252</v>
      </c>
      <c r="C82" s="350"/>
      <c r="D82" s="146">
        <f>D76*Coefficients!$C$6</f>
        <v>1547776.6444893794</v>
      </c>
      <c r="E82" s="70">
        <f>E76*Coefficients!$C$6</f>
        <v>1597348.5538571763</v>
      </c>
      <c r="F82" s="70">
        <f>F76*Coefficients!$C$6</f>
        <v>1597348.5538571763</v>
      </c>
      <c r="G82" s="70">
        <f>G76*Coefficients!$C$6</f>
        <v>1635023.2049767016</v>
      </c>
      <c r="H82" s="70">
        <f>H76*Coefficients!$C$6</f>
        <v>1635023.2049767016</v>
      </c>
      <c r="I82" s="70">
        <f>I76*Coefficients!$C$6</f>
        <v>1675813.8046850606</v>
      </c>
      <c r="J82" s="70">
        <f>J76*Coefficients!$C$6</f>
        <v>1675813.8046850606</v>
      </c>
      <c r="K82" s="70">
        <f>K76*Coefficients!$C$6</f>
        <v>1675813.8046850606</v>
      </c>
      <c r="L82" s="70">
        <f>L76*Coefficients!$C$6</f>
        <v>1675813.8046850606</v>
      </c>
      <c r="M82" s="70">
        <f>M76*Coefficients!$C$6</f>
        <v>1675813.8046850606</v>
      </c>
      <c r="N82" s="70">
        <f>N76*Coefficients!$C$6</f>
        <v>1675813.8046850606</v>
      </c>
      <c r="O82" s="70">
        <f>O76*Coefficients!$C$6</f>
        <v>1713063.5537242906</v>
      </c>
      <c r="P82" s="70">
        <f>P76*Coefficients!$C$6</f>
        <v>1713063.5537242906</v>
      </c>
      <c r="Q82" s="70">
        <f>Q76*Coefficients!$C$6</f>
        <v>1743514.8694787943</v>
      </c>
      <c r="R82" s="70">
        <f>R76*Coefficients!$C$6</f>
        <v>1743514.8694787943</v>
      </c>
      <c r="S82" s="70">
        <f>S76*Coefficients!$C$6</f>
        <v>1743514.8694787943</v>
      </c>
      <c r="T82" s="70">
        <f>T76*Coefficients!$C$6</f>
        <v>1743514.8694787943</v>
      </c>
      <c r="U82" s="70">
        <f>U76*Coefficients!$C$6</f>
        <v>1743514.8694787943</v>
      </c>
      <c r="V82" s="70">
        <f>V76*Coefficients!$C$6</f>
        <v>1743514.8694787943</v>
      </c>
      <c r="W82" s="70">
        <f>W76*Coefficients!$C$6</f>
        <v>1743514.8694787943</v>
      </c>
      <c r="X82" s="70">
        <f>X76*Coefficients!$C$6</f>
        <v>1743514.8694787943</v>
      </c>
      <c r="Y82" s="70">
        <f>Y76*Coefficients!$C$6</f>
        <v>1743514.8694787943</v>
      </c>
      <c r="Z82" s="70">
        <f>Z76*Coefficients!$C$6</f>
        <v>1743514.8694787943</v>
      </c>
      <c r="AA82" s="70">
        <f>AA76*Coefficients!$C$6</f>
        <v>1743514.8694787943</v>
      </c>
      <c r="AB82" s="70">
        <f>AB76*Coefficients!$C$6</f>
        <v>1743514.8694787943</v>
      </c>
      <c r="AC82" s="70">
        <f>AC76*Coefficients!$C$6</f>
        <v>1795919.4593818937</v>
      </c>
      <c r="AD82" s="70">
        <f>AD76*Coefficients!$C$6</f>
        <v>1795919.4593818937</v>
      </c>
      <c r="AF82" s="70">
        <f>SUM(E82:J82)/1000</f>
        <v>9816.3711270378772</v>
      </c>
      <c r="AG82" s="70">
        <f>SUM(E82:AD82)/1000</f>
        <v>44459.770805736014</v>
      </c>
      <c r="AH82" t="s">
        <v>206</v>
      </c>
    </row>
    <row r="85" spans="2:34" ht="17" thickBot="1" x14ac:dyDescent="0.25"/>
    <row r="86" spans="2:34" ht="17" thickBot="1" x14ac:dyDescent="0.25">
      <c r="B86" s="351" t="s">
        <v>360</v>
      </c>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3"/>
    </row>
    <row r="87" spans="2:34" ht="17" thickBot="1" x14ac:dyDescent="0.25"/>
    <row r="88" spans="2:34" ht="17" thickBot="1" x14ac:dyDescent="0.25">
      <c r="B88" s="332" t="s">
        <v>273</v>
      </c>
      <c r="C88" s="334"/>
      <c r="AF88" s="42"/>
      <c r="AG88" s="42"/>
    </row>
    <row r="89" spans="2:34" x14ac:dyDescent="0.2">
      <c r="B89" s="355" t="s">
        <v>359</v>
      </c>
      <c r="C89" s="66" t="s">
        <v>244</v>
      </c>
      <c r="D89" s="310">
        <f>SUM(D$30:D$40)*Coefficients!$C86*Coefficients!$C$6</f>
        <v>6995.2325873559112</v>
      </c>
      <c r="E89" s="199">
        <f>SUM(E$30:E$40)*Coefficients!$C86*Coefficients!$C$6</f>
        <v>7211.3635377067731</v>
      </c>
      <c r="F89" s="199">
        <f>SUM(F$30:F$40)*Coefficients!$C86*Coefficients!$C$6</f>
        <v>7211.3635377067731</v>
      </c>
      <c r="G89" s="199">
        <f>SUM(G$30:G$40)*Coefficients!$C86*Coefficients!$C$6</f>
        <v>7548.5278202541167</v>
      </c>
      <c r="H89" s="199">
        <f>SUM(H$30:H$40)*Coefficients!$C86*Coefficients!$C$6</f>
        <v>7548.5278202541167</v>
      </c>
      <c r="I89" s="199">
        <f>SUM(I$30:I$40)*Coefficients!$C86*Coefficients!$C$6</f>
        <v>7809.1199946771585</v>
      </c>
      <c r="J89" s="199">
        <f>SUM(J$30:J$40)*Coefficients!$C86*Coefficients!$C$6</f>
        <v>7809.1199946771585</v>
      </c>
      <c r="K89" s="199">
        <f>SUM(K$30:K$40)*Coefficients!$C86*Coefficients!$C$6</f>
        <v>7809.1199946771585</v>
      </c>
      <c r="L89" s="199">
        <f>SUM(L$30:L$40)*Coefficients!$C86*Coefficients!$C$6</f>
        <v>7809.1199946771585</v>
      </c>
      <c r="M89" s="199">
        <f>SUM(M$30:M$40)*Coefficients!$C86*Coefficients!$C$6</f>
        <v>7932.6233948776508</v>
      </c>
      <c r="N89" s="199">
        <f>SUM(N$30:N$40)*Coefficients!$C86*Coefficients!$C$6</f>
        <v>7932.6233948776508</v>
      </c>
      <c r="O89" s="199">
        <f>SUM(O$30:O$40)*Coefficients!$C86*Coefficients!$C$6</f>
        <v>8148.7543452285145</v>
      </c>
      <c r="P89" s="199">
        <f>SUM(P$30:P$40)*Coefficients!$C86*Coefficients!$C$6</f>
        <v>8148.7543452285145</v>
      </c>
      <c r="Q89" s="199">
        <f>SUM(Q$30:Q$40)*Coefficients!$C86*Coefficients!$C$6</f>
        <v>8485.9186277758599</v>
      </c>
      <c r="R89" s="199">
        <f>SUM(R$30:R$40)*Coefficients!$C86*Coefficients!$C$6</f>
        <v>8485.9186277758599</v>
      </c>
      <c r="S89" s="199">
        <f>SUM(S$30:S$40)*Coefficients!$C86*Coefficients!$C$6</f>
        <v>8485.9186277758599</v>
      </c>
      <c r="T89" s="199">
        <f>SUM(T$30:T$40)*Coefficients!$C86*Coefficients!$C$6</f>
        <v>8485.9186277758599</v>
      </c>
      <c r="U89" s="199">
        <f>SUM(U$30:U$40)*Coefficients!$C86*Coefficients!$C$6</f>
        <v>8485.9186277758599</v>
      </c>
      <c r="V89" s="199">
        <f>SUM(V$30:V$40)*Coefficients!$C86*Coefficients!$C$6</f>
        <v>8485.9186277758599</v>
      </c>
      <c r="W89" s="199">
        <f>SUM(W$30:W$40)*Coefficients!$C86*Coefficients!$C$6</f>
        <v>8485.9186277758599</v>
      </c>
      <c r="X89" s="199">
        <f>SUM(X$30:X$40)*Coefficients!$C86*Coefficients!$C$6</f>
        <v>8485.9186277758599</v>
      </c>
      <c r="Y89" s="199">
        <f>SUM(Y$30:Y$40)*Coefficients!$C86*Coefficients!$C$6</f>
        <v>8485.9186277758599</v>
      </c>
      <c r="Z89" s="199">
        <f>SUM(Z$30:Z$40)*Coefficients!$C86*Coefficients!$C$6</f>
        <v>8485.9186277758599</v>
      </c>
      <c r="AA89" s="199">
        <f>SUM(AA$30:AA$40)*Coefficients!$C86*Coefficients!$C$6</f>
        <v>8485.9186277758599</v>
      </c>
      <c r="AB89" s="199">
        <f>SUM(AB$30:AB$40)*Coefficients!$C86*Coefficients!$C$6</f>
        <v>8485.9186277758599</v>
      </c>
      <c r="AC89" s="199">
        <f>SUM(AC$30:AC$40)*Coefficients!$C86*Coefficients!$C$6</f>
        <v>8623.6249189994087</v>
      </c>
      <c r="AD89" s="199">
        <f>SUM(AD$30:AD$40)*Coefficients!$C86*Coefficients!$C$6</f>
        <v>8623.6249189994087</v>
      </c>
      <c r="AE89" s="291"/>
      <c r="AF89" s="67">
        <f>SUM(E89:J89)/2000*Coefficients!$C$10</f>
        <v>20474.268563942947</v>
      </c>
      <c r="AG89" s="67">
        <f>SUM(F89:K89)/2000*Coefficients!$C$10</f>
        <v>20745.406409651285</v>
      </c>
      <c r="AH89" t="s">
        <v>167</v>
      </c>
    </row>
    <row r="90" spans="2:34" x14ac:dyDescent="0.2">
      <c r="B90" s="355"/>
      <c r="C90" s="66" t="s">
        <v>245</v>
      </c>
      <c r="D90" s="310">
        <f>SUM(D$30:D$40)*Coefficients!$C87*Coefficients!$C$6</f>
        <v>111.20906641352894</v>
      </c>
      <c r="E90" s="199">
        <f>SUM(E$30:E$40)*Coefficients!$C87*Coefficients!$C$6</f>
        <v>114.64508100081133</v>
      </c>
      <c r="F90" s="199">
        <f>SUM(F$30:F$40)*Coefficients!$C87*Coefficients!$C$6</f>
        <v>114.64508100081133</v>
      </c>
      <c r="G90" s="199">
        <f>SUM(G$30:G$40)*Coefficients!$C87*Coefficients!$C$6</f>
        <v>120.0052637569719</v>
      </c>
      <c r="H90" s="199">
        <f>SUM(H$30:H$40)*Coefficients!$C87*Coefficients!$C$6</f>
        <v>120.0052637569719</v>
      </c>
      <c r="I90" s="199">
        <f>SUM(I$30:I$40)*Coefficients!$C87*Coefficients!$C$6</f>
        <v>124.14811563078099</v>
      </c>
      <c r="J90" s="199">
        <f>SUM(J$30:J$40)*Coefficients!$C87*Coefficients!$C$6</f>
        <v>124.14811563078099</v>
      </c>
      <c r="K90" s="199">
        <f>SUM(K$30:K$40)*Coefficients!$C87*Coefficients!$C$6</f>
        <v>124.14811563078099</v>
      </c>
      <c r="L90" s="199">
        <f>SUM(L$30:L$40)*Coefficients!$C87*Coefficients!$C$6</f>
        <v>124.14811563078099</v>
      </c>
      <c r="M90" s="199">
        <f>SUM(M$30:M$40)*Coefficients!$C87*Coefficients!$C$6</f>
        <v>126.11155253779951</v>
      </c>
      <c r="N90" s="199">
        <f>SUM(N$30:N$40)*Coefficients!$C87*Coefficients!$C$6</f>
        <v>126.11155253779951</v>
      </c>
      <c r="O90" s="199">
        <f>SUM(O$30:O$40)*Coefficients!$C87*Coefficients!$C$6</f>
        <v>129.54756712508191</v>
      </c>
      <c r="P90" s="199">
        <f>SUM(P$30:P$40)*Coefficients!$C87*Coefficients!$C$6</f>
        <v>129.54756712508191</v>
      </c>
      <c r="Q90" s="199">
        <f>SUM(Q$30:Q$40)*Coefficients!$C87*Coefficients!$C$6</f>
        <v>134.90774988124249</v>
      </c>
      <c r="R90" s="199">
        <f>SUM(R$30:R$40)*Coefficients!$C87*Coefficients!$C$6</f>
        <v>134.90774988124249</v>
      </c>
      <c r="S90" s="199">
        <f>SUM(S$30:S$40)*Coefficients!$C87*Coefficients!$C$6</f>
        <v>134.90774988124249</v>
      </c>
      <c r="T90" s="199">
        <f>SUM(T$30:T$40)*Coefficients!$C87*Coefficients!$C$6</f>
        <v>134.90774988124249</v>
      </c>
      <c r="U90" s="199">
        <f>SUM(U$30:U$40)*Coefficients!$C87*Coefficients!$C$6</f>
        <v>134.90774988124249</v>
      </c>
      <c r="V90" s="199">
        <f>SUM(V$30:V$40)*Coefficients!$C87*Coefficients!$C$6</f>
        <v>134.90774988124249</v>
      </c>
      <c r="W90" s="199">
        <f>SUM(W$30:W$40)*Coefficients!$C87*Coefficients!$C$6</f>
        <v>134.90774988124249</v>
      </c>
      <c r="X90" s="199">
        <f>SUM(X$30:X$40)*Coefficients!$C87*Coefficients!$C$6</f>
        <v>134.90774988124249</v>
      </c>
      <c r="Y90" s="199">
        <f>SUM(Y$30:Y$40)*Coefficients!$C87*Coefficients!$C$6</f>
        <v>134.90774988124249</v>
      </c>
      <c r="Z90" s="199">
        <f>SUM(Z$30:Z$40)*Coefficients!$C87*Coefficients!$C$6</f>
        <v>134.90774988124249</v>
      </c>
      <c r="AA90" s="199">
        <f>SUM(AA$30:AA$40)*Coefficients!$C87*Coefficients!$C$6</f>
        <v>134.90774988124249</v>
      </c>
      <c r="AB90" s="199">
        <f>SUM(AB$30:AB$40)*Coefficients!$C87*Coefficients!$C$6</f>
        <v>134.90774988124249</v>
      </c>
      <c r="AC90" s="199">
        <f>SUM(AC$30:AC$40)*Coefficients!$C87*Coefficients!$C$6</f>
        <v>137.09698203256815</v>
      </c>
      <c r="AD90" s="199">
        <f>SUM(AD$30:AD$40)*Coefficients!$C87*Coefficients!$C$6</f>
        <v>137.09698203256815</v>
      </c>
      <c r="AE90" s="291"/>
      <c r="AF90" s="302">
        <f>SUM(E90:J90)/2000*Coefficients!$C$10</f>
        <v>325.49658128759967</v>
      </c>
      <c r="AG90" s="302">
        <f>SUM(F90:K90)/2000*Coefficients!$C$10</f>
        <v>329.80708652299415</v>
      </c>
      <c r="AH90" t="s">
        <v>167</v>
      </c>
    </row>
    <row r="91" spans="2:34" x14ac:dyDescent="0.2">
      <c r="B91" s="355"/>
      <c r="C91" s="66" t="s">
        <v>246</v>
      </c>
      <c r="D91" s="310">
        <f>SUM(D$30:D$40)*Coefficients!$C88*Coefficients!$C$6</f>
        <v>231.5336300740685</v>
      </c>
      <c r="E91" s="199">
        <f>SUM(E$30:E$40)*Coefficients!$C88*Coefficients!$C$6</f>
        <v>238.68729978857445</v>
      </c>
      <c r="F91" s="199">
        <f>SUM(F$30:F$40)*Coefficients!$C88*Coefficients!$C$6</f>
        <v>238.68729978857445</v>
      </c>
      <c r="G91" s="199">
        <f>SUM(G$30:G$40)*Coefficients!$C88*Coefficients!$C$6</f>
        <v>249.84702454320376</v>
      </c>
      <c r="H91" s="199">
        <f>SUM(H$30:H$40)*Coefficients!$C88*Coefficients!$C$6</f>
        <v>249.84702454320376</v>
      </c>
      <c r="I91" s="199">
        <f>SUM(I$30:I$40)*Coefficients!$C88*Coefficients!$C$6</f>
        <v>258.47230631326534</v>
      </c>
      <c r="J91" s="199">
        <f>SUM(J$30:J$40)*Coefficients!$C88*Coefficients!$C$6</f>
        <v>258.47230631326534</v>
      </c>
      <c r="K91" s="199">
        <f>SUM(K$30:K$40)*Coefficients!$C88*Coefficients!$C$6</f>
        <v>258.47230631326534</v>
      </c>
      <c r="L91" s="199">
        <f>SUM(L$30:L$40)*Coefficients!$C88*Coefficients!$C$6</f>
        <v>258.47230631326534</v>
      </c>
      <c r="M91" s="199">
        <f>SUM(M$30:M$40)*Coefficients!$C88*Coefficients!$C$6</f>
        <v>262.56011757869737</v>
      </c>
      <c r="N91" s="199">
        <f>SUM(N$30:N$40)*Coefficients!$C88*Coefficients!$C$6</f>
        <v>262.56011757869737</v>
      </c>
      <c r="O91" s="199">
        <f>SUM(O$30:O$40)*Coefficients!$C88*Coefficients!$C$6</f>
        <v>269.71378729320338</v>
      </c>
      <c r="P91" s="199">
        <f>SUM(P$30:P$40)*Coefficients!$C88*Coefficients!$C$6</f>
        <v>269.71378729320338</v>
      </c>
      <c r="Q91" s="199">
        <f>SUM(Q$30:Q$40)*Coefficients!$C88*Coefficients!$C$6</f>
        <v>280.87351204783272</v>
      </c>
      <c r="R91" s="199">
        <f>SUM(R$30:R$40)*Coefficients!$C88*Coefficients!$C$6</f>
        <v>280.87351204783272</v>
      </c>
      <c r="S91" s="199">
        <f>SUM(S$30:S$40)*Coefficients!$C88*Coefficients!$C$6</f>
        <v>280.87351204783272</v>
      </c>
      <c r="T91" s="199">
        <f>SUM(T$30:T$40)*Coefficients!$C88*Coefficients!$C$6</f>
        <v>280.87351204783272</v>
      </c>
      <c r="U91" s="199">
        <f>SUM(U$30:U$40)*Coefficients!$C88*Coefficients!$C$6</f>
        <v>280.87351204783272</v>
      </c>
      <c r="V91" s="199">
        <f>SUM(V$30:V$40)*Coefficients!$C88*Coefficients!$C$6</f>
        <v>280.87351204783272</v>
      </c>
      <c r="W91" s="199">
        <f>SUM(W$30:W$40)*Coefficients!$C88*Coefficients!$C$6</f>
        <v>280.87351204783272</v>
      </c>
      <c r="X91" s="199">
        <f>SUM(X$30:X$40)*Coefficients!$C88*Coefficients!$C$6</f>
        <v>280.87351204783272</v>
      </c>
      <c r="Y91" s="199">
        <f>SUM(Y$30:Y$40)*Coefficients!$C88*Coefficients!$C$6</f>
        <v>280.87351204783272</v>
      </c>
      <c r="Z91" s="199">
        <f>SUM(Z$30:Z$40)*Coefficients!$C88*Coefficients!$C$6</f>
        <v>280.87351204783272</v>
      </c>
      <c r="AA91" s="199">
        <f>SUM(AA$30:AA$40)*Coefficients!$C88*Coefficients!$C$6</f>
        <v>280.87351204783272</v>
      </c>
      <c r="AB91" s="199">
        <f>SUM(AB$30:AB$40)*Coefficients!$C88*Coefficients!$C$6</f>
        <v>280.87351204783272</v>
      </c>
      <c r="AC91" s="199">
        <f>SUM(AC$30:AC$40)*Coefficients!$C88*Coefficients!$C$6</f>
        <v>285.43142160878938</v>
      </c>
      <c r="AD91" s="199">
        <f>SUM(AD$30:AD$40)*Coefficients!$C88*Coefficients!$C$6</f>
        <v>285.43142160878938</v>
      </c>
      <c r="AE91" s="291"/>
      <c r="AF91" s="302">
        <f>SUM(E91:J91)/2000*Coefficients!$C$10</f>
        <v>677.67321022172371</v>
      </c>
      <c r="AG91" s="302">
        <f>SUM(F91:K91)/2000*Coefficients!$C$10</f>
        <v>686.64754079377474</v>
      </c>
      <c r="AH91" t="s">
        <v>167</v>
      </c>
    </row>
    <row r="92" spans="2:34" x14ac:dyDescent="0.2">
      <c r="B92" s="355"/>
      <c r="C92" s="66" t="s">
        <v>247</v>
      </c>
      <c r="D92" s="310">
        <f>SUM(D$30:D$40)*Coefficients!$C89*Coefficients!$C$6</f>
        <v>102.09356916651838</v>
      </c>
      <c r="E92" s="199">
        <f>SUM(E$30:E$40)*Coefficients!$C89*Coefficients!$C$6</f>
        <v>105.2479432138596</v>
      </c>
      <c r="F92" s="199">
        <f>SUM(F$30:F$40)*Coefficients!$C89*Coefficients!$C$6</f>
        <v>105.2479432138596</v>
      </c>
      <c r="G92" s="199">
        <f>SUM(G$30:G$40)*Coefficients!$C89*Coefficients!$C$6</f>
        <v>110.1687667277119</v>
      </c>
      <c r="H92" s="199">
        <f>SUM(H$30:H$40)*Coefficients!$C89*Coefficients!$C$6</f>
        <v>110.1687667277119</v>
      </c>
      <c r="I92" s="199">
        <f>SUM(I$30:I$40)*Coefficients!$C89*Coefficients!$C$6</f>
        <v>113.97204057907763</v>
      </c>
      <c r="J92" s="199">
        <f>SUM(J$30:J$40)*Coefficients!$C89*Coefficients!$C$6</f>
        <v>113.97204057907763</v>
      </c>
      <c r="K92" s="199">
        <f>SUM(K$30:K$40)*Coefficients!$C89*Coefficients!$C$6</f>
        <v>113.97204057907763</v>
      </c>
      <c r="L92" s="199">
        <f>SUM(L$30:L$40)*Coefficients!$C89*Coefficients!$C$6</f>
        <v>113.97204057907763</v>
      </c>
      <c r="M92" s="199">
        <f>SUM(M$30:M$40)*Coefficients!$C89*Coefficients!$C$6</f>
        <v>115.77454003470119</v>
      </c>
      <c r="N92" s="199">
        <f>SUM(N$30:N$40)*Coefficients!$C89*Coefficients!$C$6</f>
        <v>115.77454003470119</v>
      </c>
      <c r="O92" s="199">
        <f>SUM(O$30:O$40)*Coefficients!$C89*Coefficients!$C$6</f>
        <v>118.92891408204243</v>
      </c>
      <c r="P92" s="199">
        <f>SUM(P$30:P$40)*Coefficients!$C89*Coefficients!$C$6</f>
        <v>118.92891408204243</v>
      </c>
      <c r="Q92" s="199">
        <f>SUM(Q$30:Q$40)*Coefficients!$C89*Coefficients!$C$6</f>
        <v>123.84973759589475</v>
      </c>
      <c r="R92" s="199">
        <f>SUM(R$30:R$40)*Coefficients!$C89*Coefficients!$C$6</f>
        <v>123.84973759589475</v>
      </c>
      <c r="S92" s="199">
        <f>SUM(S$30:S$40)*Coefficients!$C89*Coefficients!$C$6</f>
        <v>123.84973759589475</v>
      </c>
      <c r="T92" s="199">
        <f>SUM(T$30:T$40)*Coefficients!$C89*Coefficients!$C$6</f>
        <v>123.84973759589475</v>
      </c>
      <c r="U92" s="199">
        <f>SUM(U$30:U$40)*Coefficients!$C89*Coefficients!$C$6</f>
        <v>123.84973759589475</v>
      </c>
      <c r="V92" s="199">
        <f>SUM(V$30:V$40)*Coefficients!$C89*Coefficients!$C$6</f>
        <v>123.84973759589475</v>
      </c>
      <c r="W92" s="199">
        <f>SUM(W$30:W$40)*Coefficients!$C89*Coefficients!$C$6</f>
        <v>123.84973759589475</v>
      </c>
      <c r="X92" s="199">
        <f>SUM(X$30:X$40)*Coefficients!$C89*Coefficients!$C$6</f>
        <v>123.84973759589475</v>
      </c>
      <c r="Y92" s="199">
        <f>SUM(Y$30:Y$40)*Coefficients!$C89*Coefficients!$C$6</f>
        <v>123.84973759589475</v>
      </c>
      <c r="Z92" s="199">
        <f>SUM(Z$30:Z$40)*Coefficients!$C89*Coefficients!$C$6</f>
        <v>123.84973759589475</v>
      </c>
      <c r="AA92" s="199">
        <f>SUM(AA$30:AA$40)*Coefficients!$C89*Coefficients!$C$6</f>
        <v>123.84973759589475</v>
      </c>
      <c r="AB92" s="199">
        <f>SUM(AB$30:AB$40)*Coefficients!$C89*Coefficients!$C$6</f>
        <v>123.84973759589475</v>
      </c>
      <c r="AC92" s="199">
        <f>SUM(AC$30:AC$40)*Coefficients!$C89*Coefficients!$C$6</f>
        <v>125.85952448891501</v>
      </c>
      <c r="AD92" s="199">
        <f>SUM(AD$30:AD$40)*Coefficients!$C89*Coefficients!$C$6</f>
        <v>125.85952448891501</v>
      </c>
      <c r="AE92" s="291"/>
      <c r="AF92" s="302">
        <f>SUM(E92:J92)/2000*Coefficients!$C$10</f>
        <v>298.81653364107507</v>
      </c>
      <c r="AG92" s="302">
        <f>SUM(F92:K92)/2000*Coefficients!$C$10</f>
        <v>302.77371877520773</v>
      </c>
      <c r="AH92" t="s">
        <v>167</v>
      </c>
    </row>
    <row r="93" spans="2:34" x14ac:dyDescent="0.2">
      <c r="B93" s="355"/>
      <c r="C93" s="66" t="s">
        <v>248</v>
      </c>
      <c r="D93" s="310">
        <f>SUM(D$30:D$40)*Coefficients!$C90*Coefficients!$C$6</f>
        <v>29.169591190433827</v>
      </c>
      <c r="E93" s="199">
        <f>SUM(E$30:E$40)*Coefficients!$C90*Coefficients!$C$6</f>
        <v>30.070840918245597</v>
      </c>
      <c r="F93" s="199">
        <f>SUM(F$30:F$40)*Coefficients!$C90*Coefficients!$C$6</f>
        <v>30.070840918245597</v>
      </c>
      <c r="G93" s="199">
        <f>SUM(G$30:G$40)*Coefficients!$C90*Coefficients!$C$6</f>
        <v>31.476790493631974</v>
      </c>
      <c r="H93" s="199">
        <f>SUM(H$30:H$40)*Coefficients!$C90*Coefficients!$C$6</f>
        <v>31.476790493631974</v>
      </c>
      <c r="I93" s="199">
        <f>SUM(I$30:I$40)*Coefficients!$C90*Coefficients!$C$6</f>
        <v>32.563440165450757</v>
      </c>
      <c r="J93" s="199">
        <f>SUM(J$30:J$40)*Coefficients!$C90*Coefficients!$C$6</f>
        <v>32.563440165450757</v>
      </c>
      <c r="K93" s="199">
        <f>SUM(K$30:K$40)*Coefficients!$C90*Coefficients!$C$6</f>
        <v>32.563440165450757</v>
      </c>
      <c r="L93" s="199">
        <f>SUM(L$30:L$40)*Coefficients!$C90*Coefficients!$C$6</f>
        <v>32.563440165450757</v>
      </c>
      <c r="M93" s="199">
        <f>SUM(M$30:M$40)*Coefficients!$C90*Coefficients!$C$6</f>
        <v>33.07844000991463</v>
      </c>
      <c r="N93" s="199">
        <f>SUM(N$30:N$40)*Coefficients!$C90*Coefficients!$C$6</f>
        <v>33.07844000991463</v>
      </c>
      <c r="O93" s="199">
        <f>SUM(O$30:O$40)*Coefficients!$C90*Coefficients!$C$6</f>
        <v>33.97968973772641</v>
      </c>
      <c r="P93" s="199">
        <f>SUM(P$30:P$40)*Coefficients!$C90*Coefficients!$C$6</f>
        <v>33.97968973772641</v>
      </c>
      <c r="Q93" s="199">
        <f>SUM(Q$30:Q$40)*Coefficients!$C90*Coefficients!$C$6</f>
        <v>35.38563931311279</v>
      </c>
      <c r="R93" s="199">
        <f>SUM(R$30:R$40)*Coefficients!$C90*Coefficients!$C$6</f>
        <v>35.38563931311279</v>
      </c>
      <c r="S93" s="199">
        <f>SUM(S$30:S$40)*Coefficients!$C90*Coefficients!$C$6</f>
        <v>35.38563931311279</v>
      </c>
      <c r="T93" s="199">
        <f>SUM(T$30:T$40)*Coefficients!$C90*Coefficients!$C$6</f>
        <v>35.38563931311279</v>
      </c>
      <c r="U93" s="199">
        <f>SUM(U$30:U$40)*Coefficients!$C90*Coefficients!$C$6</f>
        <v>35.38563931311279</v>
      </c>
      <c r="V93" s="199">
        <f>SUM(V$30:V$40)*Coefficients!$C90*Coefficients!$C$6</f>
        <v>35.38563931311279</v>
      </c>
      <c r="W93" s="199">
        <f>SUM(W$30:W$40)*Coefficients!$C90*Coefficients!$C$6</f>
        <v>35.38563931311279</v>
      </c>
      <c r="X93" s="199">
        <f>SUM(X$30:X$40)*Coefficients!$C90*Coefficients!$C$6</f>
        <v>35.38563931311279</v>
      </c>
      <c r="Y93" s="199">
        <f>SUM(Y$30:Y$40)*Coefficients!$C90*Coefficients!$C$6</f>
        <v>35.38563931311279</v>
      </c>
      <c r="Z93" s="199">
        <f>SUM(Z$30:Z$40)*Coefficients!$C90*Coefficients!$C$6</f>
        <v>35.38563931311279</v>
      </c>
      <c r="AA93" s="199">
        <f>SUM(AA$30:AA$40)*Coefficients!$C90*Coefficients!$C$6</f>
        <v>35.38563931311279</v>
      </c>
      <c r="AB93" s="199">
        <f>SUM(AB$30:AB$40)*Coefficients!$C90*Coefficients!$C$6</f>
        <v>35.38563931311279</v>
      </c>
      <c r="AC93" s="199">
        <f>SUM(AC$30:AC$40)*Coefficients!$C90*Coefficients!$C$6</f>
        <v>35.959864139690005</v>
      </c>
      <c r="AD93" s="199">
        <f>SUM(AD$30:AD$40)*Coefficients!$C90*Coefficients!$C$6</f>
        <v>35.959864139690005</v>
      </c>
      <c r="AE93" s="291"/>
      <c r="AF93" s="302">
        <f>SUM(E93:J93)/2000*Coefficients!$C$10</f>
        <v>85.376152468878587</v>
      </c>
      <c r="AG93" s="302">
        <f>SUM(F93:K93)/2000*Coefficients!$C$10</f>
        <v>86.506776792916497</v>
      </c>
      <c r="AH93" t="s">
        <v>167</v>
      </c>
    </row>
    <row r="94" spans="2:34" x14ac:dyDescent="0.2">
      <c r="B94" s="355"/>
      <c r="C94" s="66" t="s">
        <v>249</v>
      </c>
      <c r="D94" s="310">
        <f>SUM(D$30:D$40)*Coefficients!$C91*Coefficients!$C$6</f>
        <v>246.11842566928541</v>
      </c>
      <c r="E94" s="199">
        <f>SUM(E$30:E$40)*Coefficients!$C91*Coefficients!$C$6</f>
        <v>253.72272024769723</v>
      </c>
      <c r="F94" s="199">
        <f>SUM(F$30:F$40)*Coefficients!$C91*Coefficients!$C$6</f>
        <v>253.72272024769723</v>
      </c>
      <c r="G94" s="199">
        <f>SUM(G$30:G$40)*Coefficients!$C91*Coefficients!$C$6</f>
        <v>265.58541979001973</v>
      </c>
      <c r="H94" s="199">
        <f>SUM(H$30:H$40)*Coefficients!$C91*Coefficients!$C$6</f>
        <v>265.58541979001973</v>
      </c>
      <c r="I94" s="199">
        <f>SUM(I$30:I$40)*Coefficients!$C91*Coefficients!$C$6</f>
        <v>274.75402639599071</v>
      </c>
      <c r="J94" s="199">
        <f>SUM(J$30:J$40)*Coefficients!$C91*Coefficients!$C$6</f>
        <v>274.75402639599071</v>
      </c>
      <c r="K94" s="199">
        <f>SUM(K$30:K$40)*Coefficients!$C91*Coefficients!$C$6</f>
        <v>274.75402639599071</v>
      </c>
      <c r="L94" s="199">
        <f>SUM(L$30:L$40)*Coefficients!$C91*Coefficients!$C$6</f>
        <v>274.75402639599071</v>
      </c>
      <c r="M94" s="199">
        <f>SUM(M$30:M$40)*Coefficients!$C91*Coefficients!$C$6</f>
        <v>279.09933758365469</v>
      </c>
      <c r="N94" s="199">
        <f>SUM(N$30:N$40)*Coefficients!$C91*Coefficients!$C$6</f>
        <v>279.09933758365469</v>
      </c>
      <c r="O94" s="199">
        <f>SUM(O$30:O$40)*Coefficients!$C91*Coefficients!$C$6</f>
        <v>286.70363216206653</v>
      </c>
      <c r="P94" s="199">
        <f>SUM(P$30:P$40)*Coefficients!$C91*Coefficients!$C$6</f>
        <v>286.70363216206653</v>
      </c>
      <c r="Q94" s="199">
        <f>SUM(Q$30:Q$40)*Coefficients!$C91*Coefficients!$C$6</f>
        <v>298.56633170438914</v>
      </c>
      <c r="R94" s="199">
        <f>SUM(R$30:R$40)*Coefficients!$C91*Coefficients!$C$6</f>
        <v>298.56633170438914</v>
      </c>
      <c r="S94" s="199">
        <f>SUM(S$30:S$40)*Coefficients!$C91*Coefficients!$C$6</f>
        <v>298.56633170438914</v>
      </c>
      <c r="T94" s="199">
        <f>SUM(T$30:T$40)*Coefficients!$C91*Coefficients!$C$6</f>
        <v>298.56633170438914</v>
      </c>
      <c r="U94" s="199">
        <f>SUM(U$30:U$40)*Coefficients!$C91*Coefficients!$C$6</f>
        <v>298.56633170438914</v>
      </c>
      <c r="V94" s="199">
        <f>SUM(V$30:V$40)*Coefficients!$C91*Coefficients!$C$6</f>
        <v>298.56633170438914</v>
      </c>
      <c r="W94" s="199">
        <f>SUM(W$30:W$40)*Coefficients!$C91*Coefficients!$C$6</f>
        <v>298.56633170438914</v>
      </c>
      <c r="X94" s="199">
        <f>SUM(X$30:X$40)*Coefficients!$C91*Coefficients!$C$6</f>
        <v>298.56633170438914</v>
      </c>
      <c r="Y94" s="199">
        <f>SUM(Y$30:Y$40)*Coefficients!$C91*Coefficients!$C$6</f>
        <v>298.56633170438914</v>
      </c>
      <c r="Z94" s="199">
        <f>SUM(Z$30:Z$40)*Coefficients!$C91*Coefficients!$C$6</f>
        <v>298.56633170438914</v>
      </c>
      <c r="AA94" s="199">
        <f>SUM(AA$30:AA$40)*Coefficients!$C91*Coefficients!$C$6</f>
        <v>298.56633170438914</v>
      </c>
      <c r="AB94" s="199">
        <f>SUM(AB$30:AB$40)*Coefficients!$C91*Coefficients!$C$6</f>
        <v>298.56633170438914</v>
      </c>
      <c r="AC94" s="199">
        <f>SUM(AC$30:AC$40)*Coefficients!$C91*Coefficients!$C$6</f>
        <v>303.41135367863444</v>
      </c>
      <c r="AD94" s="199">
        <f>SUM(AD$30:AD$40)*Coefficients!$C91*Coefficients!$C$6</f>
        <v>303.41135367863444</v>
      </c>
      <c r="AE94" s="291"/>
      <c r="AF94" s="302">
        <f>SUM(E94:J94)/2000*Coefficients!$C$10</f>
        <v>720.36128645616304</v>
      </c>
      <c r="AG94" s="302">
        <f>SUM(F94:K94)/2000*Coefficients!$C$10</f>
        <v>729.90092919023277</v>
      </c>
      <c r="AH94" t="s">
        <v>167</v>
      </c>
    </row>
    <row r="95" spans="2:34" x14ac:dyDescent="0.2">
      <c r="B95" s="355"/>
      <c r="C95" s="66" t="s">
        <v>250</v>
      </c>
      <c r="D95" s="310">
        <f>SUM(D$30:D$40)*Coefficients!$C92*Coefficients!$C$6</f>
        <v>94.80117136890992</v>
      </c>
      <c r="E95" s="199">
        <f>SUM(E$30:E$40)*Coefficients!$C92*Coefficients!$C$6</f>
        <v>97.730232984298183</v>
      </c>
      <c r="F95" s="199">
        <f>SUM(F$30:F$40)*Coefficients!$C92*Coefficients!$C$6</f>
        <v>97.730232984298183</v>
      </c>
      <c r="G95" s="199">
        <f>SUM(G$30:G$40)*Coefficients!$C92*Coefficients!$C$6</f>
        <v>102.2995691043039</v>
      </c>
      <c r="H95" s="199">
        <f>SUM(H$30:H$40)*Coefficients!$C92*Coefficients!$C$6</f>
        <v>102.2995691043039</v>
      </c>
      <c r="I95" s="199">
        <f>SUM(I$30:I$40)*Coefficients!$C92*Coefficients!$C$6</f>
        <v>105.83118053771493</v>
      </c>
      <c r="J95" s="199">
        <f>SUM(J$30:J$40)*Coefficients!$C92*Coefficients!$C$6</f>
        <v>105.83118053771493</v>
      </c>
      <c r="K95" s="199">
        <f>SUM(K$30:K$40)*Coefficients!$C92*Coefficients!$C$6</f>
        <v>105.83118053771493</v>
      </c>
      <c r="L95" s="199">
        <f>SUM(L$30:L$40)*Coefficients!$C92*Coefficients!$C$6</f>
        <v>105.83118053771493</v>
      </c>
      <c r="M95" s="199">
        <f>SUM(M$30:M$40)*Coefficients!$C92*Coefficients!$C$6</f>
        <v>107.50493003222252</v>
      </c>
      <c r="N95" s="199">
        <f>SUM(N$30:N$40)*Coefficients!$C92*Coefficients!$C$6</f>
        <v>107.50493003222252</v>
      </c>
      <c r="O95" s="199">
        <f>SUM(O$30:O$40)*Coefficients!$C92*Coefficients!$C$6</f>
        <v>110.4339916476108</v>
      </c>
      <c r="P95" s="199">
        <f>SUM(P$30:P$40)*Coefficients!$C92*Coefficients!$C$6</f>
        <v>110.4339916476108</v>
      </c>
      <c r="Q95" s="199">
        <f>SUM(Q$30:Q$40)*Coefficients!$C92*Coefficients!$C$6</f>
        <v>115.00332776761654</v>
      </c>
      <c r="R95" s="199">
        <f>SUM(R$30:R$40)*Coefficients!$C92*Coefficients!$C$6</f>
        <v>115.00332776761654</v>
      </c>
      <c r="S95" s="199">
        <f>SUM(S$30:S$40)*Coefficients!$C92*Coefficients!$C$6</f>
        <v>115.00332776761654</v>
      </c>
      <c r="T95" s="199">
        <f>SUM(T$30:T$40)*Coefficients!$C92*Coefficients!$C$6</f>
        <v>115.00332776761654</v>
      </c>
      <c r="U95" s="199">
        <f>SUM(U$30:U$40)*Coefficients!$C92*Coefficients!$C$6</f>
        <v>115.00332776761654</v>
      </c>
      <c r="V95" s="199">
        <f>SUM(V$30:V$40)*Coefficients!$C92*Coefficients!$C$6</f>
        <v>115.00332776761654</v>
      </c>
      <c r="W95" s="199">
        <f>SUM(W$30:W$40)*Coefficients!$C92*Coefficients!$C$6</f>
        <v>115.00332776761654</v>
      </c>
      <c r="X95" s="199">
        <f>SUM(X$30:X$40)*Coefficients!$C92*Coefficients!$C$6</f>
        <v>115.00332776761654</v>
      </c>
      <c r="Y95" s="199">
        <f>SUM(Y$30:Y$40)*Coefficients!$C92*Coefficients!$C$6</f>
        <v>115.00332776761654</v>
      </c>
      <c r="Z95" s="199">
        <f>SUM(Z$30:Z$40)*Coefficients!$C92*Coefficients!$C$6</f>
        <v>115.00332776761654</v>
      </c>
      <c r="AA95" s="199">
        <f>SUM(AA$30:AA$40)*Coefficients!$C92*Coefficients!$C$6</f>
        <v>115.00332776761654</v>
      </c>
      <c r="AB95" s="199">
        <f>SUM(AB$30:AB$40)*Coefficients!$C92*Coefficients!$C$6</f>
        <v>115.00332776761654</v>
      </c>
      <c r="AC95" s="199">
        <f>SUM(AC$30:AC$40)*Coefficients!$C92*Coefficients!$C$6</f>
        <v>116.8695584539925</v>
      </c>
      <c r="AD95" s="199">
        <f>SUM(AD$30:AD$40)*Coefficients!$C92*Coefficients!$C$6</f>
        <v>116.8695584539925</v>
      </c>
      <c r="AE95" s="291"/>
      <c r="AF95" s="302">
        <f>SUM(E95:J95)/2000*Coefficients!$C$10</f>
        <v>277.4724955238554</v>
      </c>
      <c r="AG95" s="302">
        <f>SUM(F95:K95)/2000*Coefficients!$C$10</f>
        <v>281.14702457697854</v>
      </c>
      <c r="AH95" t="s">
        <v>167</v>
      </c>
    </row>
    <row r="96" spans="2:34" x14ac:dyDescent="0.2">
      <c r="B96" s="355"/>
      <c r="C96" s="66" t="s">
        <v>251</v>
      </c>
      <c r="D96" s="310">
        <f>SUM(D$30:D$40)*Coefficients!$C93*Coefficients!$C$6</f>
        <v>128.58685036522988</v>
      </c>
      <c r="E96" s="199">
        <f>SUM(E$30:E$40)*Coefficients!$C93*Coefficients!$C$6</f>
        <v>132.55978447785614</v>
      </c>
      <c r="F96" s="199">
        <f>SUM(F$30:F$40)*Coefficients!$C93*Coefficients!$C$6</f>
        <v>132.55978447785614</v>
      </c>
      <c r="G96" s="199">
        <f>SUM(G$30:G$40)*Coefficients!$C93*Coefficients!$C$6</f>
        <v>138.75756169355313</v>
      </c>
      <c r="H96" s="199">
        <f>SUM(H$30:H$40)*Coefficients!$C93*Coefficients!$C$6</f>
        <v>138.75756169355313</v>
      </c>
      <c r="I96" s="199">
        <f>SUM(I$30:I$40)*Coefficients!$C93*Coefficients!$C$6</f>
        <v>143.54778510934827</v>
      </c>
      <c r="J96" s="199">
        <f>SUM(J$30:J$40)*Coefficients!$C93*Coefficients!$C$6</f>
        <v>143.54778510934827</v>
      </c>
      <c r="K96" s="199">
        <f>SUM(K$30:K$40)*Coefficients!$C93*Coefficients!$C$6</f>
        <v>143.54778510934827</v>
      </c>
      <c r="L96" s="199">
        <f>SUM(L$30:L$40)*Coefficients!$C93*Coefficients!$C$6</f>
        <v>143.54778510934827</v>
      </c>
      <c r="M96" s="199">
        <f>SUM(M$30:M$40)*Coefficients!$C93*Coefficients!$C$6</f>
        <v>145.81803317370614</v>
      </c>
      <c r="N96" s="199">
        <f>SUM(N$30:N$40)*Coefficients!$C93*Coefficients!$C$6</f>
        <v>145.81803317370614</v>
      </c>
      <c r="O96" s="199">
        <f>SUM(O$30:O$40)*Coefficients!$C93*Coefficients!$C$6</f>
        <v>149.7909672863324</v>
      </c>
      <c r="P96" s="199">
        <f>SUM(P$30:P$40)*Coefficients!$C93*Coefficients!$C$6</f>
        <v>149.7909672863324</v>
      </c>
      <c r="Q96" s="199">
        <f>SUM(Q$30:Q$40)*Coefficients!$C93*Coefficients!$C$6</f>
        <v>155.98874450202942</v>
      </c>
      <c r="R96" s="199">
        <f>SUM(R$30:R$40)*Coefficients!$C93*Coefficients!$C$6</f>
        <v>155.98874450202942</v>
      </c>
      <c r="S96" s="199">
        <f>SUM(S$30:S$40)*Coefficients!$C93*Coefficients!$C$6</f>
        <v>155.98874450202942</v>
      </c>
      <c r="T96" s="199">
        <f>SUM(T$30:T$40)*Coefficients!$C93*Coefficients!$C$6</f>
        <v>155.98874450202942</v>
      </c>
      <c r="U96" s="199">
        <f>SUM(U$30:U$40)*Coefficients!$C93*Coefficients!$C$6</f>
        <v>155.98874450202942</v>
      </c>
      <c r="V96" s="199">
        <f>SUM(V$30:V$40)*Coefficients!$C93*Coefficients!$C$6</f>
        <v>155.98874450202942</v>
      </c>
      <c r="W96" s="199">
        <f>SUM(W$30:W$40)*Coefficients!$C93*Coefficients!$C$6</f>
        <v>155.98874450202942</v>
      </c>
      <c r="X96" s="199">
        <f>SUM(X$30:X$40)*Coefficients!$C93*Coefficients!$C$6</f>
        <v>155.98874450202942</v>
      </c>
      <c r="Y96" s="199">
        <f>SUM(Y$30:Y$40)*Coefficients!$C93*Coefficients!$C$6</f>
        <v>155.98874450202942</v>
      </c>
      <c r="Z96" s="199">
        <f>SUM(Z$30:Z$40)*Coefficients!$C93*Coefficients!$C$6</f>
        <v>155.98874450202942</v>
      </c>
      <c r="AA96" s="199">
        <f>SUM(AA$30:AA$40)*Coefficients!$C93*Coefficients!$C$6</f>
        <v>155.98874450202942</v>
      </c>
      <c r="AB96" s="199">
        <f>SUM(AB$30:AB$40)*Coefficients!$C93*Coefficients!$C$6</f>
        <v>155.98874450202942</v>
      </c>
      <c r="AC96" s="199">
        <f>SUM(AC$30:AC$40)*Coefficients!$C93*Coefficients!$C$6</f>
        <v>158.52007109378846</v>
      </c>
      <c r="AD96" s="199">
        <f>SUM(AD$30:AD$40)*Coefficients!$C93*Coefficients!$C$6</f>
        <v>158.52007109378846</v>
      </c>
      <c r="AE96" s="292"/>
      <c r="AF96" s="302">
        <f>SUM(E96:J96)/2000*Coefficients!$C$10</f>
        <v>376.35942412093402</v>
      </c>
      <c r="AG96" s="302">
        <f>SUM(F96:K96)/2000*Coefficients!$C$10</f>
        <v>381.34349879737414</v>
      </c>
      <c r="AH96" t="s">
        <v>167</v>
      </c>
    </row>
    <row r="97" spans="2:36" x14ac:dyDescent="0.2">
      <c r="AE97" s="291"/>
      <c r="AG97" s="291"/>
      <c r="AH97" s="291"/>
    </row>
    <row r="98" spans="2:36" ht="17" thickBot="1" x14ac:dyDescent="0.25">
      <c r="AE98" s="291"/>
      <c r="AG98" s="291"/>
      <c r="AH98" s="291"/>
    </row>
    <row r="99" spans="2:36" ht="17" thickBot="1" x14ac:dyDescent="0.25">
      <c r="B99" s="332" t="s">
        <v>274</v>
      </c>
      <c r="C99" s="334"/>
      <c r="AE99" s="291"/>
      <c r="AG99" s="291"/>
      <c r="AH99" s="291"/>
    </row>
    <row r="100" spans="2:36" x14ac:dyDescent="0.2">
      <c r="B100" s="354" t="s">
        <v>253</v>
      </c>
      <c r="C100" s="36" t="s">
        <v>244</v>
      </c>
      <c r="D100" s="311">
        <f>SUM(D$55:D$64)*Coefficients!$C95*Coefficients!$C$6</f>
        <v>207.19178713258384</v>
      </c>
      <c r="E100" s="236">
        <f>SUM(E$55:E$64)*Coefficients!$C95*Coefficients!$C$6</f>
        <v>213.82768807478774</v>
      </c>
      <c r="F100" s="236">
        <f>SUM(F$55:F$64)*Coefficients!$C95*Coefficients!$C$6</f>
        <v>213.82768807478774</v>
      </c>
      <c r="G100" s="236">
        <f>SUM(G$55:G$64)*Coefficients!$C95*Coefficients!$C$6</f>
        <v>218.87097279086268</v>
      </c>
      <c r="H100" s="236">
        <f>SUM(H$55:H$64)*Coefficients!$C95*Coefficients!$C$6</f>
        <v>218.87097279086268</v>
      </c>
      <c r="I100" s="236">
        <f>SUM(I$55:I$64)*Coefficients!$C95*Coefficients!$C$6</f>
        <v>224.33137128044768</v>
      </c>
      <c r="J100" s="236">
        <f>SUM(J$55:J$64)*Coefficients!$C95*Coefficients!$C$6</f>
        <v>224.33137128044768</v>
      </c>
      <c r="K100" s="236">
        <f>SUM(K$55:K$64)*Coefficients!$C95*Coefficients!$C$6</f>
        <v>224.33137128044768</v>
      </c>
      <c r="L100" s="236">
        <f>SUM(L$55:L$64)*Coefficients!$C95*Coefficients!$C$6</f>
        <v>224.33137128044768</v>
      </c>
      <c r="M100" s="236">
        <f>SUM(M$55:M$64)*Coefficients!$C95*Coefficients!$C$6</f>
        <v>224.33137128044768</v>
      </c>
      <c r="N100" s="236">
        <f>SUM(N$55:N$64)*Coefficients!$C95*Coefficients!$C$6</f>
        <v>224.33137128044768</v>
      </c>
      <c r="O100" s="236">
        <f>SUM(O$55:O$64)*Coefficients!$C95*Coefficients!$C$6</f>
        <v>229.31777684558946</v>
      </c>
      <c r="P100" s="236">
        <f>SUM(P$55:P$64)*Coefficients!$C95*Coefficients!$C$6</f>
        <v>229.31777684558946</v>
      </c>
      <c r="Q100" s="236">
        <f>SUM(Q$55:Q$64)*Coefficients!$C95*Coefficients!$C$6</f>
        <v>233.39411599580041</v>
      </c>
      <c r="R100" s="236">
        <f>SUM(R$55:R$64)*Coefficients!$C95*Coefficients!$C$6</f>
        <v>233.39411599580041</v>
      </c>
      <c r="S100" s="236">
        <f>SUM(S$55:S$64)*Coefficients!$C95*Coefficients!$C$6</f>
        <v>233.39411599580041</v>
      </c>
      <c r="T100" s="236">
        <f>SUM(T$55:T$64)*Coefficients!$C95*Coefficients!$C$6</f>
        <v>233.39411599580041</v>
      </c>
      <c r="U100" s="236">
        <f>SUM(U$55:U$64)*Coefficients!$C95*Coefficients!$C$6</f>
        <v>233.39411599580041</v>
      </c>
      <c r="V100" s="236">
        <f>SUM(V$55:V$64)*Coefficients!$C95*Coefficients!$C$6</f>
        <v>233.39411599580041</v>
      </c>
      <c r="W100" s="236">
        <f>SUM(W$55:W$64)*Coefficients!$C95*Coefficients!$C$6</f>
        <v>233.39411599580041</v>
      </c>
      <c r="X100" s="236">
        <f>SUM(X$55:X$64)*Coefficients!$C95*Coefficients!$C$6</f>
        <v>233.39411599580041</v>
      </c>
      <c r="Y100" s="236">
        <f>SUM(Y$55:Y$64)*Coefficients!$C95*Coefficients!$C$6</f>
        <v>233.39411599580041</v>
      </c>
      <c r="Z100" s="236">
        <f>SUM(Z$55:Z$64)*Coefficients!$C95*Coefficients!$C$6</f>
        <v>233.39411599580041</v>
      </c>
      <c r="AA100" s="236">
        <f>SUM(AA$55:AA$64)*Coefficients!$C95*Coefficients!$C$6</f>
        <v>233.39411599580041</v>
      </c>
      <c r="AB100" s="236">
        <f>SUM(AB$55:AB$64)*Coefficients!$C95*Coefficients!$C$6</f>
        <v>233.39411599580041</v>
      </c>
      <c r="AC100" s="236">
        <f>SUM(AC$55:AC$64)*Coefficients!$C95*Coefficients!$C$6</f>
        <v>240.40921127755885</v>
      </c>
      <c r="AD100" s="236">
        <f>SUM(AD$55:AD$64)*Coefficients!$C95*Coefficients!$C$6</f>
        <v>240.40921127755885</v>
      </c>
      <c r="AE100" s="291"/>
      <c r="AF100" s="189">
        <f>SUM(E100:J100)/2000*Coefficients!$C$10</f>
        <v>596.04778971245787</v>
      </c>
      <c r="AG100" s="189">
        <f>SUM(F100:K100)/2000*Coefficients!$C$10</f>
        <v>600.81218163692131</v>
      </c>
      <c r="AH100" t="s">
        <v>167</v>
      </c>
      <c r="AI100" s="51"/>
      <c r="AJ100" s="51"/>
    </row>
    <row r="101" spans="2:36" x14ac:dyDescent="0.2">
      <c r="B101" s="354"/>
      <c r="C101" s="36" t="s">
        <v>245</v>
      </c>
      <c r="D101" s="311">
        <f>SUM(D$55:D$64)*Coefficients!$C96*Coefficients!$C$6</f>
        <v>42.976830656845642</v>
      </c>
      <c r="E101" s="236">
        <f>SUM(E$55:E$64)*Coefficients!$C96*Coefficients!$C$6</f>
        <v>44.353284786594543</v>
      </c>
      <c r="F101" s="236">
        <f>SUM(F$55:F$64)*Coefficients!$C96*Coefficients!$C$6</f>
        <v>44.353284786594543</v>
      </c>
      <c r="G101" s="236">
        <f>SUM(G$55:G$64)*Coefficients!$C96*Coefficients!$C$6</f>
        <v>45.399389925203707</v>
      </c>
      <c r="H101" s="236">
        <f>SUM(H$55:H$64)*Coefficients!$C96*Coefficients!$C$6</f>
        <v>45.399389925203707</v>
      </c>
      <c r="I101" s="236">
        <f>SUM(I$55:I$64)*Coefficients!$C96*Coefficients!$C$6</f>
        <v>46.532015037682811</v>
      </c>
      <c r="J101" s="236">
        <f>SUM(J$55:J$64)*Coefficients!$C96*Coefficients!$C$6</f>
        <v>46.532015037682811</v>
      </c>
      <c r="K101" s="236">
        <f>SUM(K$55:K$64)*Coefficients!$C96*Coefficients!$C$6</f>
        <v>46.532015037682811</v>
      </c>
      <c r="L101" s="236">
        <f>SUM(L$55:L$64)*Coefficients!$C96*Coefficients!$C$6</f>
        <v>46.532015037682811</v>
      </c>
      <c r="M101" s="236">
        <f>SUM(M$55:M$64)*Coefficients!$C96*Coefficients!$C$6</f>
        <v>46.532015037682811</v>
      </c>
      <c r="N101" s="236">
        <f>SUM(N$55:N$64)*Coefficients!$C96*Coefficients!$C$6</f>
        <v>46.532015037682811</v>
      </c>
      <c r="O101" s="236">
        <f>SUM(O$55:O$64)*Coefficients!$C96*Coefficients!$C$6</f>
        <v>47.566321998036983</v>
      </c>
      <c r="P101" s="236">
        <f>SUM(P$55:P$64)*Coefficients!$C96*Coefficients!$C$6</f>
        <v>47.566321998036983</v>
      </c>
      <c r="Q101" s="236">
        <f>SUM(Q$55:Q$64)*Coefficients!$C96*Coefficients!$C$6</f>
        <v>48.411858106311307</v>
      </c>
      <c r="R101" s="236">
        <f>SUM(R$55:R$64)*Coefficients!$C96*Coefficients!$C$6</f>
        <v>48.411858106311307</v>
      </c>
      <c r="S101" s="236">
        <f>SUM(S$55:S$64)*Coefficients!$C96*Coefficients!$C$6</f>
        <v>48.411858106311307</v>
      </c>
      <c r="T101" s="236">
        <f>SUM(T$55:T$64)*Coefficients!$C96*Coefficients!$C$6</f>
        <v>48.411858106311307</v>
      </c>
      <c r="U101" s="236">
        <f>SUM(U$55:U$64)*Coefficients!$C96*Coefficients!$C$6</f>
        <v>48.411858106311307</v>
      </c>
      <c r="V101" s="236">
        <f>SUM(V$55:V$64)*Coefficients!$C96*Coefficients!$C$6</f>
        <v>48.411858106311307</v>
      </c>
      <c r="W101" s="236">
        <f>SUM(W$55:W$64)*Coefficients!$C96*Coefficients!$C$6</f>
        <v>48.411858106311307</v>
      </c>
      <c r="X101" s="236">
        <f>SUM(X$55:X$64)*Coefficients!$C96*Coefficients!$C$6</f>
        <v>48.411858106311307</v>
      </c>
      <c r="Y101" s="236">
        <f>SUM(Y$55:Y$64)*Coefficients!$C96*Coefficients!$C$6</f>
        <v>48.411858106311307</v>
      </c>
      <c r="Z101" s="236">
        <f>SUM(Z$55:Z$64)*Coefficients!$C96*Coefficients!$C$6</f>
        <v>48.411858106311307</v>
      </c>
      <c r="AA101" s="236">
        <f>SUM(AA$55:AA$64)*Coefficients!$C96*Coefficients!$C$6</f>
        <v>48.411858106311307</v>
      </c>
      <c r="AB101" s="236">
        <f>SUM(AB$55:AB$64)*Coefficients!$C96*Coefficients!$C$6</f>
        <v>48.411858106311307</v>
      </c>
      <c r="AC101" s="236">
        <f>SUM(AC$55:AC$64)*Coefficients!$C96*Coefficients!$C$6</f>
        <v>49.866966757760139</v>
      </c>
      <c r="AD101" s="236">
        <f>SUM(AD$55:AD$64)*Coefficients!$C96*Coefficients!$C$6</f>
        <v>49.866966757760139</v>
      </c>
      <c r="AE101" s="291"/>
      <c r="AF101" s="189">
        <f>SUM(E101:J101)/2000*Coefficients!$C$10</f>
        <v>123.63542627038295</v>
      </c>
      <c r="AG101" s="189">
        <f>SUM(F101:K101)/2000*Coefficients!$C$10</f>
        <v>124.62368197179971</v>
      </c>
      <c r="AH101" t="s">
        <v>167</v>
      </c>
      <c r="AI101" s="51"/>
      <c r="AJ101" s="51"/>
    </row>
    <row r="102" spans="2:36" x14ac:dyDescent="0.2">
      <c r="B102" s="354"/>
      <c r="C102" s="36" t="s">
        <v>246</v>
      </c>
      <c r="D102" s="311">
        <f>SUM(D$55:D$64)*Coefficients!$C97*Coefficients!$C$6</f>
        <v>228.63418094973684</v>
      </c>
      <c r="E102" s="236">
        <f>SUM(E$55:E$64)*Coefficients!$C97*Coefficients!$C$6</f>
        <v>235.95683498820753</v>
      </c>
      <c r="F102" s="236">
        <f>SUM(F$55:F$64)*Coefficients!$C97*Coefficients!$C$6</f>
        <v>235.95683498820753</v>
      </c>
      <c r="G102" s="236">
        <f>SUM(G$55:G$64)*Coefficients!$C97*Coefficients!$C$6</f>
        <v>241.52205205744528</v>
      </c>
      <c r="H102" s="236">
        <f>SUM(H$55:H$64)*Coefficients!$C97*Coefficients!$C$6</f>
        <v>241.52205205744528</v>
      </c>
      <c r="I102" s="236">
        <f>SUM(I$55:I$64)*Coefficients!$C97*Coefficients!$C$6</f>
        <v>247.54755023767262</v>
      </c>
      <c r="J102" s="236">
        <f>SUM(J$55:J$64)*Coefficients!$C97*Coefficients!$C$6</f>
        <v>247.54755023767262</v>
      </c>
      <c r="K102" s="236">
        <f>SUM(K$55:K$64)*Coefficients!$C97*Coefficients!$C$6</f>
        <v>247.54755023767262</v>
      </c>
      <c r="L102" s="236">
        <f>SUM(L$55:L$64)*Coefficients!$C97*Coefficients!$C$6</f>
        <v>247.54755023767262</v>
      </c>
      <c r="M102" s="236">
        <f>SUM(M$55:M$64)*Coefficients!$C97*Coefficients!$C$6</f>
        <v>247.54755023767262</v>
      </c>
      <c r="N102" s="236">
        <f>SUM(N$55:N$64)*Coefficients!$C97*Coefficients!$C$6</f>
        <v>247.54755023767262</v>
      </c>
      <c r="O102" s="236">
        <f>SUM(O$55:O$64)*Coefficients!$C97*Coefficients!$C$6</f>
        <v>253.05000170086635</v>
      </c>
      <c r="P102" s="236">
        <f>SUM(P$55:P$64)*Coefficients!$C97*Coefficients!$C$6</f>
        <v>253.05000170086635</v>
      </c>
      <c r="Q102" s="236">
        <f>SUM(Q$55:Q$64)*Coefficients!$C97*Coefficients!$C$6</f>
        <v>257.54820346735551</v>
      </c>
      <c r="R102" s="236">
        <f>SUM(R$55:R$64)*Coefficients!$C97*Coefficients!$C$6</f>
        <v>257.54820346735551</v>
      </c>
      <c r="S102" s="236">
        <f>SUM(S$55:S$64)*Coefficients!$C97*Coefficients!$C$6</f>
        <v>257.54820346735551</v>
      </c>
      <c r="T102" s="236">
        <f>SUM(T$55:T$64)*Coefficients!$C97*Coefficients!$C$6</f>
        <v>257.54820346735551</v>
      </c>
      <c r="U102" s="236">
        <f>SUM(U$55:U$64)*Coefficients!$C97*Coefficients!$C$6</f>
        <v>257.54820346735551</v>
      </c>
      <c r="V102" s="236">
        <f>SUM(V$55:V$64)*Coefficients!$C97*Coefficients!$C$6</f>
        <v>257.54820346735551</v>
      </c>
      <c r="W102" s="236">
        <f>SUM(W$55:W$64)*Coefficients!$C97*Coefficients!$C$6</f>
        <v>257.54820346735551</v>
      </c>
      <c r="X102" s="236">
        <f>SUM(X$55:X$64)*Coefficients!$C97*Coefficients!$C$6</f>
        <v>257.54820346735551</v>
      </c>
      <c r="Y102" s="236">
        <f>SUM(Y$55:Y$64)*Coefficients!$C97*Coefficients!$C$6</f>
        <v>257.54820346735551</v>
      </c>
      <c r="Z102" s="236">
        <f>SUM(Z$55:Z$64)*Coefficients!$C97*Coefficients!$C$6</f>
        <v>257.54820346735551</v>
      </c>
      <c r="AA102" s="236">
        <f>SUM(AA$55:AA$64)*Coefficients!$C97*Coefficients!$C$6</f>
        <v>257.54820346735551</v>
      </c>
      <c r="AB102" s="236">
        <f>SUM(AB$55:AB$64)*Coefficients!$C97*Coefficients!$C$6</f>
        <v>257.54820346735551</v>
      </c>
      <c r="AC102" s="236">
        <f>SUM(AC$55:AC$64)*Coefficients!$C97*Coefficients!$C$6</f>
        <v>265.28929487945305</v>
      </c>
      <c r="AD102" s="236">
        <f>SUM(AD$55:AD$64)*Coefficients!$C97*Coefficients!$C$6</f>
        <v>265.28929487945305</v>
      </c>
      <c r="AE102" s="291"/>
      <c r="AF102" s="189">
        <f>SUM(E102:J102)/2000*Coefficients!$C$10</f>
        <v>657.73310850687346</v>
      </c>
      <c r="AG102" s="189">
        <f>SUM(F102:K102)/2000*Coefficients!$C$10</f>
        <v>662.99057001366646</v>
      </c>
      <c r="AH102" t="s">
        <v>167</v>
      </c>
      <c r="AI102" s="51"/>
      <c r="AJ102" s="51"/>
    </row>
    <row r="103" spans="2:36" x14ac:dyDescent="0.2">
      <c r="B103" s="354"/>
      <c r="C103" s="36" t="s">
        <v>247</v>
      </c>
      <c r="D103" s="311">
        <f>SUM(D$55:D$64)*Coefficients!$C98*Coefficients!$C$6</f>
        <v>39.428927615800767</v>
      </c>
      <c r="E103" s="236">
        <f>SUM(E$55:E$64)*Coefficients!$C98*Coefficients!$C$6</f>
        <v>40.691750151079894</v>
      </c>
      <c r="F103" s="236">
        <f>SUM(F$55:F$64)*Coefficients!$C98*Coefficients!$C$6</f>
        <v>40.691750151079894</v>
      </c>
      <c r="G103" s="236">
        <f>SUM(G$55:G$64)*Coefficients!$C98*Coefficients!$C$6</f>
        <v>41.651495277892025</v>
      </c>
      <c r="H103" s="236">
        <f>SUM(H$55:H$64)*Coefficients!$C98*Coefficients!$C$6</f>
        <v>41.651495277892025</v>
      </c>
      <c r="I103" s="236">
        <f>SUM(I$55:I$64)*Coefficients!$C98*Coefficients!$C$6</f>
        <v>42.690617821207425</v>
      </c>
      <c r="J103" s="236">
        <f>SUM(J$55:J$64)*Coefficients!$C98*Coefficients!$C$6</f>
        <v>42.690617821207425</v>
      </c>
      <c r="K103" s="236">
        <f>SUM(K$55:K$64)*Coefficients!$C98*Coefficients!$C$6</f>
        <v>42.690617821207425</v>
      </c>
      <c r="L103" s="236">
        <f>SUM(L$55:L$64)*Coefficients!$C98*Coefficients!$C$6</f>
        <v>42.690617821207425</v>
      </c>
      <c r="M103" s="236">
        <f>SUM(M$55:M$64)*Coefficients!$C98*Coefficients!$C$6</f>
        <v>42.690617821207425</v>
      </c>
      <c r="N103" s="236">
        <f>SUM(N$55:N$64)*Coefficients!$C98*Coefficients!$C$6</f>
        <v>42.690617821207425</v>
      </c>
      <c r="O103" s="236">
        <f>SUM(O$55:O$64)*Coefficients!$C98*Coefficients!$C$6</f>
        <v>43.63953875486002</v>
      </c>
      <c r="P103" s="236">
        <f>SUM(P$55:P$64)*Coefficients!$C98*Coefficients!$C$6</f>
        <v>43.63953875486002</v>
      </c>
      <c r="Q103" s="236">
        <f>SUM(Q$55:Q$64)*Coefficients!$C98*Coefficients!$C$6</f>
        <v>44.415272597960055</v>
      </c>
      <c r="R103" s="236">
        <f>SUM(R$55:R$64)*Coefficients!$C98*Coefficients!$C$6</f>
        <v>44.415272597960055</v>
      </c>
      <c r="S103" s="236">
        <f>SUM(S$55:S$64)*Coefficients!$C98*Coefficients!$C$6</f>
        <v>44.415272597960055</v>
      </c>
      <c r="T103" s="236">
        <f>SUM(T$55:T$64)*Coefficients!$C98*Coefficients!$C$6</f>
        <v>44.415272597960055</v>
      </c>
      <c r="U103" s="236">
        <f>SUM(U$55:U$64)*Coefficients!$C98*Coefficients!$C$6</f>
        <v>44.415272597960055</v>
      </c>
      <c r="V103" s="236">
        <f>SUM(V$55:V$64)*Coefficients!$C98*Coefficients!$C$6</f>
        <v>44.415272597960055</v>
      </c>
      <c r="W103" s="236">
        <f>SUM(W$55:W$64)*Coefficients!$C98*Coefficients!$C$6</f>
        <v>44.415272597960055</v>
      </c>
      <c r="X103" s="236">
        <f>SUM(X$55:X$64)*Coefficients!$C98*Coefficients!$C$6</f>
        <v>44.415272597960055</v>
      </c>
      <c r="Y103" s="236">
        <f>SUM(Y$55:Y$64)*Coefficients!$C98*Coefficients!$C$6</f>
        <v>44.415272597960055</v>
      </c>
      <c r="Z103" s="236">
        <f>SUM(Z$55:Z$64)*Coefficients!$C98*Coefficients!$C$6</f>
        <v>44.415272597960055</v>
      </c>
      <c r="AA103" s="236">
        <f>SUM(AA$55:AA$64)*Coefficients!$C98*Coefficients!$C$6</f>
        <v>44.415272597960055</v>
      </c>
      <c r="AB103" s="236">
        <f>SUM(AB$55:AB$64)*Coefficients!$C98*Coefficients!$C$6</f>
        <v>44.415272597960055</v>
      </c>
      <c r="AC103" s="236">
        <f>SUM(AC$55:AC$64)*Coefficients!$C98*Coefficients!$C$6</f>
        <v>45.750256420969414</v>
      </c>
      <c r="AD103" s="236">
        <f>SUM(AD$55:AD$64)*Coefficients!$C98*Coefficients!$C$6</f>
        <v>45.750256420969414</v>
      </c>
      <c r="AE103" s="291"/>
      <c r="AF103" s="189">
        <f>SUM(E103:J103)/2000*Coefficients!$C$10</f>
        <v>113.42884523261394</v>
      </c>
      <c r="AG103" s="189">
        <f>SUM(F103:K103)/2000*Coefficients!$C$10</f>
        <v>114.33551661627627</v>
      </c>
      <c r="AH103" t="s">
        <v>167</v>
      </c>
      <c r="AI103" s="51"/>
      <c r="AJ103" s="51"/>
    </row>
    <row r="104" spans="2:36" x14ac:dyDescent="0.2">
      <c r="B104" s="354"/>
      <c r="C104" s="36" t="s">
        <v>248</v>
      </c>
      <c r="D104" s="311">
        <f>SUM(D$55:D$64)*Coefficients!$C99*Coefficients!$C$6</f>
        <v>29.898315970350207</v>
      </c>
      <c r="E104" s="236">
        <f>SUM(E$55:E$64)*Coefficients!$C99*Coefficients!$C$6</f>
        <v>30.85589380615022</v>
      </c>
      <c r="F104" s="236">
        <f>SUM(F$55:F$64)*Coefficients!$C99*Coefficients!$C$6</f>
        <v>30.85589380615022</v>
      </c>
      <c r="G104" s="236">
        <f>SUM(G$55:G$64)*Coefficients!$C99*Coefficients!$C$6</f>
        <v>31.583652961358229</v>
      </c>
      <c r="H104" s="236">
        <f>SUM(H$55:H$64)*Coefficients!$C99*Coefficients!$C$6</f>
        <v>31.583652961358229</v>
      </c>
      <c r="I104" s="236">
        <f>SUM(I$55:I$64)*Coefficients!$C99*Coefficients!$C$6</f>
        <v>32.371602723387966</v>
      </c>
      <c r="J104" s="236">
        <f>SUM(J$55:J$64)*Coefficients!$C99*Coefficients!$C$6</f>
        <v>32.371602723387966</v>
      </c>
      <c r="K104" s="236">
        <f>SUM(K$55:K$64)*Coefficients!$C99*Coefficients!$C$6</f>
        <v>32.371602723387966</v>
      </c>
      <c r="L104" s="236">
        <f>SUM(L$55:L$64)*Coefficients!$C99*Coefficients!$C$6</f>
        <v>32.371602723387966</v>
      </c>
      <c r="M104" s="236">
        <f>SUM(M$55:M$64)*Coefficients!$C99*Coefficients!$C$6</f>
        <v>32.371602723387966</v>
      </c>
      <c r="N104" s="236">
        <f>SUM(N$55:N$64)*Coefficients!$C99*Coefficients!$C$6</f>
        <v>32.371602723387966</v>
      </c>
      <c r="O104" s="236">
        <f>SUM(O$55:O$64)*Coefficients!$C99*Coefficients!$C$6</f>
        <v>33.091154068574831</v>
      </c>
      <c r="P104" s="236">
        <f>SUM(P$55:P$64)*Coefficients!$C99*Coefficients!$C$6</f>
        <v>33.091154068574831</v>
      </c>
      <c r="Q104" s="236">
        <f>SUM(Q$55:Q$64)*Coefficients!$C99*Coefficients!$C$6</f>
        <v>33.679380453423413</v>
      </c>
      <c r="R104" s="236">
        <f>SUM(R$55:R$64)*Coefficients!$C99*Coefficients!$C$6</f>
        <v>33.679380453423413</v>
      </c>
      <c r="S104" s="236">
        <f>SUM(S$55:S$64)*Coefficients!$C99*Coefficients!$C$6</f>
        <v>33.679380453423413</v>
      </c>
      <c r="T104" s="236">
        <f>SUM(T$55:T$64)*Coefficients!$C99*Coefficients!$C$6</f>
        <v>33.679380453423413</v>
      </c>
      <c r="U104" s="236">
        <f>SUM(U$55:U$64)*Coefficients!$C99*Coefficients!$C$6</f>
        <v>33.679380453423413</v>
      </c>
      <c r="V104" s="236">
        <f>SUM(V$55:V$64)*Coefficients!$C99*Coefficients!$C$6</f>
        <v>33.679380453423413</v>
      </c>
      <c r="W104" s="236">
        <f>SUM(W$55:W$64)*Coefficients!$C99*Coefficients!$C$6</f>
        <v>33.679380453423413</v>
      </c>
      <c r="X104" s="236">
        <f>SUM(X$55:X$64)*Coefficients!$C99*Coefficients!$C$6</f>
        <v>33.679380453423413</v>
      </c>
      <c r="Y104" s="236">
        <f>SUM(Y$55:Y$64)*Coefficients!$C99*Coefficients!$C$6</f>
        <v>33.679380453423413</v>
      </c>
      <c r="Z104" s="236">
        <f>SUM(Z$55:Z$64)*Coefficients!$C99*Coefficients!$C$6</f>
        <v>33.679380453423413</v>
      </c>
      <c r="AA104" s="236">
        <f>SUM(AA$55:AA$64)*Coefficients!$C99*Coefficients!$C$6</f>
        <v>33.679380453423413</v>
      </c>
      <c r="AB104" s="236">
        <f>SUM(AB$55:AB$64)*Coefficients!$C99*Coefficients!$C$6</f>
        <v>33.679380453423413</v>
      </c>
      <c r="AC104" s="236">
        <f>SUM(AC$55:AC$64)*Coefficients!$C99*Coefficients!$C$6</f>
        <v>34.691677022697718</v>
      </c>
      <c r="AD104" s="236">
        <f>SUM(AD$55:AD$64)*Coefficients!$C99*Coefficients!$C$6</f>
        <v>34.691677022697718</v>
      </c>
      <c r="AE104" s="291"/>
      <c r="AF104" s="189">
        <f>SUM(E104:J104)/2000*Coefficients!$C$10</f>
        <v>86.011252650898868</v>
      </c>
      <c r="AG104" s="189">
        <f>SUM(F104:K104)/2000*Coefficients!$C$10</f>
        <v>86.698766847941016</v>
      </c>
      <c r="AH104" t="s">
        <v>167</v>
      </c>
      <c r="AI104" s="51"/>
      <c r="AJ104" s="51"/>
    </row>
    <row r="105" spans="2:36" x14ac:dyDescent="0.2">
      <c r="B105" s="354"/>
      <c r="C105" s="36" t="s">
        <v>249</v>
      </c>
      <c r="D105" s="311">
        <f>SUM(D$55:D$64)*Coefficients!$C100*Coefficients!$C$6</f>
        <v>93.890305189456967</v>
      </c>
      <c r="E105" s="236">
        <f>SUM(E$55:E$64)*Coefficients!$C100*Coefficients!$C$6</f>
        <v>96.897406838094412</v>
      </c>
      <c r="F105" s="236">
        <f>SUM(F$55:F$64)*Coefficients!$C100*Coefficients!$C$6</f>
        <v>96.897406838094412</v>
      </c>
      <c r="G105" s="236">
        <f>SUM(G$55:G$64)*Coefficients!$C100*Coefficients!$C$6</f>
        <v>99.182804091058856</v>
      </c>
      <c r="H105" s="236">
        <f>SUM(H$55:H$64)*Coefficients!$C100*Coefficients!$C$6</f>
        <v>99.182804091058856</v>
      </c>
      <c r="I105" s="236">
        <f>SUM(I$55:I$64)*Coefficients!$C100*Coefficients!$C$6</f>
        <v>101.65721916193769</v>
      </c>
      <c r="J105" s="236">
        <f>SUM(J$55:J$64)*Coefficients!$C100*Coefficients!$C$6</f>
        <v>101.65721916193769</v>
      </c>
      <c r="K105" s="236">
        <f>SUM(K$55:K$64)*Coefficients!$C100*Coefficients!$C$6</f>
        <v>101.65721916193769</v>
      </c>
      <c r="L105" s="236">
        <f>SUM(L$55:L$64)*Coefficients!$C100*Coefficients!$C$6</f>
        <v>101.65721916193769</v>
      </c>
      <c r="M105" s="236">
        <f>SUM(M$55:M$64)*Coefficients!$C100*Coefficients!$C$6</f>
        <v>101.65721916193769</v>
      </c>
      <c r="N105" s="236">
        <f>SUM(N$55:N$64)*Coefficients!$C100*Coefficients!$C$6</f>
        <v>101.65721916193769</v>
      </c>
      <c r="O105" s="236">
        <f>SUM(O$55:O$64)*Coefficients!$C100*Coefficients!$C$6</f>
        <v>103.91684125791382</v>
      </c>
      <c r="P105" s="236">
        <f>SUM(P$55:P$64)*Coefficients!$C100*Coefficients!$C$6</f>
        <v>103.91684125791382</v>
      </c>
      <c r="Q105" s="236">
        <f>SUM(Q$55:Q$64)*Coefficients!$C100*Coefficients!$C$6</f>
        <v>105.7640608420768</v>
      </c>
      <c r="R105" s="236">
        <f>SUM(R$55:R$64)*Coefficients!$C100*Coefficients!$C$6</f>
        <v>105.7640608420768</v>
      </c>
      <c r="S105" s="236">
        <f>SUM(S$55:S$64)*Coefficients!$C100*Coefficients!$C$6</f>
        <v>105.7640608420768</v>
      </c>
      <c r="T105" s="236">
        <f>SUM(T$55:T$64)*Coefficients!$C100*Coefficients!$C$6</f>
        <v>105.7640608420768</v>
      </c>
      <c r="U105" s="236">
        <f>SUM(U$55:U$64)*Coefficients!$C100*Coefficients!$C$6</f>
        <v>105.7640608420768</v>
      </c>
      <c r="V105" s="236">
        <f>SUM(V$55:V$64)*Coefficients!$C100*Coefficients!$C$6</f>
        <v>105.7640608420768</v>
      </c>
      <c r="W105" s="236">
        <f>SUM(W$55:W$64)*Coefficients!$C100*Coefficients!$C$6</f>
        <v>105.7640608420768</v>
      </c>
      <c r="X105" s="236">
        <f>SUM(X$55:X$64)*Coefficients!$C100*Coefficients!$C$6</f>
        <v>105.7640608420768</v>
      </c>
      <c r="Y105" s="236">
        <f>SUM(Y$55:Y$64)*Coefficients!$C100*Coefficients!$C$6</f>
        <v>105.7640608420768</v>
      </c>
      <c r="Z105" s="236">
        <f>SUM(Z$55:Z$64)*Coefficients!$C100*Coefficients!$C$6</f>
        <v>105.7640608420768</v>
      </c>
      <c r="AA105" s="236">
        <f>SUM(AA$55:AA$64)*Coefficients!$C100*Coefficients!$C$6</f>
        <v>105.7640608420768</v>
      </c>
      <c r="AB105" s="236">
        <f>SUM(AB$55:AB$64)*Coefficients!$C100*Coefficients!$C$6</f>
        <v>105.7640608420768</v>
      </c>
      <c r="AC105" s="236">
        <f>SUM(AC$55:AC$64)*Coefficients!$C100*Coefficients!$C$6</f>
        <v>108.94299687063639</v>
      </c>
      <c r="AD105" s="236">
        <f>SUM(AD$55:AD$64)*Coefficients!$C100*Coefficients!$C$6</f>
        <v>108.94299687063639</v>
      </c>
      <c r="AE105" s="291"/>
      <c r="AF105" s="189">
        <f>SUM(E105:J105)/2000*Coefficients!$C$10</f>
        <v>270.10293051718639</v>
      </c>
      <c r="AG105" s="189">
        <f>SUM(F105:K105)/2000*Coefficients!$C$10</f>
        <v>272.2619456886892</v>
      </c>
      <c r="AH105" t="s">
        <v>167</v>
      </c>
      <c r="AI105" s="51"/>
      <c r="AJ105" s="51"/>
    </row>
    <row r="106" spans="2:36" x14ac:dyDescent="0.2">
      <c r="B106" s="354"/>
      <c r="C106" s="36" t="s">
        <v>250</v>
      </c>
      <c r="D106" s="311">
        <f>SUM(D$55:D$64)*Coefficients!$C101*Coefficients!$C$6</f>
        <v>0</v>
      </c>
      <c r="E106" s="236">
        <f>SUM(E$55:E$64)*Coefficients!$C101*Coefficients!$C$6</f>
        <v>0</v>
      </c>
      <c r="F106" s="236">
        <f>SUM(F$55:F$64)*Coefficients!$C101*Coefficients!$C$6</f>
        <v>0</v>
      </c>
      <c r="G106" s="236">
        <f>SUM(G$55:G$64)*Coefficients!$C101*Coefficients!$C$6</f>
        <v>0</v>
      </c>
      <c r="H106" s="236">
        <f>SUM(H$55:H$64)*Coefficients!$C101*Coefficients!$C$6</f>
        <v>0</v>
      </c>
      <c r="I106" s="236">
        <f>SUM(I$55:I$64)*Coefficients!$C101*Coefficients!$C$6</f>
        <v>0</v>
      </c>
      <c r="J106" s="236">
        <f>SUM(J$55:J$64)*Coefficients!$C101*Coefficients!$C$6</f>
        <v>0</v>
      </c>
      <c r="K106" s="236">
        <f>SUM(K$55:K$64)*Coefficients!$C101*Coefficients!$C$6</f>
        <v>0</v>
      </c>
      <c r="L106" s="236">
        <f>SUM(L$55:L$64)*Coefficients!$C101*Coefficients!$C$6</f>
        <v>0</v>
      </c>
      <c r="M106" s="236">
        <f>SUM(M$55:M$64)*Coefficients!$C101*Coefficients!$C$6</f>
        <v>0</v>
      </c>
      <c r="N106" s="236">
        <f>SUM(N$55:N$64)*Coefficients!$C101*Coefficients!$C$6</f>
        <v>0</v>
      </c>
      <c r="O106" s="236">
        <f>SUM(O$55:O$64)*Coefficients!$C101*Coefficients!$C$6</f>
        <v>0</v>
      </c>
      <c r="P106" s="236">
        <f>SUM(P$55:P$64)*Coefficients!$C101*Coefficients!$C$6</f>
        <v>0</v>
      </c>
      <c r="Q106" s="236">
        <f>SUM(Q$55:Q$64)*Coefficients!$C101*Coefficients!$C$6</f>
        <v>0</v>
      </c>
      <c r="R106" s="236">
        <f>SUM(R$55:R$64)*Coefficients!$C101*Coefficients!$C$6</f>
        <v>0</v>
      </c>
      <c r="S106" s="236">
        <f>SUM(S$55:S$64)*Coefficients!$C101*Coefficients!$C$6</f>
        <v>0</v>
      </c>
      <c r="T106" s="236">
        <f>SUM(T$55:T$64)*Coefficients!$C101*Coefficients!$C$6</f>
        <v>0</v>
      </c>
      <c r="U106" s="236">
        <f>SUM(U$55:U$64)*Coefficients!$C101*Coefficients!$C$6</f>
        <v>0</v>
      </c>
      <c r="V106" s="236">
        <f>SUM(V$55:V$64)*Coefficients!$C101*Coefficients!$C$6</f>
        <v>0</v>
      </c>
      <c r="W106" s="236">
        <f>SUM(W$55:W$64)*Coefficients!$C101*Coefficients!$C$6</f>
        <v>0</v>
      </c>
      <c r="X106" s="236">
        <f>SUM(X$55:X$64)*Coefficients!$C101*Coefficients!$C$6</f>
        <v>0</v>
      </c>
      <c r="Y106" s="236">
        <f>SUM(Y$55:Y$64)*Coefficients!$C101*Coefficients!$C$6</f>
        <v>0</v>
      </c>
      <c r="Z106" s="236">
        <f>SUM(Z$55:Z$64)*Coefficients!$C101*Coefficients!$C$6</f>
        <v>0</v>
      </c>
      <c r="AA106" s="236">
        <f>SUM(AA$55:AA$64)*Coefficients!$C101*Coefficients!$C$6</f>
        <v>0</v>
      </c>
      <c r="AB106" s="236">
        <f>SUM(AB$55:AB$64)*Coefficients!$C101*Coefficients!$C$6</f>
        <v>0</v>
      </c>
      <c r="AC106" s="236">
        <f>SUM(AC$55:AC$64)*Coefficients!$C101*Coefficients!$C$6</f>
        <v>0</v>
      </c>
      <c r="AD106" s="236">
        <f>SUM(AD$55:AD$64)*Coefficients!$C101*Coefficients!$C$6</f>
        <v>0</v>
      </c>
      <c r="AE106" s="291"/>
      <c r="AF106" s="189">
        <f>SUM(E106:J106)/2000*Coefficients!$C$10</f>
        <v>0</v>
      </c>
      <c r="AG106" s="189">
        <f>SUM(F106:K106)/2000*Coefficients!$C$10</f>
        <v>0</v>
      </c>
      <c r="AH106" t="s">
        <v>167</v>
      </c>
      <c r="AI106" s="51"/>
      <c r="AJ106" s="51"/>
    </row>
    <row r="107" spans="2:36" x14ac:dyDescent="0.2">
      <c r="B107" s="354"/>
      <c r="C107" s="36" t="s">
        <v>251</v>
      </c>
      <c r="D107" s="311">
        <f>SUM(D$55:D$64)*Coefficients!$C102*Coefficients!$C$6</f>
        <v>52.992692839893046</v>
      </c>
      <c r="E107" s="236">
        <f>SUM(E$55:E$64)*Coefficients!$C102*Coefficients!$C$6</f>
        <v>54.689933185241003</v>
      </c>
      <c r="F107" s="236">
        <f>SUM(F$55:F$64)*Coefficients!$C102*Coefficients!$C$6</f>
        <v>54.689933185241003</v>
      </c>
      <c r="G107" s="236">
        <f>SUM(G$55:G$64)*Coefficients!$C102*Coefficients!$C$6</f>
        <v>55.979835847705459</v>
      </c>
      <c r="H107" s="236">
        <f>SUM(H$55:H$64)*Coefficients!$C102*Coefficients!$C$6</f>
        <v>55.979835847705459</v>
      </c>
      <c r="I107" s="236">
        <f>SUM(I$55:I$64)*Coefficients!$C102*Coefficients!$C$6</f>
        <v>57.37642218902036</v>
      </c>
      <c r="J107" s="236">
        <f>SUM(J$55:J$64)*Coefficients!$C102*Coefficients!$C$6</f>
        <v>57.37642218902036</v>
      </c>
      <c r="K107" s="236">
        <f>SUM(K$55:K$64)*Coefficients!$C102*Coefficients!$C$6</f>
        <v>57.37642218902036</v>
      </c>
      <c r="L107" s="236">
        <f>SUM(L$55:L$64)*Coefficients!$C102*Coefficients!$C$6</f>
        <v>57.37642218902036</v>
      </c>
      <c r="M107" s="236">
        <f>SUM(M$55:M$64)*Coefficients!$C102*Coefficients!$C$6</f>
        <v>57.37642218902036</v>
      </c>
      <c r="N107" s="236">
        <f>SUM(N$55:N$64)*Coefficients!$C102*Coefficients!$C$6</f>
        <v>57.37642218902036</v>
      </c>
      <c r="O107" s="236">
        <f>SUM(O$55:O$64)*Coefficients!$C102*Coefficients!$C$6</f>
        <v>58.651777077096114</v>
      </c>
      <c r="P107" s="236">
        <f>SUM(P$55:P$64)*Coefficients!$C102*Coefficients!$C$6</f>
        <v>58.651777077096114</v>
      </c>
      <c r="Q107" s="236">
        <f>SUM(Q$55:Q$64)*Coefficients!$C102*Coefficients!$C$6</f>
        <v>59.694367574952722</v>
      </c>
      <c r="R107" s="236">
        <f>SUM(R$55:R$64)*Coefficients!$C102*Coefficients!$C$6</f>
        <v>59.694367574952722</v>
      </c>
      <c r="S107" s="236">
        <f>SUM(S$55:S$64)*Coefficients!$C102*Coefficients!$C$6</f>
        <v>59.694367574952722</v>
      </c>
      <c r="T107" s="236">
        <f>SUM(T$55:T$64)*Coefficients!$C102*Coefficients!$C$6</f>
        <v>59.694367574952722</v>
      </c>
      <c r="U107" s="236">
        <f>SUM(U$55:U$64)*Coefficients!$C102*Coefficients!$C$6</f>
        <v>59.694367574952722</v>
      </c>
      <c r="V107" s="236">
        <f>SUM(V$55:V$64)*Coefficients!$C102*Coefficients!$C$6</f>
        <v>59.694367574952722</v>
      </c>
      <c r="W107" s="236">
        <f>SUM(W$55:W$64)*Coefficients!$C102*Coefficients!$C$6</f>
        <v>59.694367574952722</v>
      </c>
      <c r="X107" s="236">
        <f>SUM(X$55:X$64)*Coefficients!$C102*Coefficients!$C$6</f>
        <v>59.694367574952722</v>
      </c>
      <c r="Y107" s="236">
        <f>SUM(Y$55:Y$64)*Coefficients!$C102*Coefficients!$C$6</f>
        <v>59.694367574952722</v>
      </c>
      <c r="Z107" s="236">
        <f>SUM(Z$55:Z$64)*Coefficients!$C102*Coefficients!$C$6</f>
        <v>59.694367574952722</v>
      </c>
      <c r="AA107" s="236">
        <f>SUM(AA$55:AA$64)*Coefficients!$C102*Coefficients!$C$6</f>
        <v>59.694367574952722</v>
      </c>
      <c r="AB107" s="236">
        <f>SUM(AB$55:AB$64)*Coefficients!$C102*Coefficients!$C$6</f>
        <v>59.694367574952722</v>
      </c>
      <c r="AC107" s="236">
        <f>SUM(AC$55:AC$64)*Coefficients!$C102*Coefficients!$C$6</f>
        <v>61.488593082892002</v>
      </c>
      <c r="AD107" s="236">
        <f>SUM(AD$55:AD$64)*Coefficients!$C102*Coefficients!$C$6</f>
        <v>61.488593082892002</v>
      </c>
      <c r="AE107" s="292"/>
      <c r="AF107" s="189">
        <f>SUM(E107:J107)/2000*Coefficients!$C$10</f>
        <v>152.44898398369995</v>
      </c>
      <c r="AG107" s="189">
        <f>SUM(F107:K107)/2000*Coefficients!$C$10</f>
        <v>153.66755524714674</v>
      </c>
      <c r="AH107" t="s">
        <v>167</v>
      </c>
      <c r="AI107" s="51"/>
      <c r="AJ107" s="51"/>
    </row>
    <row r="108" spans="2:36" x14ac:dyDescent="0.2">
      <c r="D108" s="292"/>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row>
    <row r="109" spans="2:36" ht="17" thickBot="1" x14ac:dyDescent="0.25">
      <c r="D109" s="292"/>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row>
    <row r="110" spans="2:36" ht="17" thickBot="1" x14ac:dyDescent="0.25">
      <c r="B110" s="332" t="s">
        <v>275</v>
      </c>
      <c r="C110" s="334"/>
      <c r="D110" s="292"/>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row>
    <row r="111" spans="2:36" x14ac:dyDescent="0.2">
      <c r="B111" s="342"/>
      <c r="C111" s="301" t="s">
        <v>244</v>
      </c>
      <c r="D111" s="313">
        <f t="shared" ref="D111:AD111" si="3">D100-D89</f>
        <v>-6788.0408002233271</v>
      </c>
      <c r="E111" s="314">
        <f t="shared" si="3"/>
        <v>-6997.535849631985</v>
      </c>
      <c r="F111" s="314">
        <f t="shared" si="3"/>
        <v>-6997.535849631985</v>
      </c>
      <c r="G111" s="314">
        <f t="shared" si="3"/>
        <v>-7329.6568474632541</v>
      </c>
      <c r="H111" s="314">
        <f t="shared" si="3"/>
        <v>-7329.6568474632541</v>
      </c>
      <c r="I111" s="314">
        <f t="shared" si="3"/>
        <v>-7584.788623396711</v>
      </c>
      <c r="J111" s="314">
        <f t="shared" si="3"/>
        <v>-7584.788623396711</v>
      </c>
      <c r="K111" s="314">
        <f t="shared" si="3"/>
        <v>-7584.788623396711</v>
      </c>
      <c r="L111" s="314">
        <f t="shared" si="3"/>
        <v>-7584.788623396711</v>
      </c>
      <c r="M111" s="314">
        <f t="shared" si="3"/>
        <v>-7708.2920235972033</v>
      </c>
      <c r="N111" s="314">
        <f t="shared" si="3"/>
        <v>-7708.2920235972033</v>
      </c>
      <c r="O111" s="314">
        <f t="shared" si="3"/>
        <v>-7919.4365683829246</v>
      </c>
      <c r="P111" s="314">
        <f t="shared" si="3"/>
        <v>-7919.4365683829246</v>
      </c>
      <c r="Q111" s="314">
        <f t="shared" si="3"/>
        <v>-8252.5245117800587</v>
      </c>
      <c r="R111" s="314">
        <f t="shared" si="3"/>
        <v>-8252.5245117800587</v>
      </c>
      <c r="S111" s="314">
        <f t="shared" si="3"/>
        <v>-8252.5245117800587</v>
      </c>
      <c r="T111" s="314">
        <f t="shared" si="3"/>
        <v>-8252.5245117800587</v>
      </c>
      <c r="U111" s="314">
        <f t="shared" si="3"/>
        <v>-8252.5245117800587</v>
      </c>
      <c r="V111" s="314">
        <f t="shared" si="3"/>
        <v>-8252.5245117800587</v>
      </c>
      <c r="W111" s="314">
        <f t="shared" si="3"/>
        <v>-8252.5245117800587</v>
      </c>
      <c r="X111" s="314">
        <f t="shared" si="3"/>
        <v>-8252.5245117800587</v>
      </c>
      <c r="Y111" s="314">
        <f t="shared" si="3"/>
        <v>-8252.5245117800587</v>
      </c>
      <c r="Z111" s="314">
        <f t="shared" si="3"/>
        <v>-8252.5245117800587</v>
      </c>
      <c r="AA111" s="314">
        <f t="shared" si="3"/>
        <v>-8252.5245117800587</v>
      </c>
      <c r="AB111" s="314">
        <f t="shared" si="3"/>
        <v>-8252.5245117800587</v>
      </c>
      <c r="AC111" s="314">
        <f t="shared" si="3"/>
        <v>-8383.215707721849</v>
      </c>
      <c r="AD111" s="314">
        <f t="shared" si="3"/>
        <v>-8383.215707721849</v>
      </c>
      <c r="AF111" s="312">
        <f t="shared" ref="AF111:AG118" si="4">AF100-AF89</f>
        <v>-19878.220774230489</v>
      </c>
      <c r="AG111" s="312">
        <f t="shared" si="4"/>
        <v>-20144.594228014364</v>
      </c>
      <c r="AH111" t="s">
        <v>167</v>
      </c>
    </row>
    <row r="112" spans="2:36" x14ac:dyDescent="0.2">
      <c r="B112" s="342"/>
      <c r="C112" s="301" t="s">
        <v>245</v>
      </c>
      <c r="D112" s="313">
        <f t="shared" ref="D112:AD112" si="5">D101-D90</f>
        <v>-68.232235756683309</v>
      </c>
      <c r="E112" s="314">
        <f t="shared" si="5"/>
        <v>-70.291796214216788</v>
      </c>
      <c r="F112" s="314">
        <f t="shared" si="5"/>
        <v>-70.291796214216788</v>
      </c>
      <c r="G112" s="314">
        <f t="shared" si="5"/>
        <v>-74.605873831768193</v>
      </c>
      <c r="H112" s="314">
        <f t="shared" si="5"/>
        <v>-74.605873831768193</v>
      </c>
      <c r="I112" s="314">
        <f t="shared" si="5"/>
        <v>-77.616100593098182</v>
      </c>
      <c r="J112" s="314">
        <f t="shared" si="5"/>
        <v>-77.616100593098182</v>
      </c>
      <c r="K112" s="314">
        <f t="shared" si="5"/>
        <v>-77.616100593098182</v>
      </c>
      <c r="L112" s="314">
        <f t="shared" si="5"/>
        <v>-77.616100593098182</v>
      </c>
      <c r="M112" s="314">
        <f t="shared" si="5"/>
        <v>-79.5795375001167</v>
      </c>
      <c r="N112" s="314">
        <f t="shared" si="5"/>
        <v>-79.5795375001167</v>
      </c>
      <c r="O112" s="314">
        <f t="shared" si="5"/>
        <v>-81.981245127044929</v>
      </c>
      <c r="P112" s="314">
        <f t="shared" si="5"/>
        <v>-81.981245127044929</v>
      </c>
      <c r="Q112" s="314">
        <f t="shared" si="5"/>
        <v>-86.495891774931181</v>
      </c>
      <c r="R112" s="314">
        <f t="shared" si="5"/>
        <v>-86.495891774931181</v>
      </c>
      <c r="S112" s="314">
        <f t="shared" si="5"/>
        <v>-86.495891774931181</v>
      </c>
      <c r="T112" s="314">
        <f t="shared" si="5"/>
        <v>-86.495891774931181</v>
      </c>
      <c r="U112" s="314">
        <f t="shared" si="5"/>
        <v>-86.495891774931181</v>
      </c>
      <c r="V112" s="314">
        <f t="shared" si="5"/>
        <v>-86.495891774931181</v>
      </c>
      <c r="W112" s="314">
        <f t="shared" si="5"/>
        <v>-86.495891774931181</v>
      </c>
      <c r="X112" s="314">
        <f t="shared" si="5"/>
        <v>-86.495891774931181</v>
      </c>
      <c r="Y112" s="314">
        <f t="shared" si="5"/>
        <v>-86.495891774931181</v>
      </c>
      <c r="Z112" s="314">
        <f t="shared" si="5"/>
        <v>-86.495891774931181</v>
      </c>
      <c r="AA112" s="314">
        <f t="shared" si="5"/>
        <v>-86.495891774931181</v>
      </c>
      <c r="AB112" s="314">
        <f t="shared" si="5"/>
        <v>-86.495891774931181</v>
      </c>
      <c r="AC112" s="314">
        <f t="shared" si="5"/>
        <v>-87.230015274808011</v>
      </c>
      <c r="AD112" s="314">
        <f t="shared" si="5"/>
        <v>-87.230015274808011</v>
      </c>
      <c r="AF112" s="303">
        <f t="shared" si="4"/>
        <v>-201.86115501721673</v>
      </c>
      <c r="AG112" s="303">
        <f t="shared" si="4"/>
        <v>-205.18340455119443</v>
      </c>
      <c r="AH112" t="s">
        <v>167</v>
      </c>
    </row>
    <row r="113" spans="2:34" x14ac:dyDescent="0.2">
      <c r="B113" s="342"/>
      <c r="C113" s="301" t="s">
        <v>246</v>
      </c>
      <c r="D113" s="313">
        <f t="shared" ref="D113:AD113" si="6">D102-D91</f>
        <v>-2.8994491243316531</v>
      </c>
      <c r="E113" s="314">
        <f t="shared" si="6"/>
        <v>-2.7304648003669172</v>
      </c>
      <c r="F113" s="314">
        <f t="shared" si="6"/>
        <v>-2.7304648003669172</v>
      </c>
      <c r="G113" s="314">
        <f t="shared" si="6"/>
        <v>-8.3249724857584795</v>
      </c>
      <c r="H113" s="314">
        <f t="shared" si="6"/>
        <v>-8.3249724857584795</v>
      </c>
      <c r="I113" s="314">
        <f t="shared" si="6"/>
        <v>-10.924756075592711</v>
      </c>
      <c r="J113" s="314">
        <f t="shared" si="6"/>
        <v>-10.924756075592711</v>
      </c>
      <c r="K113" s="314">
        <f t="shared" si="6"/>
        <v>-10.924756075592711</v>
      </c>
      <c r="L113" s="314">
        <f t="shared" si="6"/>
        <v>-10.924756075592711</v>
      </c>
      <c r="M113" s="314">
        <f t="shared" si="6"/>
        <v>-15.012567341024749</v>
      </c>
      <c r="N113" s="314">
        <f t="shared" si="6"/>
        <v>-15.012567341024749</v>
      </c>
      <c r="O113" s="314">
        <f t="shared" si="6"/>
        <v>-16.663785592337035</v>
      </c>
      <c r="P113" s="314">
        <f t="shared" si="6"/>
        <v>-16.663785592337035</v>
      </c>
      <c r="Q113" s="314">
        <f t="shared" si="6"/>
        <v>-23.325308580477213</v>
      </c>
      <c r="R113" s="314">
        <f t="shared" si="6"/>
        <v>-23.325308580477213</v>
      </c>
      <c r="S113" s="314">
        <f t="shared" si="6"/>
        <v>-23.325308580477213</v>
      </c>
      <c r="T113" s="314">
        <f t="shared" si="6"/>
        <v>-23.325308580477213</v>
      </c>
      <c r="U113" s="314">
        <f t="shared" si="6"/>
        <v>-23.325308580477213</v>
      </c>
      <c r="V113" s="314">
        <f t="shared" si="6"/>
        <v>-23.325308580477213</v>
      </c>
      <c r="W113" s="314">
        <f t="shared" si="6"/>
        <v>-23.325308580477213</v>
      </c>
      <c r="X113" s="314">
        <f t="shared" si="6"/>
        <v>-23.325308580477213</v>
      </c>
      <c r="Y113" s="314">
        <f t="shared" si="6"/>
        <v>-23.325308580477213</v>
      </c>
      <c r="Z113" s="314">
        <f t="shared" si="6"/>
        <v>-23.325308580477213</v>
      </c>
      <c r="AA113" s="314">
        <f t="shared" si="6"/>
        <v>-23.325308580477213</v>
      </c>
      <c r="AB113" s="314">
        <f t="shared" si="6"/>
        <v>-23.325308580477213</v>
      </c>
      <c r="AC113" s="314">
        <f t="shared" si="6"/>
        <v>-20.142126729336326</v>
      </c>
      <c r="AD113" s="314">
        <f t="shared" si="6"/>
        <v>-20.142126729336326</v>
      </c>
      <c r="AF113" s="303">
        <f t="shared" si="4"/>
        <v>-19.940101714850243</v>
      </c>
      <c r="AG113" s="303">
        <f t="shared" si="4"/>
        <v>-23.656970780108281</v>
      </c>
      <c r="AH113" t="s">
        <v>167</v>
      </c>
    </row>
    <row r="114" spans="2:34" x14ac:dyDescent="0.2">
      <c r="B114" s="342"/>
      <c r="C114" s="301" t="s">
        <v>247</v>
      </c>
      <c r="D114" s="313">
        <f t="shared" ref="D114:AD114" si="7">D103-D92</f>
        <v>-62.664641550717612</v>
      </c>
      <c r="E114" s="314">
        <f t="shared" si="7"/>
        <v>-64.556193062779698</v>
      </c>
      <c r="F114" s="314">
        <f t="shared" si="7"/>
        <v>-64.556193062779698</v>
      </c>
      <c r="G114" s="314">
        <f t="shared" si="7"/>
        <v>-68.517271449819873</v>
      </c>
      <c r="H114" s="314">
        <f t="shared" si="7"/>
        <v>-68.517271449819873</v>
      </c>
      <c r="I114" s="314">
        <f t="shared" si="7"/>
        <v>-71.281422757870203</v>
      </c>
      <c r="J114" s="314">
        <f t="shared" si="7"/>
        <v>-71.281422757870203</v>
      </c>
      <c r="K114" s="314">
        <f t="shared" si="7"/>
        <v>-71.281422757870203</v>
      </c>
      <c r="L114" s="314">
        <f t="shared" si="7"/>
        <v>-71.281422757870203</v>
      </c>
      <c r="M114" s="314">
        <f t="shared" si="7"/>
        <v>-73.083922213493764</v>
      </c>
      <c r="N114" s="314">
        <f t="shared" si="7"/>
        <v>-73.083922213493764</v>
      </c>
      <c r="O114" s="314">
        <f t="shared" si="7"/>
        <v>-75.289375327182398</v>
      </c>
      <c r="P114" s="314">
        <f t="shared" si="7"/>
        <v>-75.289375327182398</v>
      </c>
      <c r="Q114" s="314">
        <f t="shared" si="7"/>
        <v>-79.434464997934697</v>
      </c>
      <c r="R114" s="314">
        <f t="shared" si="7"/>
        <v>-79.434464997934697</v>
      </c>
      <c r="S114" s="314">
        <f t="shared" si="7"/>
        <v>-79.434464997934697</v>
      </c>
      <c r="T114" s="314">
        <f t="shared" si="7"/>
        <v>-79.434464997934697</v>
      </c>
      <c r="U114" s="314">
        <f t="shared" si="7"/>
        <v>-79.434464997934697</v>
      </c>
      <c r="V114" s="314">
        <f t="shared" si="7"/>
        <v>-79.434464997934697</v>
      </c>
      <c r="W114" s="314">
        <f t="shared" si="7"/>
        <v>-79.434464997934697</v>
      </c>
      <c r="X114" s="314">
        <f t="shared" si="7"/>
        <v>-79.434464997934697</v>
      </c>
      <c r="Y114" s="314">
        <f t="shared" si="7"/>
        <v>-79.434464997934697</v>
      </c>
      <c r="Z114" s="314">
        <f t="shared" si="7"/>
        <v>-79.434464997934697</v>
      </c>
      <c r="AA114" s="314">
        <f t="shared" si="7"/>
        <v>-79.434464997934697</v>
      </c>
      <c r="AB114" s="314">
        <f t="shared" si="7"/>
        <v>-79.434464997934697</v>
      </c>
      <c r="AC114" s="314">
        <f t="shared" si="7"/>
        <v>-80.109268067945607</v>
      </c>
      <c r="AD114" s="314">
        <f t="shared" si="7"/>
        <v>-80.109268067945607</v>
      </c>
      <c r="AF114" s="303">
        <f t="shared" si="4"/>
        <v>-185.38768840846114</v>
      </c>
      <c r="AG114" s="303">
        <f t="shared" si="4"/>
        <v>-188.43820215893146</v>
      </c>
      <c r="AH114" t="s">
        <v>167</v>
      </c>
    </row>
    <row r="115" spans="2:34" x14ac:dyDescent="0.2">
      <c r="B115" s="342"/>
      <c r="C115" s="301" t="s">
        <v>248</v>
      </c>
      <c r="D115" s="313">
        <f t="shared" ref="D115:AD115" si="8">D104-D93</f>
        <v>0.72872477991638007</v>
      </c>
      <c r="E115" s="314">
        <f t="shared" si="8"/>
        <v>0.78505288790462302</v>
      </c>
      <c r="F115" s="314">
        <f t="shared" si="8"/>
        <v>0.78505288790462302</v>
      </c>
      <c r="G115" s="314">
        <f t="shared" si="8"/>
        <v>0.10686246772625552</v>
      </c>
      <c r="H115" s="314">
        <f t="shared" si="8"/>
        <v>0.10686246772625552</v>
      </c>
      <c r="I115" s="314">
        <f t="shared" si="8"/>
        <v>-0.1918374420627913</v>
      </c>
      <c r="J115" s="314">
        <f t="shared" si="8"/>
        <v>-0.1918374420627913</v>
      </c>
      <c r="K115" s="314">
        <f t="shared" si="8"/>
        <v>-0.1918374420627913</v>
      </c>
      <c r="L115" s="314">
        <f t="shared" si="8"/>
        <v>-0.1918374420627913</v>
      </c>
      <c r="M115" s="314">
        <f t="shared" si="8"/>
        <v>-0.70683728652666389</v>
      </c>
      <c r="N115" s="314">
        <f t="shared" si="8"/>
        <v>-0.70683728652666389</v>
      </c>
      <c r="O115" s="314">
        <f t="shared" si="8"/>
        <v>-0.88853566915157955</v>
      </c>
      <c r="P115" s="314">
        <f t="shared" si="8"/>
        <v>-0.88853566915157955</v>
      </c>
      <c r="Q115" s="314">
        <f t="shared" si="8"/>
        <v>-1.7062588596893775</v>
      </c>
      <c r="R115" s="314">
        <f t="shared" si="8"/>
        <v>-1.7062588596893775</v>
      </c>
      <c r="S115" s="314">
        <f t="shared" si="8"/>
        <v>-1.7062588596893775</v>
      </c>
      <c r="T115" s="314">
        <f t="shared" si="8"/>
        <v>-1.7062588596893775</v>
      </c>
      <c r="U115" s="314">
        <f t="shared" si="8"/>
        <v>-1.7062588596893775</v>
      </c>
      <c r="V115" s="314">
        <f t="shared" si="8"/>
        <v>-1.7062588596893775</v>
      </c>
      <c r="W115" s="314">
        <f t="shared" si="8"/>
        <v>-1.7062588596893775</v>
      </c>
      <c r="X115" s="314">
        <f t="shared" si="8"/>
        <v>-1.7062588596893775</v>
      </c>
      <c r="Y115" s="314">
        <f t="shared" si="8"/>
        <v>-1.7062588596893775</v>
      </c>
      <c r="Z115" s="314">
        <f t="shared" si="8"/>
        <v>-1.7062588596893775</v>
      </c>
      <c r="AA115" s="314">
        <f t="shared" si="8"/>
        <v>-1.7062588596893775</v>
      </c>
      <c r="AB115" s="314">
        <f t="shared" si="8"/>
        <v>-1.7062588596893775</v>
      </c>
      <c r="AC115" s="314">
        <f t="shared" si="8"/>
        <v>-1.2681871169922871</v>
      </c>
      <c r="AD115" s="314">
        <f t="shared" si="8"/>
        <v>-1.2681871169922871</v>
      </c>
      <c r="AF115" s="303">
        <f t="shared" si="4"/>
        <v>0.63510018202028107</v>
      </c>
      <c r="AG115" s="303">
        <f t="shared" si="4"/>
        <v>0.19199005502451882</v>
      </c>
      <c r="AH115" t="s">
        <v>167</v>
      </c>
    </row>
    <row r="116" spans="2:34" x14ac:dyDescent="0.2">
      <c r="B116" s="342"/>
      <c r="C116" s="301" t="s">
        <v>249</v>
      </c>
      <c r="D116" s="313">
        <f t="shared" ref="D116:AD116" si="9">D105-D94</f>
        <v>-152.22812047982845</v>
      </c>
      <c r="E116" s="314">
        <f t="shared" si="9"/>
        <v>-156.82531340960281</v>
      </c>
      <c r="F116" s="314">
        <f t="shared" si="9"/>
        <v>-156.82531340960281</v>
      </c>
      <c r="G116" s="314">
        <f t="shared" si="9"/>
        <v>-166.40261569896086</v>
      </c>
      <c r="H116" s="314">
        <f t="shared" si="9"/>
        <v>-166.40261569896086</v>
      </c>
      <c r="I116" s="314">
        <f t="shared" si="9"/>
        <v>-173.09680723405302</v>
      </c>
      <c r="J116" s="314">
        <f t="shared" si="9"/>
        <v>-173.09680723405302</v>
      </c>
      <c r="K116" s="314">
        <f t="shared" si="9"/>
        <v>-173.09680723405302</v>
      </c>
      <c r="L116" s="314">
        <f t="shared" si="9"/>
        <v>-173.09680723405302</v>
      </c>
      <c r="M116" s="314">
        <f t="shared" si="9"/>
        <v>-177.442118421717</v>
      </c>
      <c r="N116" s="314">
        <f t="shared" si="9"/>
        <v>-177.442118421717</v>
      </c>
      <c r="O116" s="314">
        <f t="shared" si="9"/>
        <v>-182.78679090415272</v>
      </c>
      <c r="P116" s="314">
        <f t="shared" si="9"/>
        <v>-182.78679090415272</v>
      </c>
      <c r="Q116" s="314">
        <f t="shared" si="9"/>
        <v>-192.80227086231235</v>
      </c>
      <c r="R116" s="314">
        <f t="shared" si="9"/>
        <v>-192.80227086231235</v>
      </c>
      <c r="S116" s="314">
        <f t="shared" si="9"/>
        <v>-192.80227086231235</v>
      </c>
      <c r="T116" s="314">
        <f t="shared" si="9"/>
        <v>-192.80227086231235</v>
      </c>
      <c r="U116" s="314">
        <f t="shared" si="9"/>
        <v>-192.80227086231235</v>
      </c>
      <c r="V116" s="314">
        <f t="shared" si="9"/>
        <v>-192.80227086231235</v>
      </c>
      <c r="W116" s="314">
        <f t="shared" si="9"/>
        <v>-192.80227086231235</v>
      </c>
      <c r="X116" s="314">
        <f t="shared" si="9"/>
        <v>-192.80227086231235</v>
      </c>
      <c r="Y116" s="314">
        <f t="shared" si="9"/>
        <v>-192.80227086231235</v>
      </c>
      <c r="Z116" s="314">
        <f t="shared" si="9"/>
        <v>-192.80227086231235</v>
      </c>
      <c r="AA116" s="314">
        <f t="shared" si="9"/>
        <v>-192.80227086231235</v>
      </c>
      <c r="AB116" s="314">
        <f t="shared" si="9"/>
        <v>-192.80227086231235</v>
      </c>
      <c r="AC116" s="314">
        <f t="shared" si="9"/>
        <v>-194.46835680799805</v>
      </c>
      <c r="AD116" s="314">
        <f t="shared" si="9"/>
        <v>-194.46835680799805</v>
      </c>
      <c r="AF116" s="303">
        <f t="shared" si="4"/>
        <v>-450.25835593897665</v>
      </c>
      <c r="AG116" s="303">
        <f t="shared" si="4"/>
        <v>-457.63898350154358</v>
      </c>
      <c r="AH116" t="s">
        <v>167</v>
      </c>
    </row>
    <row r="117" spans="2:34" x14ac:dyDescent="0.2">
      <c r="B117" s="342"/>
      <c r="C117" s="301" t="s">
        <v>250</v>
      </c>
      <c r="D117" s="313">
        <f t="shared" ref="D117:AD117" si="10">D106-D95</f>
        <v>-94.80117136890992</v>
      </c>
      <c r="E117" s="314">
        <f t="shared" si="10"/>
        <v>-97.730232984298183</v>
      </c>
      <c r="F117" s="314">
        <f t="shared" si="10"/>
        <v>-97.730232984298183</v>
      </c>
      <c r="G117" s="314">
        <f t="shared" si="10"/>
        <v>-102.2995691043039</v>
      </c>
      <c r="H117" s="314">
        <f t="shared" si="10"/>
        <v>-102.2995691043039</v>
      </c>
      <c r="I117" s="314">
        <f t="shared" si="10"/>
        <v>-105.83118053771493</v>
      </c>
      <c r="J117" s="314">
        <f t="shared" si="10"/>
        <v>-105.83118053771493</v>
      </c>
      <c r="K117" s="314">
        <f t="shared" si="10"/>
        <v>-105.83118053771493</v>
      </c>
      <c r="L117" s="314">
        <f t="shared" si="10"/>
        <v>-105.83118053771493</v>
      </c>
      <c r="M117" s="314">
        <f t="shared" si="10"/>
        <v>-107.50493003222252</v>
      </c>
      <c r="N117" s="314">
        <f t="shared" si="10"/>
        <v>-107.50493003222252</v>
      </c>
      <c r="O117" s="314">
        <f t="shared" si="10"/>
        <v>-110.4339916476108</v>
      </c>
      <c r="P117" s="314">
        <f t="shared" si="10"/>
        <v>-110.4339916476108</v>
      </c>
      <c r="Q117" s="314">
        <f t="shared" si="10"/>
        <v>-115.00332776761654</v>
      </c>
      <c r="R117" s="314">
        <f t="shared" si="10"/>
        <v>-115.00332776761654</v>
      </c>
      <c r="S117" s="314">
        <f t="shared" si="10"/>
        <v>-115.00332776761654</v>
      </c>
      <c r="T117" s="314">
        <f t="shared" si="10"/>
        <v>-115.00332776761654</v>
      </c>
      <c r="U117" s="314">
        <f t="shared" si="10"/>
        <v>-115.00332776761654</v>
      </c>
      <c r="V117" s="314">
        <f t="shared" si="10"/>
        <v>-115.00332776761654</v>
      </c>
      <c r="W117" s="314">
        <f t="shared" si="10"/>
        <v>-115.00332776761654</v>
      </c>
      <c r="X117" s="314">
        <f t="shared" si="10"/>
        <v>-115.00332776761654</v>
      </c>
      <c r="Y117" s="314">
        <f t="shared" si="10"/>
        <v>-115.00332776761654</v>
      </c>
      <c r="Z117" s="314">
        <f t="shared" si="10"/>
        <v>-115.00332776761654</v>
      </c>
      <c r="AA117" s="314">
        <f t="shared" si="10"/>
        <v>-115.00332776761654</v>
      </c>
      <c r="AB117" s="314">
        <f t="shared" si="10"/>
        <v>-115.00332776761654</v>
      </c>
      <c r="AC117" s="314">
        <f t="shared" si="10"/>
        <v>-116.8695584539925</v>
      </c>
      <c r="AD117" s="314">
        <f t="shared" si="10"/>
        <v>-116.8695584539925</v>
      </c>
      <c r="AF117" s="303">
        <f t="shared" si="4"/>
        <v>-277.4724955238554</v>
      </c>
      <c r="AG117" s="303">
        <f t="shared" si="4"/>
        <v>-281.14702457697854</v>
      </c>
      <c r="AH117" t="s">
        <v>167</v>
      </c>
    </row>
    <row r="118" spans="2:34" x14ac:dyDescent="0.2">
      <c r="B118" s="342"/>
      <c r="C118" s="301" t="s">
        <v>251</v>
      </c>
      <c r="D118" s="313">
        <f t="shared" ref="D118:AD118" si="11">D107-D96</f>
        <v>-75.59415752533684</v>
      </c>
      <c r="E118" s="314">
        <f t="shared" si="11"/>
        <v>-77.869851292615138</v>
      </c>
      <c r="F118" s="314">
        <f t="shared" si="11"/>
        <v>-77.869851292615138</v>
      </c>
      <c r="G118" s="314">
        <f t="shared" si="11"/>
        <v>-82.777725845847669</v>
      </c>
      <c r="H118" s="314">
        <f t="shared" si="11"/>
        <v>-82.777725845847669</v>
      </c>
      <c r="I118" s="314">
        <f t="shared" si="11"/>
        <v>-86.171362920327908</v>
      </c>
      <c r="J118" s="314">
        <f t="shared" si="11"/>
        <v>-86.171362920327908</v>
      </c>
      <c r="K118" s="314">
        <f t="shared" si="11"/>
        <v>-86.171362920327908</v>
      </c>
      <c r="L118" s="314">
        <f t="shared" si="11"/>
        <v>-86.171362920327908</v>
      </c>
      <c r="M118" s="314">
        <f t="shared" si="11"/>
        <v>-88.441610984685781</v>
      </c>
      <c r="N118" s="314">
        <f t="shared" si="11"/>
        <v>-88.441610984685781</v>
      </c>
      <c r="O118" s="314">
        <f t="shared" si="11"/>
        <v>-91.13919020923629</v>
      </c>
      <c r="P118" s="314">
        <f t="shared" si="11"/>
        <v>-91.13919020923629</v>
      </c>
      <c r="Q118" s="314">
        <f t="shared" si="11"/>
        <v>-96.294376927076698</v>
      </c>
      <c r="R118" s="314">
        <f t="shared" si="11"/>
        <v>-96.294376927076698</v>
      </c>
      <c r="S118" s="314">
        <f t="shared" si="11"/>
        <v>-96.294376927076698</v>
      </c>
      <c r="T118" s="314">
        <f t="shared" si="11"/>
        <v>-96.294376927076698</v>
      </c>
      <c r="U118" s="314">
        <f t="shared" si="11"/>
        <v>-96.294376927076698</v>
      </c>
      <c r="V118" s="314">
        <f t="shared" si="11"/>
        <v>-96.294376927076698</v>
      </c>
      <c r="W118" s="314">
        <f t="shared" si="11"/>
        <v>-96.294376927076698</v>
      </c>
      <c r="X118" s="314">
        <f t="shared" si="11"/>
        <v>-96.294376927076698</v>
      </c>
      <c r="Y118" s="314">
        <f t="shared" si="11"/>
        <v>-96.294376927076698</v>
      </c>
      <c r="Z118" s="314">
        <f t="shared" si="11"/>
        <v>-96.294376927076698</v>
      </c>
      <c r="AA118" s="314">
        <f t="shared" si="11"/>
        <v>-96.294376927076698</v>
      </c>
      <c r="AB118" s="314">
        <f t="shared" si="11"/>
        <v>-96.294376927076698</v>
      </c>
      <c r="AC118" s="314">
        <f t="shared" si="11"/>
        <v>-97.03147801089645</v>
      </c>
      <c r="AD118" s="314">
        <f t="shared" si="11"/>
        <v>-97.03147801089645</v>
      </c>
      <c r="AF118" s="303">
        <f t="shared" si="4"/>
        <v>-223.91044013723408</v>
      </c>
      <c r="AG118" s="303">
        <f t="shared" si="4"/>
        <v>-227.6759435502274</v>
      </c>
      <c r="AH118" t="s">
        <v>167</v>
      </c>
    </row>
  </sheetData>
  <mergeCells count="24">
    <mergeCell ref="B100:B107"/>
    <mergeCell ref="B73:C73"/>
    <mergeCell ref="B76:C76"/>
    <mergeCell ref="B79:C79"/>
    <mergeCell ref="B82:C82"/>
    <mergeCell ref="B99:C99"/>
    <mergeCell ref="B88:C88"/>
    <mergeCell ref="B89:B96"/>
    <mergeCell ref="B111:B118"/>
    <mergeCell ref="D2:F2"/>
    <mergeCell ref="D66:G66"/>
    <mergeCell ref="D78:G78"/>
    <mergeCell ref="D81:G81"/>
    <mergeCell ref="D54:P54"/>
    <mergeCell ref="D42:F42"/>
    <mergeCell ref="D29:G29"/>
    <mergeCell ref="D72:G72"/>
    <mergeCell ref="D75:G75"/>
    <mergeCell ref="D69:F69"/>
    <mergeCell ref="D16:E16"/>
    <mergeCell ref="B67:C67"/>
    <mergeCell ref="B70:C70"/>
    <mergeCell ref="B110:C110"/>
    <mergeCell ref="B86:AD8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1EA68-B0AB-674E-8FAC-4AF71940B6D6}">
  <dimension ref="B1:AC40"/>
  <sheetViews>
    <sheetView zoomScaleNormal="100" workbookViewId="0"/>
  </sheetViews>
  <sheetFormatPr baseColWidth="10" defaultRowHeight="16" x14ac:dyDescent="0.2"/>
  <cols>
    <col min="1" max="1" width="4.6640625" customWidth="1"/>
    <col min="2" max="2" width="63.83203125" customWidth="1"/>
    <col min="3" max="14" width="15.6640625" bestFit="1" customWidth="1"/>
    <col min="15" max="29" width="16.5" bestFit="1" customWidth="1"/>
  </cols>
  <sheetData>
    <row r="1" spans="2:29" ht="17" thickBot="1" x14ac:dyDescent="0.25"/>
    <row r="2" spans="2:29" ht="17" thickBot="1" x14ac:dyDescent="0.25">
      <c r="B2" s="74" t="s">
        <v>318</v>
      </c>
      <c r="C2" s="91">
        <v>2024</v>
      </c>
      <c r="D2" s="91">
        <v>2025</v>
      </c>
      <c r="E2" s="91">
        <v>2026</v>
      </c>
      <c r="F2" s="91">
        <v>2027</v>
      </c>
      <c r="G2" s="91">
        <v>2028</v>
      </c>
      <c r="H2" s="91">
        <v>2029</v>
      </c>
      <c r="I2" s="91">
        <v>2030</v>
      </c>
      <c r="J2" s="91">
        <v>2031</v>
      </c>
      <c r="K2" s="91">
        <v>2032</v>
      </c>
      <c r="L2" s="91">
        <v>2033</v>
      </c>
      <c r="M2" s="91">
        <v>2034</v>
      </c>
      <c r="N2" s="91">
        <v>2035</v>
      </c>
      <c r="O2" s="91">
        <v>2036</v>
      </c>
      <c r="P2" s="91">
        <v>2037</v>
      </c>
      <c r="Q2" s="91">
        <v>2038</v>
      </c>
      <c r="R2" s="91">
        <v>2039</v>
      </c>
      <c r="S2" s="91">
        <v>2040</v>
      </c>
      <c r="T2" s="91">
        <v>2041</v>
      </c>
      <c r="U2" s="91">
        <v>2042</v>
      </c>
      <c r="V2" s="91">
        <v>2043</v>
      </c>
      <c r="W2" s="91">
        <v>2044</v>
      </c>
      <c r="X2" s="91">
        <v>2045</v>
      </c>
      <c r="Y2" s="91">
        <v>2046</v>
      </c>
      <c r="Z2" s="91">
        <v>2047</v>
      </c>
      <c r="AA2" s="91">
        <v>2048</v>
      </c>
      <c r="AB2" s="91">
        <v>2049</v>
      </c>
      <c r="AC2" s="92">
        <v>2050</v>
      </c>
    </row>
    <row r="3" spans="2:29" x14ac:dyDescent="0.2">
      <c r="B3" s="170" t="s">
        <v>139</v>
      </c>
      <c r="C3" s="171">
        <f>SUM(Transportation!D4:D14)</f>
        <v>457.49978767123281</v>
      </c>
      <c r="D3" s="172">
        <f>SUM(Transportation!E4:E14)</f>
        <v>502.60250000000013</v>
      </c>
      <c r="E3" s="172">
        <f>SUM(Transportation!F4:F14)</f>
        <v>512.06250000000011</v>
      </c>
      <c r="F3" s="172">
        <f>SUM(Transportation!G4:G14)</f>
        <v>521.52250000000015</v>
      </c>
      <c r="G3" s="172">
        <f>SUM(Transportation!H4:H14)</f>
        <v>530.98249999999996</v>
      </c>
      <c r="H3" s="172">
        <f>SUM(Transportation!I4:I14)</f>
        <v>540.4425</v>
      </c>
      <c r="I3" s="172">
        <f>SUM(Transportation!J4:J14)</f>
        <v>548.60250000000019</v>
      </c>
      <c r="J3" s="172">
        <f>SUM(Transportation!K4:K14)</f>
        <v>554.7025000000001</v>
      </c>
      <c r="K3" s="172">
        <f>SUM(Transportation!L4:L14)</f>
        <v>560.80250000000012</v>
      </c>
      <c r="L3" s="172">
        <f>SUM(Transportation!M4:M14)</f>
        <v>566.90250000000015</v>
      </c>
      <c r="M3" s="172">
        <f>SUM(Transportation!N4:N14)</f>
        <v>573.00250000000028</v>
      </c>
      <c r="N3" s="172">
        <f>SUM(Transportation!O4:O14)</f>
        <v>579.10250000000008</v>
      </c>
      <c r="O3" s="172">
        <f>SUM(Transportation!P4:P14)</f>
        <v>582.70249999999999</v>
      </c>
      <c r="P3" s="172">
        <f>SUM(Transportation!Q4:Q14)</f>
        <v>586.30250000000024</v>
      </c>
      <c r="Q3" s="172">
        <f>SUM(Transportation!R4:R14)</f>
        <v>589.90250000000026</v>
      </c>
      <c r="R3" s="172">
        <f>SUM(Transportation!S4:S14)</f>
        <v>593.50250000000028</v>
      </c>
      <c r="S3" s="172">
        <f>SUM(Transportation!T4:T14)</f>
        <v>597.10250000000008</v>
      </c>
      <c r="T3" s="172">
        <f>SUM(Transportation!U4:U14)</f>
        <v>600.48249999999996</v>
      </c>
      <c r="U3" s="172">
        <f>SUM(Transportation!V4:V14)</f>
        <v>603.86249999999995</v>
      </c>
      <c r="V3" s="172">
        <f>SUM(Transportation!W4:W14)</f>
        <v>607.24249999999995</v>
      </c>
      <c r="W3" s="172">
        <f>SUM(Transportation!X4:X14)</f>
        <v>610.62250000000017</v>
      </c>
      <c r="X3" s="172">
        <f>SUM(Transportation!Y4:Y14)</f>
        <v>614.00250000000005</v>
      </c>
      <c r="Y3" s="172">
        <f>SUM(Transportation!Z4:Z14)</f>
        <v>617.38250000000005</v>
      </c>
      <c r="Z3" s="172">
        <f>SUM(Transportation!AA4:AA14)</f>
        <v>620.76249999999993</v>
      </c>
      <c r="AA3" s="172">
        <f>SUM(Transportation!AB4:AB14)</f>
        <v>624.14249999999993</v>
      </c>
      <c r="AB3" s="172">
        <f>SUM(Transportation!AC4:AC14)</f>
        <v>627.52250000000004</v>
      </c>
      <c r="AC3" s="173">
        <f>SUM(Transportation!AD4:AD14)</f>
        <v>630.90250000000026</v>
      </c>
    </row>
    <row r="4" spans="2:29" x14ac:dyDescent="0.2">
      <c r="B4" s="174" t="s">
        <v>127</v>
      </c>
      <c r="C4" s="175">
        <f>C3*Coefficients!$C$46/Coefficients!$C$11</f>
        <v>93383.396890191856</v>
      </c>
      <c r="D4" s="176">
        <f>D3*Coefficients!$C$46/Coefficients!$C$11</f>
        <v>102589.61861908178</v>
      </c>
      <c r="E4" s="176">
        <f>E3*Coefficients!$C$46/Coefficients!$C$11</f>
        <v>104520.5636345493</v>
      </c>
      <c r="F4" s="176">
        <f>F3*Coefficients!$C$46/Coefficients!$C$11</f>
        <v>106451.50865001683</v>
      </c>
      <c r="G4" s="176">
        <f>G3*Coefficients!$C$46/Coefficients!$C$11</f>
        <v>108382.4536654843</v>
      </c>
      <c r="H4" s="176">
        <f>H3*Coefficients!$C$46/Coefficients!$C$11</f>
        <v>110313.39868095182</v>
      </c>
      <c r="I4" s="176">
        <f>I3*Coefficients!$C$46/Coefficients!$C$11</f>
        <v>111978.99184439954</v>
      </c>
      <c r="J4" s="176">
        <f>J3*Coefficients!$C$46/Coefficients!$C$11</f>
        <v>113224.10438080036</v>
      </c>
      <c r="K4" s="176">
        <f>K3*Coefficients!$C$46/Coefficients!$C$11</f>
        <v>114469.21691720119</v>
      </c>
      <c r="L4" s="176">
        <f>L3*Coefficients!$C$46/Coefficients!$C$11</f>
        <v>115714.32945360201</v>
      </c>
      <c r="M4" s="176">
        <f>M3*Coefficients!$C$46/Coefficients!$C$11</f>
        <v>116959.44199000287</v>
      </c>
      <c r="N4" s="176">
        <f>N3*Coefficients!$C$46/Coefficients!$C$11</f>
        <v>118204.55452640366</v>
      </c>
      <c r="O4" s="176">
        <f>O3*Coefficients!$C$46/Coefficients!$C$11</f>
        <v>118939.37503968939</v>
      </c>
      <c r="P4" s="176">
        <f>P3*Coefficients!$C$46/Coefficients!$C$11</f>
        <v>119674.19555297517</v>
      </c>
      <c r="Q4" s="176">
        <f>Q3*Coefficients!$C$46/Coefficients!$C$11</f>
        <v>120409.01606626091</v>
      </c>
      <c r="R4" s="176">
        <f>R3*Coefficients!$C$46/Coefficients!$C$11</f>
        <v>121143.83657954665</v>
      </c>
      <c r="S4" s="176">
        <f>S3*Coefficients!$C$46/Coefficients!$C$11</f>
        <v>121878.65709283236</v>
      </c>
      <c r="T4" s="176">
        <f>T3*Coefficients!$C$46/Coefficients!$C$11</f>
        <v>122568.57190808395</v>
      </c>
      <c r="U4" s="176">
        <f>U3*Coefficients!$C$46/Coefficients!$C$11</f>
        <v>123258.48672333555</v>
      </c>
      <c r="V4" s="176">
        <f>V3*Coefficients!$C$46/Coefficients!$C$11</f>
        <v>123948.40153858716</v>
      </c>
      <c r="W4" s="176">
        <f>W3*Coefficients!$C$46/Coefficients!$C$11</f>
        <v>124638.31635383879</v>
      </c>
      <c r="X4" s="176">
        <f>X3*Coefficients!$C$46/Coefficients!$C$11</f>
        <v>125328.23116909037</v>
      </c>
      <c r="Y4" s="176">
        <f>Y3*Coefficients!$C$46/Coefficients!$C$11</f>
        <v>126018.14598434199</v>
      </c>
      <c r="Z4" s="176">
        <f>Z3*Coefficients!$C$46/Coefficients!$C$11</f>
        <v>126708.06079959357</v>
      </c>
      <c r="AA4" s="176">
        <f>AA3*Coefficients!$C$46/Coefficients!$C$11</f>
        <v>127397.97561484517</v>
      </c>
      <c r="AB4" s="176">
        <f>AB3*Coefficients!$C$46/Coefficients!$C$11</f>
        <v>128087.89043009681</v>
      </c>
      <c r="AC4" s="177">
        <f>AC3*Coefficients!$C$46/Coefficients!$C$11</f>
        <v>128777.80524534847</v>
      </c>
    </row>
    <row r="5" spans="2:29" x14ac:dyDescent="0.2">
      <c r="B5" s="174" t="s">
        <v>124</v>
      </c>
      <c r="C5" s="175">
        <f>C4/Coefficients!$C$47</f>
        <v>143666.764446449</v>
      </c>
      <c r="D5" s="176">
        <f>D4/Coefficients!$C$47</f>
        <v>157830.18249089504</v>
      </c>
      <c r="E5" s="176">
        <f>E4/Coefficients!$C$47</f>
        <v>160800.86713007584</v>
      </c>
      <c r="F5" s="176">
        <f>F4/Coefficients!$C$47</f>
        <v>163771.55176925665</v>
      </c>
      <c r="G5" s="176">
        <f>G4/Coefficients!$C$47</f>
        <v>166742.23640843737</v>
      </c>
      <c r="H5" s="176">
        <f>H4/Coefficients!$C$47</f>
        <v>169712.92104761818</v>
      </c>
      <c r="I5" s="176">
        <f>I4/Coefficients!$C$47</f>
        <v>172275.37206830698</v>
      </c>
      <c r="J5" s="176">
        <f>J4/Coefficients!$C$47</f>
        <v>174190.92981661594</v>
      </c>
      <c r="K5" s="176">
        <f>K4/Coefficients!$C$47</f>
        <v>176106.4875649249</v>
      </c>
      <c r="L5" s="176">
        <f>L4/Coefficients!$C$47</f>
        <v>178022.04531323386</v>
      </c>
      <c r="M5" s="176">
        <f>M4/Coefficients!$C$47</f>
        <v>179937.60306154288</v>
      </c>
      <c r="N5" s="176">
        <f>N4/Coefficients!$C$47</f>
        <v>181853.16080985178</v>
      </c>
      <c r="O5" s="176">
        <f>O4/Coefficients!$C$47</f>
        <v>182983.65390721444</v>
      </c>
      <c r="P5" s="176">
        <f>P4/Coefficients!$C$47</f>
        <v>184114.14700457719</v>
      </c>
      <c r="Q5" s="176">
        <f>Q4/Coefficients!$C$47</f>
        <v>185244.64010193985</v>
      </c>
      <c r="R5" s="176">
        <f>R4/Coefficients!$C$47</f>
        <v>186375.13319930254</v>
      </c>
      <c r="S5" s="176">
        <f>S4/Coefficients!$C$47</f>
        <v>187505.62629666517</v>
      </c>
      <c r="T5" s="176">
        <f>T4/Coefficients!$C$47</f>
        <v>188567.03370474454</v>
      </c>
      <c r="U5" s="176">
        <f>U4/Coefficients!$C$47</f>
        <v>189628.4411128239</v>
      </c>
      <c r="V5" s="176">
        <f>V4/Coefficients!$C$47</f>
        <v>190689.84852090332</v>
      </c>
      <c r="W5" s="176">
        <f>W4/Coefficients!$C$47</f>
        <v>191751.25592898275</v>
      </c>
      <c r="X5" s="176">
        <f>X4/Coefficients!$C$47</f>
        <v>192812.66333706211</v>
      </c>
      <c r="Y5" s="176">
        <f>Y4/Coefficients!$C$47</f>
        <v>193874.07074514151</v>
      </c>
      <c r="Z5" s="176">
        <f>Z4/Coefficients!$C$47</f>
        <v>194935.47815322087</v>
      </c>
      <c r="AA5" s="176">
        <f>AA4/Coefficients!$C$47</f>
        <v>195996.88556130027</v>
      </c>
      <c r="AB5" s="176">
        <f>AB4/Coefficients!$C$47</f>
        <v>197058.29296937972</v>
      </c>
      <c r="AC5" s="177">
        <f>AC4/Coefficients!$C$47</f>
        <v>198119.70037745917</v>
      </c>
    </row>
    <row r="6" spans="2:29" ht="17" thickBot="1" x14ac:dyDescent="0.25">
      <c r="B6" s="178" t="s">
        <v>283</v>
      </c>
      <c r="C6" s="179">
        <f>C5*(1-Coefficients!$C$47)</f>
        <v>50283.367556257144</v>
      </c>
      <c r="D6" s="180">
        <f>D5*(1-Coefficients!$C$47)</f>
        <v>55240.563871813261</v>
      </c>
      <c r="E6" s="180">
        <f>E5*(1-Coefficients!$C$47)</f>
        <v>56280.303495526539</v>
      </c>
      <c r="F6" s="180">
        <f>F5*(1-Coefficients!$C$47)</f>
        <v>57320.043119239825</v>
      </c>
      <c r="G6" s="180">
        <f>G5*(1-Coefficients!$C$47)</f>
        <v>58359.782742953073</v>
      </c>
      <c r="H6" s="180">
        <f>H5*(1-Coefficients!$C$47)</f>
        <v>59399.522366666359</v>
      </c>
      <c r="I6" s="180">
        <f>I5*(1-Coefficients!$C$47)</f>
        <v>60296.380223907443</v>
      </c>
      <c r="J6" s="180">
        <f>J5*(1-Coefficients!$C$47)</f>
        <v>60966.825435815575</v>
      </c>
      <c r="K6" s="180">
        <f>K5*(1-Coefficients!$C$47)</f>
        <v>61637.270647723708</v>
      </c>
      <c r="L6" s="180">
        <f>L5*(1-Coefficients!$C$47)</f>
        <v>62307.715859631848</v>
      </c>
      <c r="M6" s="180">
        <f>M5*(1-Coefficients!$C$47)</f>
        <v>62978.161071540002</v>
      </c>
      <c r="N6" s="180">
        <f>N5*(1-Coefficients!$C$47)</f>
        <v>63648.60628344812</v>
      </c>
      <c r="O6" s="180">
        <f>O5*(1-Coefficients!$C$47)</f>
        <v>64044.278867525049</v>
      </c>
      <c r="P6" s="180">
        <f>P5*(1-Coefficients!$C$47)</f>
        <v>64439.951451602014</v>
      </c>
      <c r="Q6" s="180">
        <f>Q5*(1-Coefficients!$C$47)</f>
        <v>64835.624035678942</v>
      </c>
      <c r="R6" s="180">
        <f>R5*(1-Coefficients!$C$47)</f>
        <v>65231.296619755885</v>
      </c>
      <c r="S6" s="180">
        <f>S5*(1-Coefficients!$C$47)</f>
        <v>65626.969203832807</v>
      </c>
      <c r="T6" s="180">
        <f>T5*(1-Coefficients!$C$47)</f>
        <v>65998.461796660587</v>
      </c>
      <c r="U6" s="180">
        <f>U5*(1-Coefficients!$C$47)</f>
        <v>66369.954389488368</v>
      </c>
      <c r="V6" s="180">
        <f>V5*(1-Coefficients!$C$47)</f>
        <v>66741.446982316163</v>
      </c>
      <c r="W6" s="180">
        <f>W5*(1-Coefficients!$C$47)</f>
        <v>67112.939575143959</v>
      </c>
      <c r="X6" s="180">
        <f>X5*(1-Coefficients!$C$47)</f>
        <v>67484.43216797174</v>
      </c>
      <c r="Y6" s="180">
        <f>Y5*(1-Coefficients!$C$47)</f>
        <v>67855.92476079952</v>
      </c>
      <c r="Z6" s="180">
        <f>Z5*(1-Coefficients!$C$47)</f>
        <v>68227.417353627301</v>
      </c>
      <c r="AA6" s="180">
        <f>AA5*(1-Coefficients!$C$47)</f>
        <v>68598.909946455096</v>
      </c>
      <c r="AB6" s="180">
        <f>AB5*(1-Coefficients!$C$47)</f>
        <v>68970.402539282892</v>
      </c>
      <c r="AC6" s="181">
        <f>AC5*(1-Coefficients!$C$47)</f>
        <v>69341.895132110702</v>
      </c>
    </row>
    <row r="7" spans="2:29" ht="17" thickBot="1" x14ac:dyDescent="0.25">
      <c r="C7" s="40"/>
      <c r="D7" s="40"/>
      <c r="E7" s="40"/>
      <c r="F7" s="40"/>
      <c r="G7" s="40"/>
      <c r="H7" s="40"/>
      <c r="I7" s="40"/>
      <c r="J7" s="40"/>
      <c r="K7" s="40"/>
      <c r="L7" s="40"/>
      <c r="M7" s="40"/>
      <c r="N7" s="40"/>
      <c r="O7" s="40"/>
      <c r="P7" s="40"/>
      <c r="Q7" s="40"/>
      <c r="R7" s="40"/>
      <c r="S7" s="40"/>
      <c r="T7" s="40"/>
      <c r="U7" s="40"/>
      <c r="V7" s="40"/>
      <c r="W7" s="40"/>
      <c r="X7" s="40"/>
      <c r="Y7" s="40"/>
      <c r="Z7" s="40"/>
      <c r="AA7" s="40"/>
      <c r="AB7" s="40"/>
      <c r="AC7" s="40"/>
    </row>
    <row r="8" spans="2:29" x14ac:dyDescent="0.2">
      <c r="B8" s="170" t="s">
        <v>123</v>
      </c>
      <c r="C8" s="171">
        <f>C3*Coefficients!$C$10/1000*Coefficients!$C$49*Coefficients!$C$53</f>
        <v>4731.4211716152113</v>
      </c>
      <c r="D8" s="172">
        <f>D3*Coefficients!$C$10/1000*Coefficients!$C$49*Coefficients!$C$53</f>
        <v>5197.8693181725012</v>
      </c>
      <c r="E8" s="172">
        <f>E3*Coefficients!$C$10/1000*Coefficients!$C$49*Coefficients!$C$53</f>
        <v>5295.7037773125003</v>
      </c>
      <c r="F8" s="172">
        <f>F3*Coefficients!$C$10/1000*Coefficients!$C$49*Coefficients!$C$53</f>
        <v>5393.5382364525012</v>
      </c>
      <c r="G8" s="172">
        <f>G3*Coefficients!$C$10/1000*Coefficients!$C$49*Coefficients!$C$53</f>
        <v>5491.3726955924994</v>
      </c>
      <c r="H8" s="172">
        <f>H3*Coefficients!$C$10/1000*Coefficients!$C$49*Coefficients!$C$53</f>
        <v>5589.2071547325004</v>
      </c>
      <c r="I8" s="172">
        <f>I3*Coefficients!$C$10/1000*Coefficients!$C$49*Coefficients!$C$53</f>
        <v>5673.597132172501</v>
      </c>
      <c r="J8" s="172">
        <f>J3*Coefficients!$C$10/1000*Coefficients!$C$49*Coefficients!$C$53</f>
        <v>5736.6827770725004</v>
      </c>
      <c r="K8" s="172">
        <f>K3*Coefficients!$C$10/1000*Coefficients!$C$49*Coefficients!$C$53</f>
        <v>5799.7684219725006</v>
      </c>
      <c r="L8" s="172">
        <f>L3*Coefficients!$C$10/1000*Coefficients!$C$49*Coefficients!$C$53</f>
        <v>5862.8540668725009</v>
      </c>
      <c r="M8" s="172">
        <f>M3*Coefficients!$C$10/1000*Coefficients!$C$49*Coefficients!$C$53</f>
        <v>5925.9397117725021</v>
      </c>
      <c r="N8" s="172">
        <f>N3*Coefficients!$C$10/1000*Coefficients!$C$49*Coefficients!$C$53</f>
        <v>5989.0253566725005</v>
      </c>
      <c r="O8" s="172">
        <f>O3*Coefficients!$C$10/1000*Coefficients!$C$49*Coefficients!$C$53</f>
        <v>6026.2562290725</v>
      </c>
      <c r="P8" s="172">
        <f>P3*Coefficients!$C$10/1000*Coefficients!$C$49*Coefficients!$C$53</f>
        <v>6063.4871014725022</v>
      </c>
      <c r="Q8" s="172">
        <f>Q3*Coefficients!$C$10/1000*Coefficients!$C$49*Coefficients!$C$53</f>
        <v>6100.7179738725017</v>
      </c>
      <c r="R8" s="172">
        <f>R3*Coefficients!$C$10/1000*Coefficients!$C$49*Coefficients!$C$53</f>
        <v>6137.9488462725021</v>
      </c>
      <c r="S8" s="172">
        <f>S3*Coefficients!$C$10/1000*Coefficients!$C$49*Coefficients!$C$53</f>
        <v>6175.1797186725007</v>
      </c>
      <c r="T8" s="172">
        <f>T3*Coefficients!$C$10/1000*Coefficients!$C$49*Coefficients!$C$53</f>
        <v>6210.1353710924977</v>
      </c>
      <c r="U8" s="172">
        <f>U3*Coefficients!$C$10/1000*Coefficients!$C$49*Coefficients!$C$53</f>
        <v>6245.0910235124975</v>
      </c>
      <c r="V8" s="172">
        <f>V3*Coefficients!$C$10/1000*Coefficients!$C$49*Coefficients!$C$53</f>
        <v>6280.0466759324991</v>
      </c>
      <c r="W8" s="172">
        <f>W3*Coefficients!$C$10/1000*Coefficients!$C$49*Coefficients!$C$53</f>
        <v>6315.0023283525006</v>
      </c>
      <c r="X8" s="172">
        <f>X3*Coefficients!$C$10/1000*Coefficients!$C$49*Coefficients!$C$53</f>
        <v>6349.9579807725013</v>
      </c>
      <c r="Y8" s="172">
        <f>Y3*Coefficients!$C$10/1000*Coefficients!$C$49*Coefficients!$C$53</f>
        <v>6384.913633192501</v>
      </c>
      <c r="Z8" s="172">
        <f>Z3*Coefficients!$C$10/1000*Coefficients!$C$49*Coefficients!$C$53</f>
        <v>6419.8692856124999</v>
      </c>
      <c r="AA8" s="172">
        <f>AA3*Coefficients!$C$10/1000*Coefficients!$C$49*Coefficients!$C$53</f>
        <v>6454.8249380324978</v>
      </c>
      <c r="AB8" s="172">
        <f>AB3*Coefficients!$C$10/1000*Coefficients!$C$49*Coefficients!$C$53</f>
        <v>6489.7805904524994</v>
      </c>
      <c r="AC8" s="173">
        <f>AC3*Coefficients!$C$10/1000*Coefficients!$C$49*Coefficients!$C$53</f>
        <v>6524.7362428725019</v>
      </c>
    </row>
    <row r="9" spans="2:29" x14ac:dyDescent="0.2">
      <c r="B9" s="174" t="s">
        <v>128</v>
      </c>
      <c r="C9" s="175">
        <f>C5*Coefficients!$C$48*Coefficients!$C$53</f>
        <v>39580.193604996697</v>
      </c>
      <c r="D9" s="176">
        <f>D5*Coefficients!$C$48*Coefficients!$C$53</f>
        <v>43482.215276241579</v>
      </c>
      <c r="E9" s="176">
        <f>E5*Coefficients!$C$48*Coefficients!$C$53</f>
        <v>44300.638894335883</v>
      </c>
      <c r="F9" s="176">
        <f>F5*Coefficients!$C$48*Coefficients!$C$53</f>
        <v>45119.062512430202</v>
      </c>
      <c r="G9" s="176">
        <f>G5*Coefficients!$C$48*Coefficients!$C$53</f>
        <v>45937.486130524485</v>
      </c>
      <c r="H9" s="176">
        <f>H5*Coefficients!$C$48*Coefficients!$C$53</f>
        <v>46755.909748618804</v>
      </c>
      <c r="I9" s="176">
        <f>I5*Coefficients!$C$48*Coefficients!$C$53</f>
        <v>47461.865004818566</v>
      </c>
      <c r="J9" s="176">
        <f>J5*Coefficients!$C$48*Coefficients!$C$53</f>
        <v>47989.601164477681</v>
      </c>
      <c r="K9" s="176">
        <f>K5*Coefficients!$C$48*Coefficients!$C$53</f>
        <v>48517.337324136803</v>
      </c>
      <c r="L9" s="176">
        <f>L5*Coefficients!$C$48*Coefficients!$C$53</f>
        <v>49045.073483795917</v>
      </c>
      <c r="M9" s="176">
        <f>M5*Coefficients!$C$48*Coefficients!$C$53</f>
        <v>49572.809643455053</v>
      </c>
      <c r="N9" s="176">
        <f>N5*Coefficients!$C$48*Coefficients!$C$53</f>
        <v>50100.545803114161</v>
      </c>
      <c r="O9" s="176">
        <f>O5*Coefficients!$C$48*Coefficients!$C$53</f>
        <v>50411.99665143757</v>
      </c>
      <c r="P9" s="176">
        <f>P5*Coefficients!$C$48*Coefficients!$C$53</f>
        <v>50723.447499761009</v>
      </c>
      <c r="Q9" s="176">
        <f>Q5*Coefficients!$C$48*Coefficients!$C$53</f>
        <v>51034.898348084418</v>
      </c>
      <c r="R9" s="176">
        <f>R5*Coefficients!$C$48*Coefficients!$C$53</f>
        <v>51346.349196407842</v>
      </c>
      <c r="S9" s="176">
        <f>S5*Coefficients!$C$48*Coefficients!$C$53</f>
        <v>51657.800044731252</v>
      </c>
      <c r="T9" s="176">
        <f>T5*Coefficients!$C$48*Coefficients!$C$53</f>
        <v>51950.217785657114</v>
      </c>
      <c r="U9" s="176">
        <f>U5*Coefficients!$C$48*Coefficients!$C$53</f>
        <v>52242.635526582977</v>
      </c>
      <c r="V9" s="176">
        <f>V5*Coefficients!$C$48*Coefficients!$C$53</f>
        <v>52535.053267508862</v>
      </c>
      <c r="W9" s="176">
        <f>W5*Coefficients!$C$48*Coefficients!$C$53</f>
        <v>52827.471008434739</v>
      </c>
      <c r="X9" s="176">
        <f>X5*Coefficients!$C$48*Coefficients!$C$53</f>
        <v>53119.888749360609</v>
      </c>
      <c r="Y9" s="176">
        <f>Y5*Coefficients!$C$48*Coefficients!$C$53</f>
        <v>53412.306490286479</v>
      </c>
      <c r="Z9" s="176">
        <f>Z5*Coefficients!$C$48*Coefficients!$C$53</f>
        <v>53704.724231212342</v>
      </c>
      <c r="AA9" s="176">
        <f>AA5*Coefficients!$C$48*Coefficients!$C$53</f>
        <v>53997.141972138219</v>
      </c>
      <c r="AB9" s="176">
        <f>AB5*Coefficients!$C$48*Coefficients!$C$53</f>
        <v>54289.559713064104</v>
      </c>
      <c r="AC9" s="177">
        <f>AC5*Coefficients!$C$48*Coefficients!$C$53</f>
        <v>54581.977453989995</v>
      </c>
    </row>
    <row r="10" spans="2:29" x14ac:dyDescent="0.2">
      <c r="B10" s="174" t="s">
        <v>138</v>
      </c>
      <c r="C10" s="175">
        <f>C6*Coefficients!$C$50*Coefficients!$C$53</f>
        <v>10509.223819257742</v>
      </c>
      <c r="D10" s="176">
        <f>D6*Coefficients!$C$50*Coefficients!$C$53</f>
        <v>11545.277849208971</v>
      </c>
      <c r="E10" s="176">
        <f>E6*Coefficients!$C$50*Coefficients!$C$53</f>
        <v>11762.583430565046</v>
      </c>
      <c r="F10" s="176">
        <f>F6*Coefficients!$C$50*Coefficients!$C$53</f>
        <v>11979.889011921123</v>
      </c>
      <c r="G10" s="176">
        <f>G6*Coefficients!$C$50*Coefficients!$C$53</f>
        <v>12197.194593277191</v>
      </c>
      <c r="H10" s="176">
        <f>H6*Coefficients!$C$50*Coefficients!$C$53</f>
        <v>12414.500174633267</v>
      </c>
      <c r="I10" s="176">
        <f>I6*Coefficients!$C$50*Coefficients!$C$53</f>
        <v>12601.943466796656</v>
      </c>
      <c r="J10" s="176">
        <f>J6*Coefficients!$C$50*Coefficients!$C$53</f>
        <v>12742.066516085455</v>
      </c>
      <c r="K10" s="176">
        <f>K6*Coefficients!$C$50*Coefficients!$C$53</f>
        <v>12882.189565374256</v>
      </c>
      <c r="L10" s="176">
        <f>L6*Coefficients!$C$50*Coefficients!$C$53</f>
        <v>13022.312614663055</v>
      </c>
      <c r="M10" s="176">
        <f>M6*Coefficients!$C$50*Coefficients!$C$53</f>
        <v>13162.435663951859</v>
      </c>
      <c r="N10" s="176">
        <f>N6*Coefficients!$C$50*Coefficients!$C$53</f>
        <v>13302.558713240656</v>
      </c>
      <c r="O10" s="176">
        <f>O6*Coefficients!$C$50*Coefficients!$C$53</f>
        <v>13385.254283312735</v>
      </c>
      <c r="P10" s="176">
        <f>P6*Coefficients!$C$50*Coefficients!$C$53</f>
        <v>13467.94985338482</v>
      </c>
      <c r="Q10" s="176">
        <f>Q6*Coefficients!$C$50*Coefficients!$C$53</f>
        <v>13550.645423456897</v>
      </c>
      <c r="R10" s="176">
        <f>R6*Coefficients!$C$50*Coefficients!$C$53</f>
        <v>13633.34099352898</v>
      </c>
      <c r="S10" s="176">
        <f>S6*Coefficients!$C$50*Coefficients!$C$53</f>
        <v>13716.036563601057</v>
      </c>
      <c r="T10" s="176">
        <f>T6*Coefficients!$C$50*Coefficients!$C$53</f>
        <v>13793.678515502063</v>
      </c>
      <c r="U10" s="176">
        <f>U6*Coefficients!$C$50*Coefficients!$C$53</f>
        <v>13871.320467403069</v>
      </c>
      <c r="V10" s="176">
        <f>V6*Coefficients!$C$50*Coefficients!$C$53</f>
        <v>13948.962419304076</v>
      </c>
      <c r="W10" s="176">
        <f>W6*Coefficients!$C$50*Coefficients!$C$53</f>
        <v>14026.604371205087</v>
      </c>
      <c r="X10" s="176">
        <f>X6*Coefficients!$C$50*Coefficients!$C$53</f>
        <v>14104.246323106092</v>
      </c>
      <c r="Y10" s="176">
        <f>Y6*Coefficients!$C$50*Coefficients!$C$53</f>
        <v>14181.888275007099</v>
      </c>
      <c r="Z10" s="176">
        <f>Z6*Coefficients!$C$50*Coefficients!$C$53</f>
        <v>14259.530226908106</v>
      </c>
      <c r="AA10" s="176">
        <f>AA6*Coefficients!$C$50*Coefficients!$C$53</f>
        <v>14337.172178809114</v>
      </c>
      <c r="AB10" s="176">
        <f>AB6*Coefficients!$C$50*Coefficients!$C$53</f>
        <v>14414.814130710125</v>
      </c>
      <c r="AC10" s="177">
        <f>AC6*Coefficients!$C$50*Coefficients!$C$53</f>
        <v>14492.456082611136</v>
      </c>
    </row>
    <row r="11" spans="2:29" x14ac:dyDescent="0.2">
      <c r="B11" s="174" t="s">
        <v>134</v>
      </c>
      <c r="C11" s="175">
        <f>Coefficients!$C$51*C3*Coefficients!$C$53</f>
        <v>19123.491124657528</v>
      </c>
      <c r="D11" s="176">
        <f>Coefficients!$C$51*D3*Coefficients!$C$53</f>
        <v>21008.784500000005</v>
      </c>
      <c r="E11" s="176">
        <f>Coefficients!$C$51*E3*Coefficients!$C$53</f>
        <v>21404.212500000001</v>
      </c>
      <c r="F11" s="176">
        <f>Coefficients!$C$51*F3*Coefficients!$C$53</f>
        <v>21799.640500000005</v>
      </c>
      <c r="G11" s="176">
        <f>Coefficients!$C$51*G3*Coefficients!$C$53</f>
        <v>22195.068499999998</v>
      </c>
      <c r="H11" s="176">
        <f>Coefficients!$C$51*H3*Coefficients!$C$53</f>
        <v>22590.496500000001</v>
      </c>
      <c r="I11" s="176">
        <f>Coefficients!$C$51*I3*Coefficients!$C$53</f>
        <v>22931.584500000008</v>
      </c>
      <c r="J11" s="176">
        <f>Coefficients!$C$51*J3*Coefficients!$C$53</f>
        <v>23186.564500000004</v>
      </c>
      <c r="K11" s="176">
        <f>Coefficients!$C$51*K3*Coefficients!$C$53</f>
        <v>23441.544500000004</v>
      </c>
      <c r="L11" s="176">
        <f>Coefficients!$C$51*L3*Coefficients!$C$53</f>
        <v>23696.524500000003</v>
      </c>
      <c r="M11" s="176">
        <f>Coefficients!$C$51*M3*Coefficients!$C$53</f>
        <v>23951.50450000001</v>
      </c>
      <c r="N11" s="176">
        <f>Coefficients!$C$51*N3*Coefficients!$C$53</f>
        <v>24206.484500000002</v>
      </c>
      <c r="O11" s="176">
        <f>Coefficients!$C$51*O3*Coefficients!$C$53</f>
        <v>24356.964499999998</v>
      </c>
      <c r="P11" s="176">
        <f>Coefficients!$C$51*P3*Coefficients!$C$53</f>
        <v>24507.444500000009</v>
      </c>
      <c r="Q11" s="176">
        <f>Coefficients!$C$51*Q3*Coefficients!$C$53</f>
        <v>24657.924500000008</v>
      </c>
      <c r="R11" s="176">
        <f>Coefficients!$C$51*R3*Coefficients!$C$53</f>
        <v>24808.404500000011</v>
      </c>
      <c r="S11" s="176">
        <f>Coefficients!$C$51*S3*Coefficients!$C$53</f>
        <v>24958.8845</v>
      </c>
      <c r="T11" s="176">
        <f>Coefficients!$C$51*T3*Coefficients!$C$53</f>
        <v>25100.1685</v>
      </c>
      <c r="U11" s="176">
        <f>Coefficients!$C$51*U3*Coefficients!$C$53</f>
        <v>25241.452499999996</v>
      </c>
      <c r="V11" s="176">
        <f>Coefficients!$C$51*V3*Coefficients!$C$53</f>
        <v>25382.736499999995</v>
      </c>
      <c r="W11" s="176">
        <f>Coefficients!$C$51*W3*Coefficients!$C$53</f>
        <v>25524.020500000006</v>
      </c>
      <c r="X11" s="176">
        <f>Coefficients!$C$51*X3*Coefficients!$C$53</f>
        <v>25665.304499999998</v>
      </c>
      <c r="Y11" s="176">
        <f>Coefficients!$C$51*Y3*Coefficients!$C$53</f>
        <v>25806.588500000002</v>
      </c>
      <c r="Z11" s="176">
        <f>Coefficients!$C$51*Z3*Coefficients!$C$53</f>
        <v>25947.872499999994</v>
      </c>
      <c r="AA11" s="176">
        <f>Coefficients!$C$51*AA3*Coefficients!$C$53</f>
        <v>26089.156499999997</v>
      </c>
      <c r="AB11" s="176">
        <f>Coefficients!$C$51*AB3*Coefficients!$C$53</f>
        <v>26230.440500000001</v>
      </c>
      <c r="AC11" s="177">
        <f>Coefficients!$C$51*AC3*Coefficients!$C$53</f>
        <v>26371.724500000008</v>
      </c>
    </row>
    <row r="12" spans="2:29" x14ac:dyDescent="0.2">
      <c r="B12" s="174" t="s">
        <v>129</v>
      </c>
      <c r="C12" s="175">
        <f>SUM(C8:C11)</f>
        <v>73944.329720527181</v>
      </c>
      <c r="D12" s="176">
        <f t="shared" ref="D12:AC12" si="0">SUM(D8:D11)</f>
        <v>81234.146943623055</v>
      </c>
      <c r="E12" s="176">
        <f t="shared" si="0"/>
        <v>82763.138602213439</v>
      </c>
      <c r="F12" s="176">
        <f t="shared" si="0"/>
        <v>84292.130260803824</v>
      </c>
      <c r="G12" s="176">
        <f t="shared" si="0"/>
        <v>85821.12191939418</v>
      </c>
      <c r="H12" s="176">
        <f t="shared" si="0"/>
        <v>87350.113577984564</v>
      </c>
      <c r="I12" s="176">
        <f t="shared" si="0"/>
        <v>88668.990103787728</v>
      </c>
      <c r="J12" s="176">
        <f t="shared" si="0"/>
        <v>89654.914957635643</v>
      </c>
      <c r="K12" s="176">
        <f t="shared" si="0"/>
        <v>90640.839811483558</v>
      </c>
      <c r="L12" s="176">
        <f t="shared" si="0"/>
        <v>91626.764665331473</v>
      </c>
      <c r="M12" s="176">
        <f t="shared" si="0"/>
        <v>92612.689519179432</v>
      </c>
      <c r="N12" s="176">
        <f t="shared" si="0"/>
        <v>93598.614373027318</v>
      </c>
      <c r="O12" s="176">
        <f t="shared" si="0"/>
        <v>94180.471663822813</v>
      </c>
      <c r="P12" s="176">
        <f t="shared" si="0"/>
        <v>94762.328954618337</v>
      </c>
      <c r="Q12" s="176">
        <f t="shared" si="0"/>
        <v>95344.186245413832</v>
      </c>
      <c r="R12" s="176">
        <f t="shared" si="0"/>
        <v>95926.043536209327</v>
      </c>
      <c r="S12" s="176">
        <f t="shared" si="0"/>
        <v>96507.900827004807</v>
      </c>
      <c r="T12" s="176">
        <f t="shared" si="0"/>
        <v>97054.200172251672</v>
      </c>
      <c r="U12" s="176">
        <f t="shared" si="0"/>
        <v>97600.499517498538</v>
      </c>
      <c r="V12" s="176">
        <f t="shared" si="0"/>
        <v>98146.798862745432</v>
      </c>
      <c r="W12" s="176">
        <f t="shared" si="0"/>
        <v>98693.098207992327</v>
      </c>
      <c r="X12" s="176">
        <f t="shared" si="0"/>
        <v>99239.397553239207</v>
      </c>
      <c r="Y12" s="176">
        <f t="shared" si="0"/>
        <v>99785.696898486072</v>
      </c>
      <c r="Z12" s="176">
        <f t="shared" si="0"/>
        <v>100331.99624373294</v>
      </c>
      <c r="AA12" s="176">
        <f t="shared" si="0"/>
        <v>100878.29558897983</v>
      </c>
      <c r="AB12" s="176">
        <f t="shared" si="0"/>
        <v>101424.59493422673</v>
      </c>
      <c r="AC12" s="177">
        <f t="shared" si="0"/>
        <v>101970.89427947365</v>
      </c>
    </row>
    <row r="13" spans="2:29" ht="17" thickBot="1" x14ac:dyDescent="0.25">
      <c r="B13" s="178" t="s">
        <v>136</v>
      </c>
      <c r="C13" s="179">
        <f>C12*Coefficients!$C$6</f>
        <v>26989680.34799242</v>
      </c>
      <c r="D13" s="180">
        <f>D12*Coefficients!$C$6</f>
        <v>29650463.634422414</v>
      </c>
      <c r="E13" s="180">
        <f>E12*Coefficients!$C$6</f>
        <v>30208545.589807905</v>
      </c>
      <c r="F13" s="180">
        <f>F12*Coefficients!$C$6</f>
        <v>30766627.545193397</v>
      </c>
      <c r="G13" s="180">
        <f>G12*Coefficients!$C$6</f>
        <v>31324709.500578877</v>
      </c>
      <c r="H13" s="180">
        <f>H12*Coefficients!$C$6</f>
        <v>31882791.455964368</v>
      </c>
      <c r="I13" s="180">
        <f>I12*Coefficients!$C$6</f>
        <v>32364181.38788252</v>
      </c>
      <c r="J13" s="180">
        <f>J12*Coefficients!$C$6</f>
        <v>32724043.959537011</v>
      </c>
      <c r="K13" s="180">
        <f>K12*Coefficients!$C$6</f>
        <v>33083906.531191498</v>
      </c>
      <c r="L13" s="180">
        <f>L12*Coefficients!$C$6</f>
        <v>33443769.102845989</v>
      </c>
      <c r="M13" s="180">
        <f>M12*Coefficients!$C$6</f>
        <v>33803631.674500495</v>
      </c>
      <c r="N13" s="180">
        <f>N12*Coefficients!$C$6</f>
        <v>34163494.246154971</v>
      </c>
      <c r="O13" s="180">
        <f>O12*Coefficients!$C$6</f>
        <v>34375872.157295324</v>
      </c>
      <c r="P13" s="180">
        <f>P12*Coefficients!$C$6</f>
        <v>34588250.068435691</v>
      </c>
      <c r="Q13" s="180">
        <f>Q12*Coefficients!$C$6</f>
        <v>34800627.979576051</v>
      </c>
      <c r="R13" s="180">
        <f>R12*Coefficients!$C$6</f>
        <v>35013005.890716404</v>
      </c>
      <c r="S13" s="180">
        <f>S12*Coefficients!$C$6</f>
        <v>35225383.801856756</v>
      </c>
      <c r="T13" s="180">
        <f>T12*Coefficients!$C$6</f>
        <v>35424783.062871858</v>
      </c>
      <c r="U13" s="180">
        <f>U12*Coefficients!$C$6</f>
        <v>35624182.323886968</v>
      </c>
      <c r="V13" s="180">
        <f>V12*Coefficients!$C$6</f>
        <v>35823581.584902085</v>
      </c>
      <c r="W13" s="180">
        <f>W12*Coefficients!$C$6</f>
        <v>36022980.845917203</v>
      </c>
      <c r="X13" s="180">
        <f>X12*Coefficients!$C$6</f>
        <v>36222380.106932312</v>
      </c>
      <c r="Y13" s="180">
        <f>Y12*Coefficients!$C$6</f>
        <v>36421779.367947415</v>
      </c>
      <c r="Z13" s="180">
        <f>Z12*Coefficients!$C$6</f>
        <v>36621178.628962524</v>
      </c>
      <c r="AA13" s="180">
        <f>AA12*Coefficients!$C$6</f>
        <v>36820577.889977641</v>
      </c>
      <c r="AB13" s="180">
        <f>AB12*Coefficients!$C$6</f>
        <v>37019977.150992759</v>
      </c>
      <c r="AC13" s="181">
        <f>AC12*Coefficients!$C$6</f>
        <v>37219376.412007883</v>
      </c>
    </row>
    <row r="14" spans="2:29" ht="17" thickBot="1" x14ac:dyDescent="0.25">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row>
    <row r="15" spans="2:29" x14ac:dyDescent="0.2">
      <c r="B15" s="170" t="s">
        <v>279</v>
      </c>
      <c r="C15" s="171">
        <f>C5*Coefficients!$C$52</f>
        <v>718.33382223224498</v>
      </c>
      <c r="D15" s="172">
        <f>D5*Coefficients!$C$52</f>
        <v>789.15091245447525</v>
      </c>
      <c r="E15" s="172">
        <f>E5*Coefficients!$C$52</f>
        <v>804.00433565037929</v>
      </c>
      <c r="F15" s="172">
        <f>F5*Coefficients!$C$52</f>
        <v>818.85775884628322</v>
      </c>
      <c r="G15" s="172">
        <f>G5*Coefficients!$C$52</f>
        <v>833.71118204218692</v>
      </c>
      <c r="H15" s="172">
        <f>H5*Coefficients!$C$52</f>
        <v>848.56460523809085</v>
      </c>
      <c r="I15" s="172">
        <f>I5*Coefficients!$C$52</f>
        <v>861.37686034153489</v>
      </c>
      <c r="J15" s="172">
        <f>J5*Coefficients!$C$52</f>
        <v>870.95464908307974</v>
      </c>
      <c r="K15" s="172">
        <f>K5*Coefficients!$C$52</f>
        <v>880.53243782462448</v>
      </c>
      <c r="L15" s="172">
        <f>L5*Coefficients!$C$52</f>
        <v>890.11022656616933</v>
      </c>
      <c r="M15" s="172">
        <f>M5*Coefficients!$C$52</f>
        <v>899.68801530771441</v>
      </c>
      <c r="N15" s="172">
        <f>N5*Coefficients!$C$52</f>
        <v>909.26580404925892</v>
      </c>
      <c r="O15" s="172">
        <f>O5*Coefficients!$C$52</f>
        <v>914.91826953607222</v>
      </c>
      <c r="P15" s="172">
        <f>P5*Coefficients!$C$52</f>
        <v>920.57073502288597</v>
      </c>
      <c r="Q15" s="172">
        <f>Q5*Coefficients!$C$52</f>
        <v>926.22320050969927</v>
      </c>
      <c r="R15" s="172">
        <f>R5*Coefficients!$C$52</f>
        <v>931.87566599651268</v>
      </c>
      <c r="S15" s="172">
        <f>S5*Coefficients!$C$52</f>
        <v>937.52813148332586</v>
      </c>
      <c r="T15" s="172">
        <f>T5*Coefficients!$C$52</f>
        <v>942.8351685237227</v>
      </c>
      <c r="U15" s="172">
        <f>U5*Coefficients!$C$52</f>
        <v>948.14220556411954</v>
      </c>
      <c r="V15" s="172">
        <f>V5*Coefficients!$C$52</f>
        <v>953.4492426045166</v>
      </c>
      <c r="W15" s="172">
        <f>W5*Coefficients!$C$52</f>
        <v>958.75627964491377</v>
      </c>
      <c r="X15" s="172">
        <f>X5*Coefficients!$C$52</f>
        <v>964.06331668531061</v>
      </c>
      <c r="Y15" s="172">
        <f>Y5*Coefficients!$C$52</f>
        <v>969.37035372570756</v>
      </c>
      <c r="Z15" s="172">
        <f>Z5*Coefficients!$C$52</f>
        <v>974.67739076610439</v>
      </c>
      <c r="AA15" s="172">
        <f>AA5*Coefficients!$C$52</f>
        <v>979.98442780650134</v>
      </c>
      <c r="AB15" s="172">
        <f>AB5*Coefficients!$C$52</f>
        <v>985.29146484689863</v>
      </c>
      <c r="AC15" s="173">
        <f>AC5*Coefficients!$C$52</f>
        <v>990.59850188729592</v>
      </c>
    </row>
    <row r="16" spans="2:29" x14ac:dyDescent="0.2">
      <c r="B16" s="174" t="s">
        <v>135</v>
      </c>
      <c r="C16" s="182">
        <f>C15*Coefficients!$C$47</f>
        <v>466.91698445095926</v>
      </c>
      <c r="D16" s="183">
        <f>D15*Coefficients!$C$47</f>
        <v>512.94809309540892</v>
      </c>
      <c r="E16" s="183">
        <f>E15*Coefficients!$C$47</f>
        <v>522.60281817274654</v>
      </c>
      <c r="F16" s="183">
        <f>F15*Coefficients!$C$47</f>
        <v>532.25754325008415</v>
      </c>
      <c r="G16" s="183">
        <f>G15*Coefficients!$C$47</f>
        <v>541.91226832742154</v>
      </c>
      <c r="H16" s="183">
        <f>H15*Coefficients!$C$47</f>
        <v>551.56699340475905</v>
      </c>
      <c r="I16" s="183">
        <f>I15*Coefficients!$C$47</f>
        <v>559.89495922199774</v>
      </c>
      <c r="J16" s="183">
        <f>J15*Coefficients!$C$47</f>
        <v>566.12052190400186</v>
      </c>
      <c r="K16" s="183">
        <f>K15*Coefficients!$C$47</f>
        <v>572.34608458600599</v>
      </c>
      <c r="L16" s="183">
        <f>L15*Coefficients!$C$47</f>
        <v>578.57164726801011</v>
      </c>
      <c r="M16" s="183">
        <f>M15*Coefficients!$C$47</f>
        <v>584.79720995001435</v>
      </c>
      <c r="N16" s="183">
        <f>N15*Coefficients!$C$47</f>
        <v>591.02277263201836</v>
      </c>
      <c r="O16" s="183">
        <f>O15*Coefficients!$C$47</f>
        <v>594.69687519844695</v>
      </c>
      <c r="P16" s="183">
        <f>P15*Coefficients!$C$47</f>
        <v>598.37097776487587</v>
      </c>
      <c r="Q16" s="183">
        <f>Q15*Coefficients!$C$47</f>
        <v>602.04508033130458</v>
      </c>
      <c r="R16" s="183">
        <f>R15*Coefficients!$C$47</f>
        <v>605.71918289773328</v>
      </c>
      <c r="S16" s="183">
        <f>S15*Coefficients!$C$47</f>
        <v>609.39328546416186</v>
      </c>
      <c r="T16" s="183">
        <f>T15*Coefficients!$C$47</f>
        <v>612.84285954041979</v>
      </c>
      <c r="U16" s="183">
        <f>U15*Coefficients!$C$47</f>
        <v>616.29243361667773</v>
      </c>
      <c r="V16" s="183">
        <f>V15*Coefficients!$C$47</f>
        <v>619.74200769293577</v>
      </c>
      <c r="W16" s="183">
        <f>W15*Coefficients!$C$47</f>
        <v>623.19158176919393</v>
      </c>
      <c r="X16" s="183">
        <f>X15*Coefficients!$C$47</f>
        <v>626.64115584545186</v>
      </c>
      <c r="Y16" s="183">
        <f>Y15*Coefficients!$C$47</f>
        <v>630.09072992170991</v>
      </c>
      <c r="Z16" s="183">
        <f>Z15*Coefficients!$C$47</f>
        <v>633.54030399796784</v>
      </c>
      <c r="AA16" s="183">
        <f>AA15*Coefficients!$C$47</f>
        <v>636.98987807422589</v>
      </c>
      <c r="AB16" s="183">
        <f>AB15*Coefficients!$C$47</f>
        <v>640.43945215048416</v>
      </c>
      <c r="AC16" s="184">
        <f>AC15*Coefficients!$C$47</f>
        <v>643.88902622674232</v>
      </c>
    </row>
    <row r="17" spans="2:29" x14ac:dyDescent="0.2">
      <c r="B17" s="174" t="s">
        <v>282</v>
      </c>
      <c r="C17" s="175">
        <f>C15-C16</f>
        <v>251.41683778128572</v>
      </c>
      <c r="D17" s="176">
        <f t="shared" ref="D17:AC17" si="1">D15-D16</f>
        <v>276.20281935906632</v>
      </c>
      <c r="E17" s="176">
        <f t="shared" si="1"/>
        <v>281.40151747763275</v>
      </c>
      <c r="F17" s="176">
        <f t="shared" si="1"/>
        <v>286.60021559619906</v>
      </c>
      <c r="G17" s="176">
        <f t="shared" si="1"/>
        <v>291.79891371476538</v>
      </c>
      <c r="H17" s="176">
        <f t="shared" si="1"/>
        <v>296.9976118333318</v>
      </c>
      <c r="I17" s="176">
        <f t="shared" si="1"/>
        <v>301.48190111953716</v>
      </c>
      <c r="J17" s="176">
        <f t="shared" si="1"/>
        <v>304.83412717907788</v>
      </c>
      <c r="K17" s="176">
        <f t="shared" si="1"/>
        <v>308.18635323861849</v>
      </c>
      <c r="L17" s="176">
        <f t="shared" si="1"/>
        <v>311.53857929815922</v>
      </c>
      <c r="M17" s="176">
        <f t="shared" si="1"/>
        <v>314.89080535770006</v>
      </c>
      <c r="N17" s="176">
        <f t="shared" si="1"/>
        <v>318.24303141724056</v>
      </c>
      <c r="O17" s="176">
        <f t="shared" si="1"/>
        <v>320.22139433762527</v>
      </c>
      <c r="P17" s="176">
        <f t="shared" si="1"/>
        <v>322.1997572580101</v>
      </c>
      <c r="Q17" s="176">
        <f t="shared" si="1"/>
        <v>324.17812017839469</v>
      </c>
      <c r="R17" s="176">
        <f t="shared" si="1"/>
        <v>326.1564830987794</v>
      </c>
      <c r="S17" s="176">
        <f t="shared" si="1"/>
        <v>328.134846019164</v>
      </c>
      <c r="T17" s="176">
        <f t="shared" si="1"/>
        <v>329.99230898330291</v>
      </c>
      <c r="U17" s="176">
        <f t="shared" si="1"/>
        <v>331.84977194744181</v>
      </c>
      <c r="V17" s="176">
        <f t="shared" si="1"/>
        <v>333.70723491158083</v>
      </c>
      <c r="W17" s="176">
        <f t="shared" si="1"/>
        <v>335.56469787571984</v>
      </c>
      <c r="X17" s="176">
        <f t="shared" si="1"/>
        <v>337.42216083985875</v>
      </c>
      <c r="Y17" s="176">
        <f t="shared" si="1"/>
        <v>339.27962380399765</v>
      </c>
      <c r="Z17" s="176">
        <f t="shared" si="1"/>
        <v>341.13708676813656</v>
      </c>
      <c r="AA17" s="176">
        <f t="shared" si="1"/>
        <v>342.99454973227546</v>
      </c>
      <c r="AB17" s="176">
        <f t="shared" si="1"/>
        <v>344.85201269641448</v>
      </c>
      <c r="AC17" s="177">
        <f t="shared" si="1"/>
        <v>346.70947566055361</v>
      </c>
    </row>
    <row r="18" spans="2:29" x14ac:dyDescent="0.2">
      <c r="B18" s="174" t="s">
        <v>137</v>
      </c>
      <c r="C18" s="175">
        <f>C16*Coefficients!$C$6</f>
        <v>170424.69932460014</v>
      </c>
      <c r="D18" s="176">
        <f>D16*Coefficients!$C$6</f>
        <v>187226.05397982427</v>
      </c>
      <c r="E18" s="176">
        <f>E16*Coefficients!$C$6</f>
        <v>190750.02863305248</v>
      </c>
      <c r="F18" s="176">
        <f>F16*Coefficients!$C$6</f>
        <v>194274.00328628073</v>
      </c>
      <c r="G18" s="176">
        <f>G16*Coefficients!$C$6</f>
        <v>197797.97793950886</v>
      </c>
      <c r="H18" s="176">
        <f>H16*Coefficients!$C$6</f>
        <v>201321.95259273704</v>
      </c>
      <c r="I18" s="176">
        <f>I16*Coefficients!$C$6</f>
        <v>204361.66011602918</v>
      </c>
      <c r="J18" s="176">
        <f>J16*Coefficients!$C$6</f>
        <v>206633.99049496069</v>
      </c>
      <c r="K18" s="176">
        <f>K16*Coefficients!$C$6</f>
        <v>208906.3208738922</v>
      </c>
      <c r="L18" s="176">
        <f>L16*Coefficients!$C$6</f>
        <v>211178.65125282368</v>
      </c>
      <c r="M18" s="176">
        <f>M16*Coefficients!$C$6</f>
        <v>213450.98163175525</v>
      </c>
      <c r="N18" s="176">
        <f>N16*Coefficients!$C$6</f>
        <v>215723.3120106867</v>
      </c>
      <c r="O18" s="176">
        <f>O16*Coefficients!$C$6</f>
        <v>217064.35944743315</v>
      </c>
      <c r="P18" s="176">
        <f>P16*Coefficients!$C$6</f>
        <v>218405.40688417968</v>
      </c>
      <c r="Q18" s="176">
        <f>Q16*Coefficients!$C$6</f>
        <v>219746.45432092616</v>
      </c>
      <c r="R18" s="176">
        <f>R16*Coefficients!$C$6</f>
        <v>221087.50175767264</v>
      </c>
      <c r="S18" s="176">
        <f>S16*Coefficients!$C$6</f>
        <v>222428.54919441909</v>
      </c>
      <c r="T18" s="176">
        <f>T16*Coefficients!$C$6</f>
        <v>223687.64373225323</v>
      </c>
      <c r="U18" s="176">
        <f>U16*Coefficients!$C$6</f>
        <v>224946.73827008737</v>
      </c>
      <c r="V18" s="176">
        <f>V16*Coefficients!$C$6</f>
        <v>226205.83280792154</v>
      </c>
      <c r="W18" s="176">
        <f>W16*Coefficients!$C$6</f>
        <v>227464.92734575577</v>
      </c>
      <c r="X18" s="176">
        <f>X16*Coefficients!$C$6</f>
        <v>228724.02188358994</v>
      </c>
      <c r="Y18" s="176">
        <f>Y16*Coefficients!$C$6</f>
        <v>229983.11642142411</v>
      </c>
      <c r="Z18" s="176">
        <f>Z16*Coefficients!$C$6</f>
        <v>231242.21095925826</v>
      </c>
      <c r="AA18" s="176">
        <f>AA16*Coefficients!$C$6</f>
        <v>232501.30549709246</v>
      </c>
      <c r="AB18" s="176">
        <f>AB16*Coefficients!$C$6</f>
        <v>233760.40003492672</v>
      </c>
      <c r="AC18" s="177">
        <f>AC16*Coefficients!$C$6</f>
        <v>235019.49457276094</v>
      </c>
    </row>
    <row r="19" spans="2:29" x14ac:dyDescent="0.2">
      <c r="B19" s="174" t="s">
        <v>284</v>
      </c>
      <c r="C19" s="175">
        <f>C17*Coefficients!$C$6</f>
        <v>91767.145790169292</v>
      </c>
      <c r="D19" s="176">
        <f>D17*Coefficients!$C$6</f>
        <v>100814.02906605921</v>
      </c>
      <c r="E19" s="176">
        <f>E17*Coefficients!$C$6</f>
        <v>102711.55387933596</v>
      </c>
      <c r="F19" s="176">
        <f>F17*Coefficients!$C$6</f>
        <v>104609.07869261266</v>
      </c>
      <c r="G19" s="176">
        <f>G17*Coefficients!$C$6</f>
        <v>106506.60350588936</v>
      </c>
      <c r="H19" s="176">
        <f>H17*Coefficients!$C$6</f>
        <v>108404.12831916611</v>
      </c>
      <c r="I19" s="176">
        <f>I17*Coefficients!$C$6</f>
        <v>110040.89390863106</v>
      </c>
      <c r="J19" s="176">
        <f>J17*Coefficients!$C$6</f>
        <v>111264.45642036342</v>
      </c>
      <c r="K19" s="176">
        <f>K17*Coefficients!$C$6</f>
        <v>112488.01893209574</v>
      </c>
      <c r="L19" s="176">
        <f>L17*Coefficients!$C$6</f>
        <v>113711.58144382811</v>
      </c>
      <c r="M19" s="176">
        <f>M17*Coefficients!$C$6</f>
        <v>114935.14395556052</v>
      </c>
      <c r="N19" s="176">
        <f>N17*Coefficients!$C$6</f>
        <v>116158.70646729281</v>
      </c>
      <c r="O19" s="176">
        <f>O17*Coefficients!$C$6</f>
        <v>116880.80893323322</v>
      </c>
      <c r="P19" s="176">
        <f>P17*Coefficients!$C$6</f>
        <v>117602.91139917368</v>
      </c>
      <c r="Q19" s="176">
        <f>Q17*Coefficients!$C$6</f>
        <v>118325.01386511406</v>
      </c>
      <c r="R19" s="176">
        <f>R17*Coefficients!$C$6</f>
        <v>119047.11633105448</v>
      </c>
      <c r="S19" s="176">
        <f>S17*Coefficients!$C$6</f>
        <v>119769.21879699486</v>
      </c>
      <c r="T19" s="176">
        <f>T17*Coefficients!$C$6</f>
        <v>120447.19277890556</v>
      </c>
      <c r="U19" s="176">
        <f>U17*Coefficients!$C$6</f>
        <v>121125.16676081625</v>
      </c>
      <c r="V19" s="176">
        <f>V17*Coefficients!$C$6</f>
        <v>121803.140742727</v>
      </c>
      <c r="W19" s="176">
        <f>W17*Coefficients!$C$6</f>
        <v>122481.11472463774</v>
      </c>
      <c r="X19" s="176">
        <f>X17*Coefficients!$C$6</f>
        <v>123159.08870654844</v>
      </c>
      <c r="Y19" s="176">
        <f>Y17*Coefficients!$C$6</f>
        <v>123837.06268845915</v>
      </c>
      <c r="Z19" s="176">
        <f>Z17*Coefficients!$C$6</f>
        <v>124515.03667036984</v>
      </c>
      <c r="AA19" s="176">
        <f>AA17*Coefficients!$C$6</f>
        <v>125193.01065228054</v>
      </c>
      <c r="AB19" s="176">
        <f>AB17*Coefficients!$C$6</f>
        <v>125870.98463419128</v>
      </c>
      <c r="AC19" s="177">
        <f>AC17*Coefficients!$C$6</f>
        <v>126548.95861610207</v>
      </c>
    </row>
    <row r="20" spans="2:29" x14ac:dyDescent="0.2">
      <c r="B20" s="174" t="s">
        <v>196</v>
      </c>
      <c r="C20" s="175">
        <f>C18*Coefficients!$C$17*Coefficients!$C$76</f>
        <v>3414765.6154271481</v>
      </c>
      <c r="D20" s="176">
        <f>D18*Coefficients!$C$17*Coefficients!$C$76</f>
        <v>3751410.9983829428</v>
      </c>
      <c r="E20" s="176">
        <f>E18*Coefficients!$C$17*Coefficients!$C$76</f>
        <v>3822020.1737147458</v>
      </c>
      <c r="F20" s="176">
        <f>F18*Coefficients!$C$17*Coefficients!$C$76</f>
        <v>3892629.3490465498</v>
      </c>
      <c r="G20" s="176">
        <f>G18*Coefficients!$C$17*Coefficients!$C$76</f>
        <v>3963238.5243783509</v>
      </c>
      <c r="H20" s="176">
        <f>H18*Coefficients!$C$17*Coefficients!$C$76</f>
        <v>4033847.699710154</v>
      </c>
      <c r="I20" s="176">
        <f>I18*Coefficients!$C$17*Coefficients!$C$76</f>
        <v>4094753.7114128536</v>
      </c>
      <c r="J20" s="176">
        <f>J18*Coefficients!$C$17*Coefficients!$C$76</f>
        <v>4140283.9407494282</v>
      </c>
      <c r="K20" s="176">
        <f>K18*Coefficients!$C$17*Coefficients!$C$76</f>
        <v>4185814.1700860029</v>
      </c>
      <c r="L20" s="176">
        <f>L18*Coefficients!$C$17*Coefficients!$C$76</f>
        <v>4231344.3994225776</v>
      </c>
      <c r="M20" s="176">
        <f>M18*Coefficients!$C$17*Coefficients!$C$76</f>
        <v>4276874.6287591532</v>
      </c>
      <c r="N20" s="176">
        <f>N18*Coefficients!$C$17*Coefficients!$C$76</f>
        <v>4322404.8580957279</v>
      </c>
      <c r="O20" s="176">
        <f>O18*Coefficients!$C$17*Coefficients!$C$76</f>
        <v>4349275.1573763285</v>
      </c>
      <c r="P20" s="176">
        <f>P18*Coefficients!$C$17*Coefficients!$C$76</f>
        <v>4376145.456656931</v>
      </c>
      <c r="Q20" s="176">
        <f>Q18*Coefficients!$C$17*Coefficients!$C$76</f>
        <v>4403015.7559375335</v>
      </c>
      <c r="R20" s="176">
        <f>R18*Coefficients!$C$17*Coefficients!$C$76</f>
        <v>4429886.055218135</v>
      </c>
      <c r="S20" s="176">
        <f>S18*Coefficients!$C$17*Coefficients!$C$76</f>
        <v>4456756.3544987366</v>
      </c>
      <c r="T20" s="176">
        <f>T18*Coefficients!$C$17*Coefficients!$C$76</f>
        <v>4481984.5799344117</v>
      </c>
      <c r="U20" s="176">
        <f>U18*Coefficients!$C$17*Coefficients!$C$76</f>
        <v>4507212.8053700868</v>
      </c>
      <c r="V20" s="176">
        <f>V18*Coefficients!$C$17*Coefficients!$C$76</f>
        <v>4532441.0308057629</v>
      </c>
      <c r="W20" s="176">
        <f>W18*Coefficients!$C$17*Coefficients!$C$76</f>
        <v>4557669.2562414389</v>
      </c>
      <c r="X20" s="176">
        <f>X18*Coefficients!$C$17*Coefficients!$C$76</f>
        <v>4582897.481677115</v>
      </c>
      <c r="Y20" s="176">
        <f>Y18*Coefficients!$C$17*Coefficients!$C$76</f>
        <v>4608125.707112791</v>
      </c>
      <c r="Z20" s="176">
        <f>Z18*Coefficients!$C$17*Coefficients!$C$76</f>
        <v>4633353.9325484661</v>
      </c>
      <c r="AA20" s="176">
        <f>AA18*Coefficients!$C$17*Coefficients!$C$76</f>
        <v>4658582.1579841422</v>
      </c>
      <c r="AB20" s="176">
        <f>AB18*Coefficients!$C$17*Coefficients!$C$76</f>
        <v>4683810.3834198192</v>
      </c>
      <c r="AC20" s="177">
        <f>AC18*Coefficients!$C$17*Coefficients!$C$76</f>
        <v>4709038.6088554962</v>
      </c>
    </row>
    <row r="21" spans="2:29" x14ac:dyDescent="0.2">
      <c r="B21" s="174" t="s">
        <v>285</v>
      </c>
      <c r="C21" s="175">
        <f>C19*Coefficients!$C$18</f>
        <v>180138.90718610233</v>
      </c>
      <c r="D21" s="176">
        <f>D19*Coefficients!$C$18</f>
        <v>197897.93905667425</v>
      </c>
      <c r="E21" s="176">
        <f>E19*Coefficients!$C$18</f>
        <v>201622.78026513651</v>
      </c>
      <c r="F21" s="176">
        <f>F19*Coefficients!$C$18</f>
        <v>205347.62147359867</v>
      </c>
      <c r="G21" s="176">
        <f>G19*Coefficients!$C$18</f>
        <v>209072.46268206081</v>
      </c>
      <c r="H21" s="176">
        <f>H19*Coefficients!$C$18</f>
        <v>212797.30389052306</v>
      </c>
      <c r="I21" s="176">
        <f>I19*Coefficients!$C$18</f>
        <v>216010.27474264277</v>
      </c>
      <c r="J21" s="176">
        <f>J19*Coefficients!$C$18</f>
        <v>218412.12795317342</v>
      </c>
      <c r="K21" s="176">
        <f>K19*Coefficients!$C$18</f>
        <v>220813.98116370395</v>
      </c>
      <c r="L21" s="176">
        <f>L19*Coefficients!$C$18</f>
        <v>223215.83437423458</v>
      </c>
      <c r="M21" s="176">
        <f>M19*Coefficients!$C$18</f>
        <v>225617.68758476531</v>
      </c>
      <c r="N21" s="176">
        <f>N19*Coefficients!$C$18</f>
        <v>228019.54079529579</v>
      </c>
      <c r="O21" s="176">
        <f>O19*Coefficients!$C$18</f>
        <v>229437.02793593681</v>
      </c>
      <c r="P21" s="176">
        <f>P19*Coefficients!$C$18</f>
        <v>230854.51507657795</v>
      </c>
      <c r="Q21" s="176">
        <f>Q19*Coefficients!$C$18</f>
        <v>232272.00221721892</v>
      </c>
      <c r="R21" s="176">
        <f>R19*Coefficients!$C$18</f>
        <v>233689.48935785994</v>
      </c>
      <c r="S21" s="176">
        <f>S19*Coefficients!$C$18</f>
        <v>235106.97649850091</v>
      </c>
      <c r="T21" s="176">
        <f>T19*Coefficients!$C$18</f>
        <v>236437.83942499163</v>
      </c>
      <c r="U21" s="176">
        <f>U19*Coefficients!$C$18</f>
        <v>237768.70235148232</v>
      </c>
      <c r="V21" s="176">
        <f>V19*Coefficients!$C$18</f>
        <v>239099.5652779731</v>
      </c>
      <c r="W21" s="176">
        <f>W19*Coefficients!$C$18</f>
        <v>240430.42820446388</v>
      </c>
      <c r="X21" s="176">
        <f>X19*Coefficients!$C$18</f>
        <v>241761.2911309546</v>
      </c>
      <c r="Y21" s="176">
        <f>Y19*Coefficients!$C$18</f>
        <v>243092.15405744532</v>
      </c>
      <c r="Z21" s="176">
        <f>Z19*Coefficients!$C$18</f>
        <v>244423.01698393599</v>
      </c>
      <c r="AA21" s="176">
        <f>AA19*Coefficients!$C$18</f>
        <v>245753.87991042671</v>
      </c>
      <c r="AB21" s="176">
        <f>AB19*Coefficients!$C$18</f>
        <v>247084.74283691749</v>
      </c>
      <c r="AC21" s="177">
        <f>AC19*Coefficients!$C$18</f>
        <v>248415.60576340838</v>
      </c>
    </row>
    <row r="22" spans="2:29" ht="17" thickBot="1" x14ac:dyDescent="0.25">
      <c r="B22" s="96" t="s">
        <v>286</v>
      </c>
      <c r="C22" s="99">
        <f>C21+C20</f>
        <v>3594904.5226132502</v>
      </c>
      <c r="D22" s="100">
        <f t="shared" ref="D22:AC22" si="2">D21+D20</f>
        <v>3949308.9374396168</v>
      </c>
      <c r="E22" s="100">
        <f t="shared" si="2"/>
        <v>4023642.9539798824</v>
      </c>
      <c r="F22" s="100">
        <f t="shared" si="2"/>
        <v>4097976.9705201485</v>
      </c>
      <c r="G22" s="100">
        <f t="shared" si="2"/>
        <v>4172310.9870604118</v>
      </c>
      <c r="H22" s="100">
        <f t="shared" si="2"/>
        <v>4246645.0036006775</v>
      </c>
      <c r="I22" s="100">
        <f t="shared" si="2"/>
        <v>4310763.986155496</v>
      </c>
      <c r="J22" s="100">
        <f t="shared" si="2"/>
        <v>4358696.0687026018</v>
      </c>
      <c r="K22" s="100">
        <f t="shared" si="2"/>
        <v>4406628.1512497067</v>
      </c>
      <c r="L22" s="100">
        <f t="shared" si="2"/>
        <v>4454560.2337968126</v>
      </c>
      <c r="M22" s="100">
        <f t="shared" si="2"/>
        <v>4502492.3163439184</v>
      </c>
      <c r="N22" s="100">
        <f t="shared" si="2"/>
        <v>4550424.3988910234</v>
      </c>
      <c r="O22" s="100">
        <f t="shared" si="2"/>
        <v>4578712.1853122655</v>
      </c>
      <c r="P22" s="100">
        <f t="shared" si="2"/>
        <v>4606999.9717335086</v>
      </c>
      <c r="Q22" s="100">
        <f t="shared" si="2"/>
        <v>4635287.7581547527</v>
      </c>
      <c r="R22" s="100">
        <f t="shared" si="2"/>
        <v>4663575.5445759948</v>
      </c>
      <c r="S22" s="100">
        <f t="shared" si="2"/>
        <v>4691863.3309972379</v>
      </c>
      <c r="T22" s="100">
        <f t="shared" si="2"/>
        <v>4718422.4193594037</v>
      </c>
      <c r="U22" s="100">
        <f t="shared" si="2"/>
        <v>4744981.5077215694</v>
      </c>
      <c r="V22" s="100">
        <f t="shared" si="2"/>
        <v>4771540.596083736</v>
      </c>
      <c r="W22" s="100">
        <f t="shared" si="2"/>
        <v>4798099.6844459027</v>
      </c>
      <c r="X22" s="100">
        <f t="shared" si="2"/>
        <v>4824658.7728080694</v>
      </c>
      <c r="Y22" s="100">
        <f t="shared" si="2"/>
        <v>4851217.861170236</v>
      </c>
      <c r="Z22" s="100">
        <f t="shared" si="2"/>
        <v>4877776.9495324017</v>
      </c>
      <c r="AA22" s="100">
        <f t="shared" si="2"/>
        <v>4904336.0378945693</v>
      </c>
      <c r="AB22" s="100">
        <f t="shared" si="2"/>
        <v>4930895.1262567369</v>
      </c>
      <c r="AC22" s="101">
        <f t="shared" si="2"/>
        <v>4957454.2146189045</v>
      </c>
    </row>
    <row r="23" spans="2:29" ht="17" thickBot="1" x14ac:dyDescent="0.25"/>
    <row r="24" spans="2:29" x14ac:dyDescent="0.2">
      <c r="B24" s="170" t="s">
        <v>280</v>
      </c>
      <c r="C24" s="171">
        <f>C6*Coefficients!$C$6*(1-Coefficients!$C$53)</f>
        <v>917671.45790169376</v>
      </c>
      <c r="D24" s="172">
        <f>D6*Coefficients!$C$6*(1-Coefficients!$C$53)</f>
        <v>1008140.2906605928</v>
      </c>
      <c r="E24" s="172">
        <f>E6*Coefficients!$C$6*(1-Coefficients!$C$53)</f>
        <v>1027115.5387933602</v>
      </c>
      <c r="F24" s="172">
        <f>F6*Coefficients!$C$6*(1-Coefficients!$C$53)</f>
        <v>1046090.7869261277</v>
      </c>
      <c r="G24" s="172">
        <f>G6*Coefficients!$C$6*(1-Coefficients!$C$53)</f>
        <v>1065066.0350588947</v>
      </c>
      <c r="H24" s="172">
        <f>H6*Coefficients!$C$6*(1-Coefficients!$C$53)</f>
        <v>1084041.283191662</v>
      </c>
      <c r="I24" s="172">
        <f>I6*Coefficients!$C$6*(1-Coefficients!$C$53)</f>
        <v>1100408.9390863117</v>
      </c>
      <c r="J24" s="172">
        <f>J6*Coefficients!$C$6*(1-Coefficients!$C$53)</f>
        <v>1112644.5642036353</v>
      </c>
      <c r="K24" s="172">
        <f>K6*Coefficients!$C$6*(1-Coefficients!$C$53)</f>
        <v>1124880.1893209587</v>
      </c>
      <c r="L24" s="172">
        <f>L6*Coefficients!$C$6*(1-Coefficients!$C$53)</f>
        <v>1137115.8144382823</v>
      </c>
      <c r="M24" s="172">
        <f>M6*Coefficients!$C$6*(1-Coefficients!$C$53)</f>
        <v>1149351.4395556061</v>
      </c>
      <c r="N24" s="172">
        <f>N6*Coefficients!$C$6*(1-Coefficients!$C$53)</f>
        <v>1161587.0646729292</v>
      </c>
      <c r="O24" s="172">
        <f>O6*Coefficients!$C$6*(1-Coefficients!$C$53)</f>
        <v>1168808.0893323331</v>
      </c>
      <c r="P24" s="172">
        <f>P6*Coefficients!$C$6*(1-Coefficients!$C$53)</f>
        <v>1176029.1139917378</v>
      </c>
      <c r="Q24" s="172">
        <f>Q6*Coefficients!$C$6*(1-Coefficients!$C$53)</f>
        <v>1183250.1386511419</v>
      </c>
      <c r="R24" s="172">
        <f>R6*Coefficients!$C$6*(1-Coefficients!$C$53)</f>
        <v>1190471.163310546</v>
      </c>
      <c r="S24" s="172">
        <f>S6*Coefficients!$C$6*(1-Coefficients!$C$53)</f>
        <v>1197692.1879699498</v>
      </c>
      <c r="T24" s="172">
        <f>T6*Coefficients!$C$6*(1-Coefficients!$C$53)</f>
        <v>1204471.9277890569</v>
      </c>
      <c r="U24" s="172">
        <f>U6*Coefficients!$C$6*(1-Coefficients!$C$53)</f>
        <v>1211251.6676081638</v>
      </c>
      <c r="V24" s="172">
        <f>V6*Coefficients!$C$6*(1-Coefficients!$C$53)</f>
        <v>1218031.4074272711</v>
      </c>
      <c r="W24" s="172">
        <f>W6*Coefficients!$C$6*(1-Coefficients!$C$53)</f>
        <v>1224811.1472463782</v>
      </c>
      <c r="X24" s="172">
        <f>X6*Coefficients!$C$6*(1-Coefficients!$C$53)</f>
        <v>1231590.8870654854</v>
      </c>
      <c r="Y24" s="172">
        <f>Y6*Coefficients!$C$6*(1-Coefficients!$C$53)</f>
        <v>1238370.6268845922</v>
      </c>
      <c r="Z24" s="172">
        <f>Z6*Coefficients!$C$6*(1-Coefficients!$C$53)</f>
        <v>1245150.3667036993</v>
      </c>
      <c r="AA24" s="172">
        <f>AA6*Coefficients!$C$6*(1-Coefficients!$C$53)</f>
        <v>1251930.1065228065</v>
      </c>
      <c r="AB24" s="172">
        <f>AB6*Coefficients!$C$6*(1-Coefficients!$C$53)</f>
        <v>1258709.846341914</v>
      </c>
      <c r="AC24" s="173">
        <f>AC6*Coefficients!$C$6*(1-Coefficients!$C$53)</f>
        <v>1265489.5861610214</v>
      </c>
    </row>
    <row r="25" spans="2:29" s="2" customFormat="1" ht="17" thickBot="1" x14ac:dyDescent="0.25">
      <c r="B25" s="96" t="s">
        <v>197</v>
      </c>
      <c r="C25" s="99">
        <f>C24*Coefficients!$C$18</f>
        <v>1801389.0718610249</v>
      </c>
      <c r="D25" s="100">
        <f>D24*Coefficients!$C$18</f>
        <v>1978979.3905667439</v>
      </c>
      <c r="E25" s="100">
        <f>E24*Coefficients!$C$18</f>
        <v>2016227.8026513662</v>
      </c>
      <c r="F25" s="100">
        <f>F24*Coefficients!$C$18</f>
        <v>2053476.2147359888</v>
      </c>
      <c r="G25" s="100">
        <f>G24*Coefficients!$C$18</f>
        <v>2090724.6268206104</v>
      </c>
      <c r="H25" s="100">
        <f>H24*Coefficients!$C$18</f>
        <v>2127973.0389052327</v>
      </c>
      <c r="I25" s="100">
        <f>I24*Coefficients!$C$18</f>
        <v>2160102.7474264302</v>
      </c>
      <c r="J25" s="100">
        <f>J24*Coefficients!$C$18</f>
        <v>2184121.2795317364</v>
      </c>
      <c r="K25" s="100">
        <f>K24*Coefficients!$C$18</f>
        <v>2208139.8116370421</v>
      </c>
      <c r="L25" s="100">
        <f>L24*Coefficients!$C$18</f>
        <v>2232158.3437423483</v>
      </c>
      <c r="M25" s="100">
        <f>M24*Coefficients!$C$18</f>
        <v>2256176.8758476549</v>
      </c>
      <c r="N25" s="100">
        <f>N24*Coefficients!$C$18</f>
        <v>2280195.4079529601</v>
      </c>
      <c r="O25" s="100">
        <f>O24*Coefficients!$C$18</f>
        <v>2294370.27935937</v>
      </c>
      <c r="P25" s="100">
        <f>P24*Coefficients!$C$18</f>
        <v>2308545.1507657813</v>
      </c>
      <c r="Q25" s="100">
        <f>Q24*Coefficients!$C$18</f>
        <v>2322720.0221721916</v>
      </c>
      <c r="R25" s="100">
        <f>R24*Coefficients!$C$18</f>
        <v>2336894.893578602</v>
      </c>
      <c r="S25" s="100">
        <f>S24*Coefficients!$C$18</f>
        <v>2351069.7649850114</v>
      </c>
      <c r="T25" s="100">
        <f>T24*Coefficients!$C$18</f>
        <v>2364378.3942499189</v>
      </c>
      <c r="U25" s="100">
        <f>U24*Coefficients!$C$18</f>
        <v>2377687.0235148254</v>
      </c>
      <c r="V25" s="100">
        <f>V24*Coefficients!$C$18</f>
        <v>2390995.6527797333</v>
      </c>
      <c r="W25" s="100">
        <f>W24*Coefficients!$C$18</f>
        <v>2404304.2820446407</v>
      </c>
      <c r="X25" s="100">
        <f>X24*Coefficients!$C$18</f>
        <v>2417612.9113095477</v>
      </c>
      <c r="Y25" s="100">
        <f>Y24*Coefficients!$C$18</f>
        <v>2430921.5405744547</v>
      </c>
      <c r="Z25" s="100">
        <f>Z24*Coefficients!$C$18</f>
        <v>2444230.1698393617</v>
      </c>
      <c r="AA25" s="100">
        <f>AA24*Coefficients!$C$18</f>
        <v>2457538.7991042691</v>
      </c>
      <c r="AB25" s="100">
        <f>AB24*Coefficients!$C$18</f>
        <v>2470847.4283691775</v>
      </c>
      <c r="AC25" s="101">
        <f>AC24*Coefficients!$C$18</f>
        <v>2484156.057634085</v>
      </c>
    </row>
    <row r="26" spans="2:29" ht="17" thickBot="1" x14ac:dyDescent="0.25"/>
    <row r="27" spans="2:29" x14ac:dyDescent="0.2">
      <c r="B27" s="170" t="s">
        <v>281</v>
      </c>
      <c r="C27" s="171">
        <f>C4*Coefficients!$C$6*(1-Coefficients!$C$53)</f>
        <v>1704246.9932460028</v>
      </c>
      <c r="D27" s="172">
        <f>D4*Coefficients!$C$6*(1-Coefficients!$C$53)</f>
        <v>1872260.5397982444</v>
      </c>
      <c r="E27" s="172">
        <f>E4*Coefficients!$C$6*(1-Coefficients!$C$53)</f>
        <v>1907500.2863305265</v>
      </c>
      <c r="F27" s="172">
        <f>F4*Coefficients!$C$6*(1-Coefficients!$C$53)</f>
        <v>1942740.0328628088</v>
      </c>
      <c r="G27" s="172">
        <f>G4*Coefficients!$C$6*(1-Coefficients!$C$53)</f>
        <v>1977979.7793950904</v>
      </c>
      <c r="H27" s="172">
        <f>H4*Coefficients!$C$6*(1-Coefficients!$C$53)</f>
        <v>2013219.5259273725</v>
      </c>
      <c r="I27" s="172">
        <f>I4*Coefficients!$C$6*(1-Coefficients!$C$53)</f>
        <v>2043616.6011602934</v>
      </c>
      <c r="J27" s="172">
        <f>J4*Coefficients!$C$6*(1-Coefficients!$C$53)</f>
        <v>2066339.9049496085</v>
      </c>
      <c r="K27" s="172">
        <f>K4*Coefficients!$C$6*(1-Coefficients!$C$53)</f>
        <v>2089063.2087389235</v>
      </c>
      <c r="L27" s="172">
        <f>L4*Coefficients!$C$6*(1-Coefficients!$C$53)</f>
        <v>2111786.5125282384</v>
      </c>
      <c r="M27" s="172">
        <f>M4*Coefficients!$C$6*(1-Coefficients!$C$53)</f>
        <v>2134509.8163175541</v>
      </c>
      <c r="N27" s="172">
        <f>N4*Coefficients!$C$6*(1-Coefficients!$C$53)</f>
        <v>2157233.1201068689</v>
      </c>
      <c r="O27" s="172">
        <f>O4*Coefficients!$C$6*(1-Coefficients!$C$53)</f>
        <v>2170643.5944743333</v>
      </c>
      <c r="P27" s="172">
        <f>P4*Coefficients!$C$6*(1-Coefficients!$C$53)</f>
        <v>2184054.0688417987</v>
      </c>
      <c r="Q27" s="172">
        <f>Q4*Coefficients!$C$6*(1-Coefficients!$C$53)</f>
        <v>2197464.5432092636</v>
      </c>
      <c r="R27" s="172">
        <f>R4*Coefficients!$C$6*(1-Coefficients!$C$53)</f>
        <v>2210875.0175767285</v>
      </c>
      <c r="S27" s="172">
        <f>S4*Coefficients!$C$6*(1-Coefficients!$C$53)</f>
        <v>2224285.4919441924</v>
      </c>
      <c r="T27" s="172">
        <f>T4*Coefficients!$C$6*(1-Coefficients!$C$53)</f>
        <v>2236876.4373225342</v>
      </c>
      <c r="U27" s="172">
        <f>U4*Coefficients!$C$6*(1-Coefficients!$C$53)</f>
        <v>2249467.3827008759</v>
      </c>
      <c r="V27" s="172">
        <f>V4*Coefficients!$C$6*(1-Coefficients!$C$53)</f>
        <v>2262058.328079218</v>
      </c>
      <c r="W27" s="172">
        <f>W4*Coefficients!$C$6*(1-Coefficients!$C$53)</f>
        <v>2274649.2734575602</v>
      </c>
      <c r="X27" s="172">
        <f>X4*Coefficients!$C$6*(1-Coefficients!$C$53)</f>
        <v>2287240.2188359015</v>
      </c>
      <c r="Y27" s="172">
        <f>Y4*Coefficients!$C$6*(1-Coefficients!$C$53)</f>
        <v>2299831.1642142432</v>
      </c>
      <c r="Z27" s="172">
        <f>Z4*Coefficients!$C$6*(1-Coefficients!$C$53)</f>
        <v>2312422.1095925849</v>
      </c>
      <c r="AA27" s="172">
        <f>AA4*Coefficients!$C$6*(1-Coefficients!$C$53)</f>
        <v>2325013.0549709261</v>
      </c>
      <c r="AB27" s="172">
        <f>AB4*Coefficients!$C$6*(1-Coefficients!$C$53)</f>
        <v>2337604.0003492688</v>
      </c>
      <c r="AC27" s="173">
        <f>AC4*Coefficients!$C$6*(1-Coefficients!$C$53)</f>
        <v>2350194.9457276114</v>
      </c>
    </row>
    <row r="28" spans="2:29" s="2" customFormat="1" ht="17" thickBot="1" x14ac:dyDescent="0.25">
      <c r="B28" s="96" t="s">
        <v>198</v>
      </c>
      <c r="C28" s="99">
        <f>C27*Coefficients!$C$16/((Coefficients!$C$35+2*Coefficients!$C$37)*1000)</f>
        <v>1704.2469932460031</v>
      </c>
      <c r="D28" s="100">
        <f>D27*Coefficients!$C$16/((Coefficients!$C$35+2*Coefficients!$C$37)*1000)</f>
        <v>1872.2605397982445</v>
      </c>
      <c r="E28" s="100">
        <f>E27*Coefficients!$C$16/((Coefficients!$C$35+2*Coefficients!$C$37)*1000)</f>
        <v>1907.5002863305265</v>
      </c>
      <c r="F28" s="100">
        <f>F27*Coefficients!$C$16/((Coefficients!$C$35+2*Coefficients!$C$37)*1000)</f>
        <v>1942.7400328628089</v>
      </c>
      <c r="G28" s="100">
        <f>G27*Coefficients!$C$16/((Coefficients!$C$35+2*Coefficients!$C$37)*1000)</f>
        <v>1977.9797793950906</v>
      </c>
      <c r="H28" s="100">
        <f>H27*Coefficients!$C$16/((Coefficients!$C$35+2*Coefficients!$C$37)*1000)</f>
        <v>2013.2195259273726</v>
      </c>
      <c r="I28" s="100">
        <f>I27*Coefficients!$C$16/((Coefficients!$C$35+2*Coefficients!$C$37)*1000)</f>
        <v>2043.6166011602934</v>
      </c>
      <c r="J28" s="100">
        <f>J27*Coefficients!$C$16/((Coefficients!$C$35+2*Coefficients!$C$37)*1000)</f>
        <v>2066.3399049496084</v>
      </c>
      <c r="K28" s="100">
        <f>K27*Coefficients!$C$16/((Coefficients!$C$35+2*Coefficients!$C$37)*1000)</f>
        <v>2089.0632087389235</v>
      </c>
      <c r="L28" s="100">
        <f>L27*Coefficients!$C$16/((Coefficients!$C$35+2*Coefficients!$C$37)*1000)</f>
        <v>2111.7865125282383</v>
      </c>
      <c r="M28" s="100">
        <f>M27*Coefficients!$C$16/((Coefficients!$C$35+2*Coefficients!$C$37)*1000)</f>
        <v>2134.5098163175544</v>
      </c>
      <c r="N28" s="100">
        <f>N27*Coefficients!$C$16/((Coefficients!$C$35+2*Coefficients!$C$37)*1000)</f>
        <v>2157.2331201068687</v>
      </c>
      <c r="O28" s="100">
        <f>O27*Coefficients!$C$16/((Coefficients!$C$35+2*Coefficients!$C$37)*1000)</f>
        <v>2170.6435944743334</v>
      </c>
      <c r="P28" s="100">
        <f>P27*Coefficients!$C$16/((Coefficients!$C$35+2*Coefficients!$C$37)*1000)</f>
        <v>2184.0540688417987</v>
      </c>
      <c r="Q28" s="100">
        <f>Q27*Coefficients!$C$16/((Coefficients!$C$35+2*Coefficients!$C$37)*1000)</f>
        <v>2197.4645432092634</v>
      </c>
      <c r="R28" s="100">
        <f>R27*Coefficients!$C$16/((Coefficients!$C$35+2*Coefficients!$C$37)*1000)</f>
        <v>2210.8750175767282</v>
      </c>
      <c r="S28" s="100">
        <f>S27*Coefficients!$C$16/((Coefficients!$C$35+2*Coefficients!$C$37)*1000)</f>
        <v>2224.2854919441925</v>
      </c>
      <c r="T28" s="100">
        <f>T27*Coefficients!$C$16/((Coefficients!$C$35+2*Coefficients!$C$37)*1000)</f>
        <v>2236.8764373225345</v>
      </c>
      <c r="U28" s="100">
        <f>U27*Coefficients!$C$16/((Coefficients!$C$35+2*Coefficients!$C$37)*1000)</f>
        <v>2249.4673827008755</v>
      </c>
      <c r="V28" s="100">
        <f>V27*Coefficients!$C$16/((Coefficients!$C$35+2*Coefficients!$C$37)*1000)</f>
        <v>2262.0583280792184</v>
      </c>
      <c r="W28" s="100">
        <f>W27*Coefficients!$C$16/((Coefficients!$C$35+2*Coefficients!$C$37)*1000)</f>
        <v>2274.6492734575604</v>
      </c>
      <c r="X28" s="100">
        <f>X27*Coefficients!$C$16/((Coefficients!$C$35+2*Coefficients!$C$37)*1000)</f>
        <v>2287.2402188359015</v>
      </c>
      <c r="Y28" s="100">
        <f>Y27*Coefficients!$C$16/((Coefficients!$C$35+2*Coefficients!$C$37)*1000)</f>
        <v>2299.8311642142435</v>
      </c>
      <c r="Z28" s="100">
        <f>Z27*Coefficients!$C$16/((Coefficients!$C$35+2*Coefficients!$C$37)*1000)</f>
        <v>2312.4221095925845</v>
      </c>
      <c r="AA28" s="100">
        <f>AA27*Coefficients!$C$16/((Coefficients!$C$35+2*Coefficients!$C$37)*1000)</f>
        <v>2325.0130549709261</v>
      </c>
      <c r="AB28" s="100">
        <f>AB27*Coefficients!$C$16/((Coefficients!$C$35+2*Coefficients!$C$37)*1000)</f>
        <v>2337.6040003492685</v>
      </c>
      <c r="AC28" s="101">
        <f>AC27*Coefficients!$C$16/((Coefficients!$C$35+2*Coefficients!$C$37)*1000)</f>
        <v>2350.1949457276114</v>
      </c>
    </row>
    <row r="29" spans="2:29" ht="17" thickBot="1" x14ac:dyDescent="0.25"/>
    <row r="30" spans="2:29" x14ac:dyDescent="0.2">
      <c r="B30" s="139" t="s">
        <v>140</v>
      </c>
      <c r="C30" s="185">
        <f>C3*Coefficients!$C$32/Coefficients!$C$31</f>
        <v>152.49992922374429</v>
      </c>
      <c r="D30" s="186">
        <f>D3*Coefficients!$C$32/Coefficients!$C$31</f>
        <v>167.53416666666672</v>
      </c>
      <c r="E30" s="186">
        <f>E3*Coefficients!$C$32/Coefficients!$C$31</f>
        <v>170.68750000000006</v>
      </c>
      <c r="F30" s="186">
        <f>F3*Coefficients!$C$32/Coefficients!$C$31</f>
        <v>173.84083333333339</v>
      </c>
      <c r="G30" s="186">
        <f>G3*Coefficients!$C$32/Coefficients!$C$31</f>
        <v>176.99416666666667</v>
      </c>
      <c r="H30" s="186">
        <f>H3*Coefficients!$C$32/Coefficients!$C$31</f>
        <v>180.14750000000004</v>
      </c>
      <c r="I30" s="186">
        <f>I3*Coefficients!$C$32/Coefficients!$C$31</f>
        <v>182.86750000000009</v>
      </c>
      <c r="J30" s="186">
        <f>J3*Coefficients!$C$32/Coefficients!$C$31</f>
        <v>184.9008333333334</v>
      </c>
      <c r="K30" s="186">
        <f>K3*Coefficients!$C$32/Coefficients!$C$31</f>
        <v>186.93416666666673</v>
      </c>
      <c r="L30" s="186">
        <f>L3*Coefficients!$C$32/Coefficients!$C$31</f>
        <v>188.96750000000009</v>
      </c>
      <c r="M30" s="186">
        <f>M3*Coefficients!$C$32/Coefficients!$C$31</f>
        <v>191.00083333333345</v>
      </c>
      <c r="N30" s="186">
        <f>N3*Coefficients!$C$32/Coefficients!$C$31</f>
        <v>193.03416666666672</v>
      </c>
      <c r="O30" s="186">
        <f>O3*Coefficients!$C$32/Coefficients!$C$31</f>
        <v>194.23416666666668</v>
      </c>
      <c r="P30" s="186">
        <f>P3*Coefficients!$C$32/Coefficients!$C$31</f>
        <v>195.43416666666675</v>
      </c>
      <c r="Q30" s="186">
        <f>Q3*Coefficients!$C$32/Coefficients!$C$31</f>
        <v>196.63416666666677</v>
      </c>
      <c r="R30" s="186">
        <f>R3*Coefficients!$C$32/Coefficients!$C$31</f>
        <v>197.83416666666679</v>
      </c>
      <c r="S30" s="186">
        <f>S3*Coefficients!$C$32/Coefficients!$C$31</f>
        <v>199.03416666666669</v>
      </c>
      <c r="T30" s="186">
        <f>T3*Coefficients!$C$32/Coefficients!$C$31</f>
        <v>200.16083333333333</v>
      </c>
      <c r="U30" s="186">
        <f>U3*Coefficients!$C$32/Coefficients!$C$31</f>
        <v>201.28749999999999</v>
      </c>
      <c r="V30" s="186">
        <f>V3*Coefficients!$C$32/Coefficients!$C$31</f>
        <v>202.41416666666666</v>
      </c>
      <c r="W30" s="186">
        <f>W3*Coefficients!$C$32/Coefficients!$C$31</f>
        <v>203.54083333333341</v>
      </c>
      <c r="X30" s="186">
        <f>X3*Coefficients!$C$32/Coefficients!$C$31</f>
        <v>204.66750000000002</v>
      </c>
      <c r="Y30" s="186">
        <f>Y3*Coefficients!$C$32/Coefficients!$C$31</f>
        <v>205.79416666666671</v>
      </c>
      <c r="Z30" s="186">
        <f>Z3*Coefficients!$C$32/Coefficients!$C$31</f>
        <v>206.92083333333332</v>
      </c>
      <c r="AA30" s="186">
        <f>AA3*Coefficients!$C$32/Coefficients!$C$31</f>
        <v>208.04749999999999</v>
      </c>
      <c r="AB30" s="186">
        <f>AB3*Coefficients!$C$32/Coefficients!$C$31</f>
        <v>209.17416666666668</v>
      </c>
      <c r="AC30" s="187">
        <f>AC3*Coefficients!$C$32/Coefficients!$C$31</f>
        <v>210.30083333333343</v>
      </c>
    </row>
    <row r="31" spans="2:29" x14ac:dyDescent="0.2">
      <c r="B31" s="144" t="s">
        <v>141</v>
      </c>
      <c r="C31" s="188">
        <f>C30*Coefficients!$C$10/Coefficients!$C$8</f>
        <v>5764.4020122017691</v>
      </c>
      <c r="D31" s="189">
        <f>D30*Coefficients!$C$10/Coefficients!$C$8</f>
        <v>6332.6867911458348</v>
      </c>
      <c r="E31" s="189">
        <f>E30*Coefficients!$C$10/Coefficients!$C$8</f>
        <v>6451.8808203125018</v>
      </c>
      <c r="F31" s="189">
        <f>F30*Coefficients!$C$10/Coefficients!$C$8</f>
        <v>6571.0748494791687</v>
      </c>
      <c r="G31" s="189">
        <f>G30*Coefficients!$C$10/Coefficients!$C$8</f>
        <v>6690.2688786458339</v>
      </c>
      <c r="H31" s="189">
        <f>H30*Coefficients!$C$10/Coefficients!$C$8</f>
        <v>6809.4629078125008</v>
      </c>
      <c r="I31" s="189">
        <f>I30*Coefficients!$C$10/Coefficients!$C$8</f>
        <v>6912.2772078125026</v>
      </c>
      <c r="J31" s="189">
        <f>J30*Coefficients!$C$10/Coefficients!$C$8</f>
        <v>6989.135936979168</v>
      </c>
      <c r="K31" s="189">
        <f>K30*Coefficients!$C$10/Coefficients!$C$8</f>
        <v>7065.9946661458353</v>
      </c>
      <c r="L31" s="189">
        <f>L30*Coefficients!$C$10/Coefficients!$C$8</f>
        <v>7142.8533953125034</v>
      </c>
      <c r="M31" s="189">
        <f>M30*Coefficients!$C$10/Coefficients!$C$8</f>
        <v>7219.7121244791706</v>
      </c>
      <c r="N31" s="189">
        <f>N30*Coefficients!$C$10/Coefficients!$C$8</f>
        <v>7296.5708536458342</v>
      </c>
      <c r="O31" s="189">
        <f>O30*Coefficients!$C$10/Coefficients!$C$8</f>
        <v>7341.9301036458337</v>
      </c>
      <c r="P31" s="189">
        <f>P30*Coefficients!$C$10/Coefficients!$C$8</f>
        <v>7387.2893536458359</v>
      </c>
      <c r="Q31" s="189">
        <f>Q30*Coefficients!$C$10/Coefficients!$C$8</f>
        <v>7432.6486036458373</v>
      </c>
      <c r="R31" s="189">
        <f>R30*Coefficients!$C$10/Coefficients!$C$8</f>
        <v>7478.0078536458377</v>
      </c>
      <c r="S31" s="189">
        <f>S30*Coefficients!$C$10/Coefficients!$C$8</f>
        <v>7523.3671036458336</v>
      </c>
      <c r="T31" s="189">
        <f>T30*Coefficients!$C$10/Coefficients!$C$8</f>
        <v>7565.9543994791666</v>
      </c>
      <c r="U31" s="189">
        <f>U30*Coefficients!$C$10/Coefficients!$C$8</f>
        <v>7608.5416953124995</v>
      </c>
      <c r="V31" s="189">
        <f>V30*Coefficients!$C$10/Coefficients!$C$8</f>
        <v>7651.1289911458325</v>
      </c>
      <c r="W31" s="189">
        <f>W30*Coefficients!$C$10/Coefficients!$C$8</f>
        <v>7693.7162869791691</v>
      </c>
      <c r="X31" s="189">
        <f>X30*Coefficients!$C$10/Coefficients!$C$8</f>
        <v>7736.3035828125003</v>
      </c>
      <c r="Y31" s="189">
        <f>Y30*Coefficients!$C$10/Coefficients!$C$8</f>
        <v>7778.8908786458342</v>
      </c>
      <c r="Z31" s="189">
        <f>Z30*Coefficients!$C$10/Coefficients!$C$8</f>
        <v>7821.4781744791653</v>
      </c>
      <c r="AA31" s="189">
        <f>AA30*Coefficients!$C$10/Coefficients!$C$8</f>
        <v>7864.0654703124992</v>
      </c>
      <c r="AB31" s="189">
        <f>AB30*Coefficients!$C$10/Coefficients!$C$8</f>
        <v>7906.652766145834</v>
      </c>
      <c r="AC31" s="190">
        <f>AC30*Coefficients!$C$10/Coefficients!$C$8</f>
        <v>7949.2400619791697</v>
      </c>
    </row>
    <row r="32" spans="2:29" s="2" customFormat="1" ht="17" thickBot="1" x14ac:dyDescent="0.25">
      <c r="B32" s="96" t="s">
        <v>199</v>
      </c>
      <c r="C32" s="99">
        <f>C31*Coefficients!$C$29*Coefficients!$C$28*Coefficients!$C$130</f>
        <v>9228984.5987897944</v>
      </c>
      <c r="D32" s="100">
        <f>D31*Coefficients!$C$29*Coefficients!$C$28*Coefficients!$C$130</f>
        <v>10138825.977218946</v>
      </c>
      <c r="E32" s="100">
        <f>E31*Coefficients!$C$29*Coefficients!$C$28*Coefficients!$C$130</f>
        <v>10329659.277380588</v>
      </c>
      <c r="F32" s="100">
        <f>F31*Coefficients!$C$29*Coefficients!$C$28*Coefficients!$C$130</f>
        <v>10520492.577542229</v>
      </c>
      <c r="G32" s="100">
        <f>G31*Coefficients!$C$29*Coefficients!$C$28*Coefficients!$C$130</f>
        <v>10711325.877703868</v>
      </c>
      <c r="H32" s="100">
        <f>H31*Coefficients!$C$29*Coefficients!$C$28*Coefficients!$C$130</f>
        <v>10902159.177865509</v>
      </c>
      <c r="I32" s="100">
        <f>I31*Coefficients!$C$29*Coefficients!$C$28*Coefficients!$C$130</f>
        <v>11066768.028744899</v>
      </c>
      <c r="J32" s="100">
        <f>J31*Coefficients!$C$29*Coefficients!$C$28*Coefficients!$C$130</f>
        <v>11189821.213838557</v>
      </c>
      <c r="K32" s="100">
        <f>K31*Coefficients!$C$29*Coefficients!$C$28*Coefficients!$C$130</f>
        <v>11312874.398932213</v>
      </c>
      <c r="L32" s="100">
        <f>L31*Coefficients!$C$29*Coefficients!$C$28*Coefficients!$C$130</f>
        <v>11435927.584025875</v>
      </c>
      <c r="M32" s="100">
        <f>M31*Coefficients!$C$29*Coefficients!$C$28*Coefficients!$C$130</f>
        <v>11558980.769119537</v>
      </c>
      <c r="N32" s="100">
        <f>N31*Coefficients!$C$29*Coefficients!$C$28*Coefficients!$C$130</f>
        <v>11682033.954213189</v>
      </c>
      <c r="O32" s="100">
        <f>O31*Coefficients!$C$29*Coefficients!$C$28*Coefficients!$C$130</f>
        <v>11754655.506071741</v>
      </c>
      <c r="P32" s="100">
        <f>P31*Coefficients!$C$29*Coefficients!$C$28*Coefficients!$C$130</f>
        <v>11827277.057930296</v>
      </c>
      <c r="Q32" s="100">
        <f>Q31*Coefficients!$C$29*Coefficients!$C$28*Coefficients!$C$130</f>
        <v>11899898.609788852</v>
      </c>
      <c r="R32" s="100">
        <f>R31*Coefficients!$C$29*Coefficients!$C$28*Coefficients!$C$130</f>
        <v>11972520.161647404</v>
      </c>
      <c r="S32" s="100">
        <f>S31*Coefficients!$C$29*Coefficients!$C$28*Coefficients!$C$130</f>
        <v>12045141.71350595</v>
      </c>
      <c r="T32" s="100">
        <f>T31*Coefficients!$C$29*Coefficients!$C$28*Coefficients!$C$130</f>
        <v>12113325.281639814</v>
      </c>
      <c r="U32" s="100">
        <f>U31*Coefficients!$C$29*Coefficients!$C$28*Coefficients!$C$130</f>
        <v>12181508.849773677</v>
      </c>
      <c r="V32" s="100">
        <f>V31*Coefficients!$C$29*Coefficients!$C$28*Coefficients!$C$130</f>
        <v>12249692.41790754</v>
      </c>
      <c r="W32" s="100">
        <f>W31*Coefficients!$C$29*Coefficients!$C$28*Coefficients!$C$130</f>
        <v>12317875.98604141</v>
      </c>
      <c r="X32" s="100">
        <f>X31*Coefficients!$C$29*Coefficients!$C$28*Coefficients!$C$130</f>
        <v>12386059.554175267</v>
      </c>
      <c r="Y32" s="100">
        <f>Y31*Coefficients!$C$29*Coefficients!$C$28*Coefficients!$C$130</f>
        <v>12454243.122309132</v>
      </c>
      <c r="Z32" s="100">
        <f>Z31*Coefficients!$C$29*Coefficients!$C$28*Coefficients!$C$130</f>
        <v>12522426.690442992</v>
      </c>
      <c r="AA32" s="100">
        <f>AA31*Coefficients!$C$29*Coefficients!$C$28*Coefficients!$C$130</f>
        <v>12590610.258576857</v>
      </c>
      <c r="AB32" s="100">
        <f>AB31*Coefficients!$C$29*Coefficients!$C$28*Coefficients!$C$130</f>
        <v>12658793.826710721</v>
      </c>
      <c r="AC32" s="101">
        <f>AC31*Coefficients!$C$29*Coefficients!$C$28*Coefficients!$C$130</f>
        <v>12726977.39484459</v>
      </c>
    </row>
    <row r="33" spans="2:29" ht="17" thickBot="1" x14ac:dyDescent="0.25">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row>
    <row r="34" spans="2:29" x14ac:dyDescent="0.2">
      <c r="B34" s="139" t="s">
        <v>144</v>
      </c>
      <c r="C34" s="185">
        <f>Coefficients!$C$111*Coefficients!$C$29</f>
        <v>-2666560</v>
      </c>
      <c r="D34" s="186">
        <f>Coefficients!$C$111*Coefficients!$C$29</f>
        <v>-2666560</v>
      </c>
      <c r="E34" s="186">
        <f>Coefficients!$C$111*Coefficients!$C$29</f>
        <v>-2666560</v>
      </c>
      <c r="F34" s="186">
        <f>Coefficients!$C$111*Coefficients!$C$29</f>
        <v>-2666560</v>
      </c>
      <c r="G34" s="186">
        <f>Coefficients!$C$111*Coefficients!$C$29</f>
        <v>-2666560</v>
      </c>
      <c r="H34" s="186">
        <f>Coefficients!$C$111*Coefficients!$C$29</f>
        <v>-2666560</v>
      </c>
      <c r="I34" s="186">
        <f>Coefficients!$C$111*Coefficients!$C$29</f>
        <v>-2666560</v>
      </c>
      <c r="J34" s="186">
        <f>Coefficients!$C$111*Coefficients!$C$29</f>
        <v>-2666560</v>
      </c>
      <c r="K34" s="186">
        <f>Coefficients!$C$111*Coefficients!$C$29</f>
        <v>-2666560</v>
      </c>
      <c r="L34" s="186">
        <f>Coefficients!$C$111*Coefficients!$C$29</f>
        <v>-2666560</v>
      </c>
      <c r="M34" s="186">
        <f>Coefficients!$C$111*Coefficients!$C$29</f>
        <v>-2666560</v>
      </c>
      <c r="N34" s="186">
        <f>Coefficients!$C$111*Coefficients!$C$29</f>
        <v>-2666560</v>
      </c>
      <c r="O34" s="186">
        <f>Coefficients!$C$111*Coefficients!$C$29</f>
        <v>-2666560</v>
      </c>
      <c r="P34" s="186">
        <f>Coefficients!$C$111*Coefficients!$C$29</f>
        <v>-2666560</v>
      </c>
      <c r="Q34" s="186">
        <f>Coefficients!$C$111*Coefficients!$C$29</f>
        <v>-2666560</v>
      </c>
      <c r="R34" s="186">
        <f>Coefficients!$C$111*Coefficients!$C$29</f>
        <v>-2666560</v>
      </c>
      <c r="S34" s="186">
        <f>Coefficients!$C$111*Coefficients!$C$29</f>
        <v>-2666560</v>
      </c>
      <c r="T34" s="186">
        <f>Coefficients!$C$111*Coefficients!$C$29</f>
        <v>-2666560</v>
      </c>
      <c r="U34" s="186">
        <f>Coefficients!$C$111*Coefficients!$C$29</f>
        <v>-2666560</v>
      </c>
      <c r="V34" s="186">
        <f>Coefficients!$C$111*Coefficients!$C$29</f>
        <v>-2666560</v>
      </c>
      <c r="W34" s="186">
        <f>Coefficients!$C$111*Coefficients!$C$29</f>
        <v>-2666560</v>
      </c>
      <c r="X34" s="186">
        <f>Coefficients!$C$111*Coefficients!$C$29</f>
        <v>-2666560</v>
      </c>
      <c r="Y34" s="186">
        <f>Coefficients!$C$111*Coefficients!$C$29</f>
        <v>-2666560</v>
      </c>
      <c r="Z34" s="186">
        <f>Coefficients!$C$111*Coefficients!$C$29</f>
        <v>-2666560</v>
      </c>
      <c r="AA34" s="186">
        <f>Coefficients!$C$111*Coefficients!$C$29</f>
        <v>-2666560</v>
      </c>
      <c r="AB34" s="186">
        <f>Coefficients!$C$111*Coefficients!$C$29</f>
        <v>-2666560</v>
      </c>
      <c r="AC34" s="187">
        <f>Coefficients!$C$111*Coefficients!$C$29</f>
        <v>-2666560</v>
      </c>
    </row>
    <row r="35" spans="2:29" ht="17" thickBot="1" x14ac:dyDescent="0.25">
      <c r="B35" s="191" t="s">
        <v>146</v>
      </c>
      <c r="C35" s="192">
        <f>-1*C11*Coefficients!$C$6</f>
        <v>-6980074.260499998</v>
      </c>
      <c r="D35" s="193">
        <f>-1*D11*Coefficients!$C$6</f>
        <v>-7668206.3425000021</v>
      </c>
      <c r="E35" s="193">
        <f>-1*E11*Coefficients!$C$6</f>
        <v>-7812537.5625000009</v>
      </c>
      <c r="F35" s="193">
        <f>-1*F11*Coefficients!$C$6</f>
        <v>-7956868.7825000016</v>
      </c>
      <c r="G35" s="193">
        <f>-1*G11*Coefficients!$C$6</f>
        <v>-8101200.0024999995</v>
      </c>
      <c r="H35" s="193">
        <f>-1*H11*Coefficients!$C$6</f>
        <v>-8245531.2225000001</v>
      </c>
      <c r="I35" s="193">
        <f>-1*I11*Coefficients!$C$6</f>
        <v>-8370028.3425000031</v>
      </c>
      <c r="J35" s="193">
        <f>-1*J11*Coefficients!$C$6</f>
        <v>-8463096.0425000023</v>
      </c>
      <c r="K35" s="193">
        <f>-1*K11*Coefficients!$C$6</f>
        <v>-8556163.7425000016</v>
      </c>
      <c r="L35" s="193">
        <f>-1*L11*Coefficients!$C$6</f>
        <v>-8649231.4425000008</v>
      </c>
      <c r="M35" s="193">
        <f>-1*M11*Coefficients!$C$6</f>
        <v>-8742299.1425000038</v>
      </c>
      <c r="N35" s="193">
        <f>-1*N11*Coefficients!$C$6</f>
        <v>-8835366.8425000012</v>
      </c>
      <c r="O35" s="193">
        <f>-1*O11*Coefficients!$C$6</f>
        <v>-8890292.0424999986</v>
      </c>
      <c r="P35" s="193">
        <f>-1*P11*Coefficients!$C$6</f>
        <v>-8945217.2425000034</v>
      </c>
      <c r="Q35" s="193">
        <f>-1*Q11*Coefficients!$C$6</f>
        <v>-9000142.4425000027</v>
      </c>
      <c r="R35" s="193">
        <f>-1*R11*Coefficients!$C$6</f>
        <v>-9055067.6425000038</v>
      </c>
      <c r="S35" s="193">
        <f>-1*S11*Coefficients!$C$6</f>
        <v>-9109992.8424999993</v>
      </c>
      <c r="T35" s="193">
        <f>-1*T11*Coefficients!$C$6</f>
        <v>-9161561.5024999995</v>
      </c>
      <c r="U35" s="193">
        <f>-1*U11*Coefficients!$C$6</f>
        <v>-9213130.1624999978</v>
      </c>
      <c r="V35" s="193">
        <f>-1*V11*Coefficients!$C$6</f>
        <v>-9264698.8224999979</v>
      </c>
      <c r="W35" s="193">
        <f>-1*W11*Coefficients!$C$6</f>
        <v>-9316267.4825000018</v>
      </c>
      <c r="X35" s="193">
        <f>-1*X11*Coefficients!$C$6</f>
        <v>-9367836.1425000001</v>
      </c>
      <c r="Y35" s="193">
        <f>-1*Y11*Coefficients!$C$6</f>
        <v>-9419404.8025000002</v>
      </c>
      <c r="Z35" s="193">
        <f>-1*Z11*Coefficients!$C$6</f>
        <v>-9470973.4624999985</v>
      </c>
      <c r="AA35" s="193">
        <f>-1*AA11*Coefficients!$C$6</f>
        <v>-9522542.1224999987</v>
      </c>
      <c r="AB35" s="193">
        <f>-1*AB11*Coefficients!$C$6</f>
        <v>-9574110.7825000007</v>
      </c>
      <c r="AC35" s="194">
        <f>-1*AC11*Coefficients!$C$6</f>
        <v>-9625679.4425000027</v>
      </c>
    </row>
    <row r="36" spans="2:29" ht="17" thickBot="1" x14ac:dyDescent="0.25">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row>
    <row r="37" spans="2:29" s="2" customFormat="1" ht="17" thickBot="1" x14ac:dyDescent="0.25">
      <c r="B37" s="105" t="s">
        <v>200</v>
      </c>
      <c r="C37" s="102">
        <f>Coefficients!$C$43*Coefficients!$C$78</f>
        <v>204800</v>
      </c>
      <c r="D37" s="103">
        <f>Coefficients!$C$43*Coefficients!$C$78</f>
        <v>204800</v>
      </c>
      <c r="E37" s="103">
        <f>Coefficients!$C$43*Coefficients!$C$78</f>
        <v>204800</v>
      </c>
      <c r="F37" s="103">
        <f>Coefficients!$C$43*Coefficients!$C$78</f>
        <v>204800</v>
      </c>
      <c r="G37" s="103">
        <f>Coefficients!$C$43*Coefficients!$C$78</f>
        <v>204800</v>
      </c>
      <c r="H37" s="103">
        <f>Coefficients!$C$43*Coefficients!$C$78</f>
        <v>204800</v>
      </c>
      <c r="I37" s="103">
        <f>Coefficients!$C$43*Coefficients!$C$78</f>
        <v>204800</v>
      </c>
      <c r="J37" s="103">
        <f>Coefficients!$C$43*Coefficients!$C$78</f>
        <v>204800</v>
      </c>
      <c r="K37" s="103">
        <f>Coefficients!$C$43*Coefficients!$C$78</f>
        <v>204800</v>
      </c>
      <c r="L37" s="103">
        <f>Coefficients!$C$43*Coefficients!$C$78</f>
        <v>204800</v>
      </c>
      <c r="M37" s="103">
        <f>Coefficients!$C$43*Coefficients!$C$78</f>
        <v>204800</v>
      </c>
      <c r="N37" s="103">
        <f>Coefficients!$C$43*Coefficients!$C$78</f>
        <v>204800</v>
      </c>
      <c r="O37" s="103">
        <f>Coefficients!$C$43*Coefficients!$C$78</f>
        <v>204800</v>
      </c>
      <c r="P37" s="103">
        <f>Coefficients!$C$43*Coefficients!$C$78</f>
        <v>204800</v>
      </c>
      <c r="Q37" s="103">
        <f>Coefficients!$C$43*Coefficients!$C$78</f>
        <v>204800</v>
      </c>
      <c r="R37" s="103">
        <f>Coefficients!$C$43*Coefficients!$C$78</f>
        <v>204800</v>
      </c>
      <c r="S37" s="103">
        <f>Coefficients!$C$43*Coefficients!$C$78</f>
        <v>204800</v>
      </c>
      <c r="T37" s="103">
        <f>Coefficients!$C$43*Coefficients!$C$78</f>
        <v>204800</v>
      </c>
      <c r="U37" s="103">
        <f>Coefficients!$C$43*Coefficients!$C$78</f>
        <v>204800</v>
      </c>
      <c r="V37" s="103">
        <f>Coefficients!$C$43*Coefficients!$C$78</f>
        <v>204800</v>
      </c>
      <c r="W37" s="103">
        <f>Coefficients!$C$43*Coefficients!$C$78</f>
        <v>204800</v>
      </c>
      <c r="X37" s="103">
        <f>Coefficients!$C$43*Coefficients!$C$78</f>
        <v>204800</v>
      </c>
      <c r="Y37" s="103">
        <f>Coefficients!$C$43*Coefficients!$C$78</f>
        <v>204800</v>
      </c>
      <c r="Z37" s="103">
        <f>Coefficients!$C$43*Coefficients!$C$78</f>
        <v>204800</v>
      </c>
      <c r="AA37" s="103">
        <f>Coefficients!$C$43*Coefficients!$C$78</f>
        <v>204800</v>
      </c>
      <c r="AB37" s="103">
        <f>Coefficients!$C$43*Coefficients!$C$78</f>
        <v>204800</v>
      </c>
      <c r="AC37" s="104">
        <f>Coefficients!$C$43*Coefficients!$C$78</f>
        <v>204800</v>
      </c>
    </row>
    <row r="38" spans="2:29" ht="17" thickBot="1" x14ac:dyDescent="0.25">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row>
    <row r="39" spans="2:29" x14ac:dyDescent="0.2">
      <c r="B39" s="139" t="s">
        <v>145</v>
      </c>
      <c r="C39" s="185">
        <f>C13+C34+C35</f>
        <v>17343046.087492421</v>
      </c>
      <c r="D39" s="186">
        <f t="shared" ref="D39:AC39" si="3">D13+D34+D35</f>
        <v>19315697.291922413</v>
      </c>
      <c r="E39" s="186">
        <f t="shared" si="3"/>
        <v>19729448.027307905</v>
      </c>
      <c r="F39" s="186">
        <f t="shared" si="3"/>
        <v>20143198.762693394</v>
      </c>
      <c r="G39" s="186">
        <f t="shared" si="3"/>
        <v>20556949.498078875</v>
      </c>
      <c r="H39" s="186">
        <f t="shared" si="3"/>
        <v>20970700.233464368</v>
      </c>
      <c r="I39" s="186">
        <f t="shared" si="3"/>
        <v>21327593.045382515</v>
      </c>
      <c r="J39" s="186">
        <f t="shared" si="3"/>
        <v>21594387.91703701</v>
      </c>
      <c r="K39" s="186">
        <f t="shared" si="3"/>
        <v>21861182.788691498</v>
      </c>
      <c r="L39" s="186">
        <f t="shared" si="3"/>
        <v>22127977.660345986</v>
      </c>
      <c r="M39" s="186">
        <f t="shared" si="3"/>
        <v>22394772.53200049</v>
      </c>
      <c r="N39" s="186">
        <f t="shared" si="3"/>
        <v>22661567.40365497</v>
      </c>
      <c r="O39" s="186">
        <f t="shared" si="3"/>
        <v>22819020.114795327</v>
      </c>
      <c r="P39" s="186">
        <f t="shared" si="3"/>
        <v>22976472.825935688</v>
      </c>
      <c r="Q39" s="186">
        <f t="shared" si="3"/>
        <v>23133925.537076049</v>
      </c>
      <c r="R39" s="186">
        <f t="shared" si="3"/>
        <v>23291378.248216398</v>
      </c>
      <c r="S39" s="186">
        <f t="shared" si="3"/>
        <v>23448830.959356755</v>
      </c>
      <c r="T39" s="186">
        <f t="shared" si="3"/>
        <v>23596661.560371861</v>
      </c>
      <c r="U39" s="186">
        <f t="shared" si="3"/>
        <v>23744492.16138697</v>
      </c>
      <c r="V39" s="186">
        <f t="shared" si="3"/>
        <v>23892322.762402087</v>
      </c>
      <c r="W39" s="186">
        <f t="shared" si="3"/>
        <v>24040153.363417201</v>
      </c>
      <c r="X39" s="186">
        <f t="shared" si="3"/>
        <v>24187983.964432314</v>
      </c>
      <c r="Y39" s="186">
        <f t="shared" si="3"/>
        <v>24335814.565447412</v>
      </c>
      <c r="Z39" s="186">
        <f t="shared" si="3"/>
        <v>24483645.166462526</v>
      </c>
      <c r="AA39" s="186">
        <f t="shared" si="3"/>
        <v>24631475.767477643</v>
      </c>
      <c r="AB39" s="186">
        <f t="shared" si="3"/>
        <v>24779306.36849276</v>
      </c>
      <c r="AC39" s="187">
        <f t="shared" si="3"/>
        <v>24927136.969507881</v>
      </c>
    </row>
    <row r="40" spans="2:29" s="2" customFormat="1" ht="17" thickBot="1" x14ac:dyDescent="0.25">
      <c r="B40" s="96" t="s">
        <v>201</v>
      </c>
      <c r="C40" s="99">
        <f>C39*Coefficients!$C$79</f>
        <v>6425336.2403384922</v>
      </c>
      <c r="D40" s="100">
        <f>D39*Coefficients!$C$79</f>
        <v>7156173.6727842502</v>
      </c>
      <c r="E40" s="100">
        <f>E39*Coefficients!$C$79</f>
        <v>7309462.0617516516</v>
      </c>
      <c r="F40" s="100">
        <f>F39*Coefficients!$C$79</f>
        <v>7462750.4507190511</v>
      </c>
      <c r="G40" s="100">
        <f>G39*Coefficients!$C$79</f>
        <v>7616038.8396864487</v>
      </c>
      <c r="H40" s="100">
        <f>H39*Coefficients!$C$79</f>
        <v>7769327.22865385</v>
      </c>
      <c r="I40" s="100">
        <f>I39*Coefficients!$C$79</f>
        <v>7901550.6170231961</v>
      </c>
      <c r="J40" s="100">
        <f>J39*Coefficients!$C$79</f>
        <v>8000394.0813679276</v>
      </c>
      <c r="K40" s="100">
        <f>K39*Coefficients!$C$79</f>
        <v>8099237.5457126554</v>
      </c>
      <c r="L40" s="100">
        <f>L39*Coefficients!$C$79</f>
        <v>8198081.0100573841</v>
      </c>
      <c r="M40" s="100">
        <f>M39*Coefficients!$C$79</f>
        <v>8296924.4744021185</v>
      </c>
      <c r="N40" s="100">
        <f>N39*Coefficients!$C$79</f>
        <v>8395767.9387468435</v>
      </c>
      <c r="O40" s="100">
        <f>O39*Coefficients!$C$79</f>
        <v>8454101.7865568493</v>
      </c>
      <c r="P40" s="100">
        <f>P39*Coefficients!$C$79</f>
        <v>8512435.634366855</v>
      </c>
      <c r="Q40" s="100">
        <f>Q39*Coefficients!$C$79</f>
        <v>8570769.4821768608</v>
      </c>
      <c r="R40" s="100">
        <f>R39*Coefficients!$C$79</f>
        <v>8629103.3299868628</v>
      </c>
      <c r="S40" s="100">
        <f>S39*Coefficients!$C$79</f>
        <v>8687437.1777968686</v>
      </c>
      <c r="T40" s="100">
        <f>T39*Coefficients!$C$79</f>
        <v>8742206.1793518141</v>
      </c>
      <c r="U40" s="100">
        <f>U39*Coefficients!$C$79</f>
        <v>8796975.1809067633</v>
      </c>
      <c r="V40" s="100">
        <f>V39*Coefficients!$C$79</f>
        <v>8851744.1824617125</v>
      </c>
      <c r="W40" s="100">
        <f>W39*Coefficients!$C$79</f>
        <v>8906513.1840166617</v>
      </c>
      <c r="X40" s="100">
        <f>X39*Coefficients!$C$79</f>
        <v>8961282.1855716109</v>
      </c>
      <c r="Y40" s="100">
        <f>Y39*Coefficients!$C$79</f>
        <v>9016051.1871265545</v>
      </c>
      <c r="Z40" s="100">
        <f>Z39*Coefficients!$C$79</f>
        <v>9070820.1886815038</v>
      </c>
      <c r="AA40" s="100">
        <f>AA39*Coefficients!$C$79</f>
        <v>9125589.1902364548</v>
      </c>
      <c r="AB40" s="100">
        <f>AB39*Coefficients!$C$79</f>
        <v>9180358.1917914059</v>
      </c>
      <c r="AC40" s="101">
        <f>AC39*Coefficients!$C$79</f>
        <v>9235127.193346357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69BA7-D537-6A4B-9A59-A7DBCCD41775}">
  <dimension ref="B1:F24"/>
  <sheetViews>
    <sheetView zoomScaleNormal="100" workbookViewId="0"/>
  </sheetViews>
  <sheetFormatPr baseColWidth="10" defaultColWidth="8.83203125" defaultRowHeight="15" x14ac:dyDescent="0.2"/>
  <cols>
    <col min="1" max="1" width="4" style="1" customWidth="1"/>
    <col min="2" max="2" width="36.1640625" style="1" customWidth="1"/>
    <col min="3" max="3" width="13.5" style="1" bestFit="1" customWidth="1"/>
    <col min="4" max="4" width="12.83203125" style="1" bestFit="1" customWidth="1"/>
    <col min="5" max="5" width="8.83203125" style="1"/>
    <col min="6" max="6" width="9.1640625" style="1" bestFit="1" customWidth="1"/>
    <col min="7" max="7" width="9.6640625" style="1" bestFit="1" customWidth="1"/>
    <col min="8" max="16384" width="8.83203125" style="1"/>
  </cols>
  <sheetData>
    <row r="1" spans="2:6" ht="16" thickBot="1" x14ac:dyDescent="0.25"/>
    <row r="2" spans="2:6" x14ac:dyDescent="0.2">
      <c r="B2" s="356" t="s">
        <v>351</v>
      </c>
      <c r="C2" s="131" t="s">
        <v>168</v>
      </c>
      <c r="D2" s="131" t="s">
        <v>169</v>
      </c>
    </row>
    <row r="3" spans="2:6" ht="17" customHeight="1" thickBot="1" x14ac:dyDescent="0.25">
      <c r="B3" s="357"/>
      <c r="C3" s="132" t="s">
        <v>170</v>
      </c>
      <c r="D3" s="132" t="s">
        <v>171</v>
      </c>
    </row>
    <row r="4" spans="2:6" x14ac:dyDescent="0.2">
      <c r="B4" s="110" t="s">
        <v>172</v>
      </c>
      <c r="C4" s="111">
        <v>6700</v>
      </c>
      <c r="D4" s="112">
        <v>550</v>
      </c>
    </row>
    <row r="5" spans="2:6" x14ac:dyDescent="0.2">
      <c r="B5" s="113" t="s">
        <v>173</v>
      </c>
      <c r="C5" s="59">
        <f>(60*60)+(50*60)</f>
        <v>6600</v>
      </c>
      <c r="D5" s="114">
        <v>540</v>
      </c>
    </row>
    <row r="6" spans="2:6" ht="17" customHeight="1" x14ac:dyDescent="0.2">
      <c r="B6" s="113" t="s">
        <v>174</v>
      </c>
      <c r="C6" s="59">
        <v>5000</v>
      </c>
      <c r="D6" s="114">
        <v>410</v>
      </c>
    </row>
    <row r="7" spans="2:6" x14ac:dyDescent="0.2">
      <c r="B7" s="113" t="s">
        <v>175</v>
      </c>
      <c r="C7" s="59">
        <v>3000</v>
      </c>
      <c r="D7" s="114">
        <v>250</v>
      </c>
    </row>
    <row r="8" spans="2:6" x14ac:dyDescent="0.2">
      <c r="B8" s="113" t="s">
        <v>176</v>
      </c>
      <c r="C8" s="59">
        <v>46000</v>
      </c>
      <c r="D8" s="114">
        <v>5000</v>
      </c>
    </row>
    <row r="9" spans="2:6" ht="16" thickBot="1" x14ac:dyDescent="0.25">
      <c r="B9" s="128" t="s">
        <v>177</v>
      </c>
      <c r="C9" s="129">
        <f>SUM(C4:C8)*0.2</f>
        <v>13460</v>
      </c>
      <c r="D9" s="130">
        <f>SUM(D4:D8)*0.2</f>
        <v>1350</v>
      </c>
    </row>
    <row r="10" spans="2:6" ht="16" thickBot="1" x14ac:dyDescent="0.25">
      <c r="B10" s="133" t="s">
        <v>40</v>
      </c>
      <c r="C10" s="124">
        <f>SUM(C4:C9)</f>
        <v>80760</v>
      </c>
      <c r="D10" s="134">
        <f>SUM(D4:D9)</f>
        <v>8100</v>
      </c>
    </row>
    <row r="11" spans="2:6" ht="16" thickBot="1" x14ac:dyDescent="0.25"/>
    <row r="12" spans="2:6" ht="16" thickBot="1" x14ac:dyDescent="0.25">
      <c r="B12" s="107" t="s">
        <v>318</v>
      </c>
      <c r="C12" s="108" t="s">
        <v>36</v>
      </c>
      <c r="D12" s="109" t="s">
        <v>319</v>
      </c>
    </row>
    <row r="13" spans="2:6" x14ac:dyDescent="0.2">
      <c r="B13" s="110" t="s">
        <v>310</v>
      </c>
      <c r="C13" s="111">
        <f>C10*Coefficients!$C$63</f>
        <v>161520</v>
      </c>
      <c r="D13" s="112" t="s">
        <v>309</v>
      </c>
    </row>
    <row r="14" spans="2:6" x14ac:dyDescent="0.2">
      <c r="B14" s="113" t="s">
        <v>308</v>
      </c>
      <c r="C14" s="59">
        <f>C13*Coefficients!$C$65</f>
        <v>19382.399999999998</v>
      </c>
      <c r="D14" s="114" t="s">
        <v>309</v>
      </c>
    </row>
    <row r="15" spans="2:6" x14ac:dyDescent="0.2">
      <c r="B15" s="113" t="s">
        <v>311</v>
      </c>
      <c r="C15" s="59">
        <f>C14*Coefficients!$C$67</f>
        <v>825690.24</v>
      </c>
      <c r="D15" s="114" t="s">
        <v>167</v>
      </c>
    </row>
    <row r="16" spans="2:6" ht="16" thickBot="1" x14ac:dyDescent="0.25">
      <c r="B16" s="115" t="s">
        <v>312</v>
      </c>
      <c r="C16" s="116">
        <f>C15*Coefficients!C80</f>
        <v>640735.62624000001</v>
      </c>
      <c r="D16" s="117" t="s">
        <v>167</v>
      </c>
      <c r="F16" s="59"/>
    </row>
    <row r="17" spans="2:4" ht="16" thickBot="1" x14ac:dyDescent="0.25">
      <c r="B17" s="58"/>
      <c r="C17" s="106"/>
    </row>
    <row r="18" spans="2:4" x14ac:dyDescent="0.2">
      <c r="B18" s="110" t="s">
        <v>307</v>
      </c>
      <c r="C18" s="111">
        <f>((C13*Coefficients!$C$64)+D10)*Coefficients!$C$66</f>
        <v>4314042.7200000007</v>
      </c>
      <c r="D18" s="112" t="s">
        <v>167</v>
      </c>
    </row>
    <row r="19" spans="2:4" ht="16" thickBot="1" x14ac:dyDescent="0.25">
      <c r="B19" s="115" t="s">
        <v>313</v>
      </c>
      <c r="C19" s="116">
        <f>C18*Coefficients!$C$81</f>
        <v>7980979.0320000015</v>
      </c>
      <c r="D19" s="117" t="s">
        <v>167</v>
      </c>
    </row>
    <row r="20" spans="2:4" ht="16" thickBot="1" x14ac:dyDescent="0.25">
      <c r="B20" s="58"/>
      <c r="C20" s="59"/>
    </row>
    <row r="21" spans="2:4" ht="16" x14ac:dyDescent="0.2">
      <c r="B21" s="118" t="s">
        <v>187</v>
      </c>
      <c r="C21" s="119">
        <f>Coefficients!$C$58*Coefficients!$C$59*Coefficients!$C$60*Coefficients!$C$61</f>
        <v>208000</v>
      </c>
      <c r="D21" s="120" t="s">
        <v>189</v>
      </c>
    </row>
    <row r="22" spans="2:4" ht="17" thickBot="1" x14ac:dyDescent="0.25">
      <c r="B22" s="121" t="s">
        <v>188</v>
      </c>
      <c r="C22" s="122">
        <f>Coefficients!$C$83*C21*Coefficients!$C$10</f>
        <v>2149894.1850435333</v>
      </c>
      <c r="D22" s="123" t="s">
        <v>190</v>
      </c>
    </row>
    <row r="23" spans="2:4" ht="16" thickBot="1" x14ac:dyDescent="0.25"/>
    <row r="24" spans="2:4" ht="17" thickBot="1" x14ac:dyDescent="0.25">
      <c r="B24" s="125" t="s">
        <v>324</v>
      </c>
      <c r="C24" s="126">
        <f>(C19+C16+C22)/Coefficients!$C$68</f>
        <v>5385804.421641767</v>
      </c>
      <c r="D24" s="127" t="s">
        <v>314</v>
      </c>
    </row>
  </sheetData>
  <mergeCells count="1">
    <mergeCell ref="B2:B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08DC8-3428-7D41-A8B5-D431E9F08517}">
  <dimension ref="B1:AQ29"/>
  <sheetViews>
    <sheetView zoomScale="110" zoomScaleNormal="110" workbookViewId="0"/>
  </sheetViews>
  <sheetFormatPr baseColWidth="10" defaultRowHeight="16" x14ac:dyDescent="0.2"/>
  <cols>
    <col min="1" max="1" width="4.1640625" customWidth="1"/>
    <col min="2" max="2" width="42.33203125" customWidth="1"/>
    <col min="3" max="3" width="14.83203125" bestFit="1" customWidth="1"/>
    <col min="4" max="31" width="11.1640625" bestFit="1" customWidth="1"/>
  </cols>
  <sheetData>
    <row r="1" spans="2:43" ht="17" thickBot="1" x14ac:dyDescent="0.25"/>
    <row r="2" spans="2:43" s="2" customFormat="1" ht="17" thickBot="1" x14ac:dyDescent="0.25">
      <c r="B2" s="73" t="s">
        <v>354</v>
      </c>
      <c r="C2" s="157">
        <v>2022</v>
      </c>
      <c r="D2" s="158">
        <v>2023</v>
      </c>
      <c r="E2" s="158">
        <v>2024</v>
      </c>
      <c r="F2" s="75">
        <v>2025</v>
      </c>
      <c r="G2" s="75">
        <v>2026</v>
      </c>
      <c r="H2" s="75">
        <v>2027</v>
      </c>
      <c r="I2" s="75">
        <v>2028</v>
      </c>
      <c r="J2" s="75">
        <v>2029</v>
      </c>
      <c r="K2" s="75">
        <v>2030</v>
      </c>
      <c r="L2" s="75">
        <v>2031</v>
      </c>
      <c r="M2" s="75">
        <v>2032</v>
      </c>
      <c r="N2" s="75">
        <v>2033</v>
      </c>
      <c r="O2" s="75">
        <v>2034</v>
      </c>
      <c r="P2" s="75">
        <v>2035</v>
      </c>
      <c r="Q2" s="75">
        <v>2036</v>
      </c>
      <c r="R2" s="75">
        <v>2037</v>
      </c>
      <c r="S2" s="75">
        <v>2038</v>
      </c>
      <c r="T2" s="75">
        <v>2039</v>
      </c>
      <c r="U2" s="75">
        <v>2040</v>
      </c>
      <c r="V2" s="75">
        <v>2041</v>
      </c>
      <c r="W2" s="75">
        <v>2042</v>
      </c>
      <c r="X2" s="75">
        <v>2043</v>
      </c>
      <c r="Y2" s="75">
        <v>2044</v>
      </c>
      <c r="Z2" s="75">
        <v>2045</v>
      </c>
      <c r="AA2" s="75">
        <v>2046</v>
      </c>
      <c r="AB2" s="75">
        <v>2047</v>
      </c>
      <c r="AC2" s="75">
        <v>2048</v>
      </c>
      <c r="AD2" s="75">
        <v>2049</v>
      </c>
      <c r="AE2" s="76">
        <v>2050</v>
      </c>
      <c r="AF2" s="167">
        <v>2051</v>
      </c>
      <c r="AG2" s="167">
        <v>2052</v>
      </c>
      <c r="AH2" s="167">
        <v>2053</v>
      </c>
      <c r="AI2" s="167">
        <v>2054</v>
      </c>
      <c r="AJ2" s="167">
        <v>2055</v>
      </c>
      <c r="AK2" s="167">
        <v>2056</v>
      </c>
      <c r="AL2" s="167">
        <v>2057</v>
      </c>
      <c r="AM2" s="167">
        <v>2058</v>
      </c>
      <c r="AN2" s="167">
        <v>2059</v>
      </c>
      <c r="AO2" s="167">
        <v>2060</v>
      </c>
      <c r="AP2" s="167">
        <v>2061</v>
      </c>
      <c r="AQ2" s="167">
        <v>2062</v>
      </c>
    </row>
    <row r="3" spans="2:43" x14ac:dyDescent="0.2">
      <c r="B3" s="166" t="s">
        <v>240</v>
      </c>
      <c r="C3" s="159">
        <v>3008</v>
      </c>
      <c r="D3" s="160">
        <f>C3+(($M$3-$C$3)/($M$2-$C$2))</f>
        <v>3208.8</v>
      </c>
      <c r="E3" s="160">
        <f>D3+(($M$3-$C$3)/($M$2-$C$2))</f>
        <v>3409.6000000000004</v>
      </c>
      <c r="F3" s="161">
        <f t="shared" ref="F3:L3" si="0">E3+(($M$3-$C$3)/($M$2-$C$2))</f>
        <v>3610.4000000000005</v>
      </c>
      <c r="G3" s="161">
        <f t="shared" si="0"/>
        <v>3811.2000000000007</v>
      </c>
      <c r="H3" s="161">
        <f t="shared" si="0"/>
        <v>4012.0000000000009</v>
      </c>
      <c r="I3" s="161">
        <f>H3+(($M$3-$C$3)/($M$2-$C$2))</f>
        <v>4212.8000000000011</v>
      </c>
      <c r="J3" s="161">
        <f t="shared" si="0"/>
        <v>4413.6000000000013</v>
      </c>
      <c r="K3" s="161">
        <f t="shared" si="0"/>
        <v>4614.4000000000015</v>
      </c>
      <c r="L3" s="161">
        <f t="shared" si="0"/>
        <v>4815.2000000000016</v>
      </c>
      <c r="M3" s="162">
        <v>5016</v>
      </c>
      <c r="N3" s="162">
        <f>M3+(($R$3-$M$3)/($R$2-$M$2))</f>
        <v>5180.3999999999996</v>
      </c>
      <c r="O3" s="162">
        <f t="shared" ref="O3:Q3" si="1">N3+(($R$3-$M$3)/($R$2-$M$2))</f>
        <v>5344.7999999999993</v>
      </c>
      <c r="P3" s="162">
        <f t="shared" si="1"/>
        <v>5509.1999999999989</v>
      </c>
      <c r="Q3" s="162">
        <f t="shared" si="1"/>
        <v>5673.5999999999985</v>
      </c>
      <c r="R3" s="162">
        <v>5838</v>
      </c>
      <c r="S3" s="161">
        <f>R3+(($AD$3-$R$3)/($AD$2-$R$2))</f>
        <v>5965.666666666667</v>
      </c>
      <c r="T3" s="161">
        <f t="shared" ref="T3:AC3" si="2">S3+(($AD$3-$R$3)/($AD$2-$R$2))</f>
        <v>6093.3333333333339</v>
      </c>
      <c r="U3" s="161">
        <f t="shared" si="2"/>
        <v>6221.0000000000009</v>
      </c>
      <c r="V3" s="161">
        <f t="shared" si="2"/>
        <v>6348.6666666666679</v>
      </c>
      <c r="W3" s="161">
        <f t="shared" si="2"/>
        <v>6476.3333333333348</v>
      </c>
      <c r="X3" s="161">
        <f t="shared" si="2"/>
        <v>6604.0000000000018</v>
      </c>
      <c r="Y3" s="161">
        <f t="shared" si="2"/>
        <v>6731.6666666666688</v>
      </c>
      <c r="Z3" s="161">
        <f t="shared" si="2"/>
        <v>6859.3333333333358</v>
      </c>
      <c r="AA3" s="161">
        <f t="shared" si="2"/>
        <v>6987.0000000000027</v>
      </c>
      <c r="AB3" s="161">
        <f t="shared" si="2"/>
        <v>7114.6666666666697</v>
      </c>
      <c r="AC3" s="161">
        <f t="shared" si="2"/>
        <v>7242.3333333333367</v>
      </c>
      <c r="AD3" s="162">
        <v>7370</v>
      </c>
      <c r="AE3" s="163">
        <f t="shared" ref="AE3:AP3" si="3">AD3+(($AQ$3-$AD$3)/($AQ$2-$AD$2))</f>
        <v>7458.3076923076924</v>
      </c>
      <c r="AF3" s="168">
        <f t="shared" si="3"/>
        <v>7546.6153846153848</v>
      </c>
      <c r="AG3" s="168">
        <f t="shared" si="3"/>
        <v>7634.9230769230771</v>
      </c>
      <c r="AH3" s="168">
        <f t="shared" si="3"/>
        <v>7723.2307692307695</v>
      </c>
      <c r="AI3" s="168">
        <f t="shared" si="3"/>
        <v>7811.5384615384619</v>
      </c>
      <c r="AJ3" s="168">
        <f t="shared" si="3"/>
        <v>7899.8461538461543</v>
      </c>
      <c r="AK3" s="168">
        <f t="shared" si="3"/>
        <v>7988.1538461538466</v>
      </c>
      <c r="AL3" s="168">
        <f t="shared" si="3"/>
        <v>8076.461538461539</v>
      </c>
      <c r="AM3" s="168">
        <f t="shared" si="3"/>
        <v>8164.7692307692314</v>
      </c>
      <c r="AN3" s="168">
        <f t="shared" si="3"/>
        <v>8253.0769230769238</v>
      </c>
      <c r="AO3" s="168">
        <f t="shared" si="3"/>
        <v>8341.3846153846152</v>
      </c>
      <c r="AP3" s="168">
        <f t="shared" si="3"/>
        <v>8429.6923076923067</v>
      </c>
      <c r="AQ3" s="169">
        <v>8518</v>
      </c>
    </row>
    <row r="4" spans="2:43" ht="17" thickBot="1" x14ac:dyDescent="0.25">
      <c r="B4" s="81" t="s">
        <v>241</v>
      </c>
      <c r="C4" s="164">
        <f>C3*Coefficients!$C$13*Coefficients!$C$9</f>
        <v>42423628.800000004</v>
      </c>
      <c r="D4" s="165">
        <f>D3*Coefficients!$C$7*Coefficients!$C$9/Coefficients!$C$12</f>
        <v>47757598.960206367</v>
      </c>
      <c r="E4" s="165">
        <f>E3*Coefficients!$C$7*Coefficients!$C$9/Coefficients!$C$12</f>
        <v>50746169.725355171</v>
      </c>
      <c r="F4" s="83">
        <f>F3*Coefficients!$C$7*Coefficients!$C$9/Coefficients!$C$12</f>
        <v>53734740.490503959</v>
      </c>
      <c r="G4" s="83">
        <f>G3*Coefficients!$C$7*Coefficients!$C$9/Coefficients!$C$12</f>
        <v>56723311.255652755</v>
      </c>
      <c r="H4" s="83">
        <f>H3*Coefficients!$C$7*Coefficients!$C$9/Coefficients!$C$12</f>
        <v>59711882.020801544</v>
      </c>
      <c r="I4" s="83">
        <f>I3*Coefficients!$C$7*Coefficients!$C$9/Coefficients!$C$12</f>
        <v>62700452.78595034</v>
      </c>
      <c r="J4" s="83">
        <f>J3*Coefficients!$C$7*Coefficients!$C$9/Coefficients!$C$12</f>
        <v>65689023.551099129</v>
      </c>
      <c r="K4" s="83">
        <f>K3*Coefficients!$C$7*Coefficients!$C$9/Coefficients!$C$12</f>
        <v>68677594.316247925</v>
      </c>
      <c r="L4" s="83">
        <f>L3*Coefficients!$C$7*Coefficients!$C$9/Coefficients!$C$12</f>
        <v>71666165.081396729</v>
      </c>
      <c r="M4" s="83">
        <f>M3*Coefficients!$C$7*Coefficients!$C$9/Coefficients!$C$12</f>
        <v>74654735.846545488</v>
      </c>
      <c r="N4" s="83">
        <f>N3*Coefficients!$C$7*Coefficients!$C$9/Coefficients!$C$12</f>
        <v>77101553.743908346</v>
      </c>
      <c r="O4" s="83">
        <f>O3*Coefficients!$C$7*Coefficients!$C$9/Coefficients!$C$12</f>
        <v>79548371.641271174</v>
      </c>
      <c r="P4" s="83">
        <f>P3*Coefficients!$C$7*Coefficients!$C$9/Coefficients!$C$12</f>
        <v>81995189.538634032</v>
      </c>
      <c r="Q4" s="83">
        <f>Q3*Coefficients!$C$7*Coefficients!$C$9/Coefficients!$C$12</f>
        <v>84442007.435996875</v>
      </c>
      <c r="R4" s="83">
        <f>R3*Coefficients!$C$7*Coefficients!$C$9/Coefficients!$C$12</f>
        <v>86888825.333359763</v>
      </c>
      <c r="S4" s="83">
        <f>S3*Coefficients!$C$7*Coefficients!$C$9/Coefficients!$C$12</f>
        <v>88788929.256088823</v>
      </c>
      <c r="T4" s="83">
        <f>T3*Coefficients!$C$7*Coefficients!$C$9/Coefficients!$C$12</f>
        <v>90689033.178817898</v>
      </c>
      <c r="U4" s="83">
        <f>U3*Coefficients!$C$7*Coefficients!$C$9/Coefficients!$C$12</f>
        <v>92589137.101546958</v>
      </c>
      <c r="V4" s="83">
        <f>V3*Coefficients!$C$7*Coefficients!$C$9/Coefficients!$C$12</f>
        <v>94489241.024276018</v>
      </c>
      <c r="W4" s="83">
        <f>W3*Coefficients!$C$7*Coefficients!$C$9/Coefficients!$C$12</f>
        <v>96389344.947005093</v>
      </c>
      <c r="X4" s="83">
        <f>X3*Coefficients!$C$7*Coefficients!$C$9/Coefficients!$C$12</f>
        <v>98289448.869734153</v>
      </c>
      <c r="Y4" s="83">
        <f>Y3*Coefficients!$C$7*Coefficients!$C$9/Coefficients!$C$12</f>
        <v>100189552.79246321</v>
      </c>
      <c r="Z4" s="83">
        <f>Z3*Coefficients!$C$7*Coefficients!$C$9/Coefficients!$C$12</f>
        <v>102089656.71519227</v>
      </c>
      <c r="AA4" s="83">
        <f>AA3*Coefficients!$C$7*Coefficients!$C$9/Coefficients!$C$12</f>
        <v>103989760.63792135</v>
      </c>
      <c r="AB4" s="83">
        <f>AB3*Coefficients!$C$7*Coefficients!$C$9/Coefficients!$C$12</f>
        <v>105889864.56065041</v>
      </c>
      <c r="AC4" s="83">
        <f>AC3*Coefficients!$C$7*Coefficients!$C$9/Coefficients!$C$12</f>
        <v>107789968.48337948</v>
      </c>
      <c r="AD4" s="83">
        <f>AD3*Coefficients!$C$7*Coefficients!$C$9/Coefficients!$C$12</f>
        <v>109690072.4061085</v>
      </c>
      <c r="AE4" s="84">
        <f>AE3*Coefficients!$C$7*Coefficients!$C$9/Coefficients!$C$12</f>
        <v>111004384.09718682</v>
      </c>
    </row>
    <row r="5" spans="2:43" ht="17" thickBot="1" x14ac:dyDescent="0.25">
      <c r="C5" s="52"/>
      <c r="D5" s="52"/>
      <c r="E5" s="52"/>
      <c r="F5" s="41"/>
      <c r="G5" s="41"/>
      <c r="H5" s="41"/>
      <c r="I5" s="41"/>
      <c r="J5" s="41"/>
      <c r="K5" s="41"/>
      <c r="L5" s="41"/>
      <c r="M5" s="41"/>
      <c r="N5" s="41"/>
      <c r="O5" s="41"/>
      <c r="P5" s="41"/>
      <c r="Q5" s="41"/>
      <c r="R5" s="41"/>
      <c r="S5" s="41"/>
      <c r="T5" s="41"/>
      <c r="U5" s="41"/>
      <c r="V5" s="41"/>
      <c r="W5" s="41"/>
      <c r="X5" s="41"/>
      <c r="Y5" s="41"/>
      <c r="Z5" s="41"/>
      <c r="AA5" s="41"/>
      <c r="AB5" s="41"/>
      <c r="AC5" s="41"/>
      <c r="AD5" s="41"/>
      <c r="AE5" s="41"/>
    </row>
    <row r="6" spans="2:43" ht="17" thickBot="1" x14ac:dyDescent="0.25">
      <c r="B6" s="358" t="s">
        <v>353</v>
      </c>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60"/>
    </row>
    <row r="7" spans="2:43" x14ac:dyDescent="0.2">
      <c r="B7" s="148" t="s">
        <v>242</v>
      </c>
      <c r="C7" s="149">
        <f>C$4*Coefficients!$C$71*Coefficients!$C$73*Coefficients!$C$17</f>
        <v>7589587.1923200013</v>
      </c>
      <c r="D7" s="150">
        <f>D$4*Coefficients!$C$71*Coefficients!$C$73*Coefficients!$C$17</f>
        <v>8543834.453980919</v>
      </c>
      <c r="E7" s="150">
        <f>E$4*Coefficients!$C$71*Coefficients!$C$73*Coefficients!$C$17</f>
        <v>9078489.7638660409</v>
      </c>
      <c r="F7" s="151">
        <f>F$4*Coefficients!$C$71*Coefficients!$C$73*Coefficients!$C$17</f>
        <v>9613145.073751159</v>
      </c>
      <c r="G7" s="151">
        <f>G$4*Coefficients!$C$71*Coefficients!$C$73*Coefficients!$C$17</f>
        <v>10147800.383636279</v>
      </c>
      <c r="H7" s="151">
        <f>H$4*Coefficients!$C$71*Coefficients!$C$73*Coefficients!$C$17</f>
        <v>10682455.693521397</v>
      </c>
      <c r="I7" s="151">
        <f>I$4*Coefficients!$C$71*Coefficients!$C$73*Coefficients!$C$17</f>
        <v>11217111.003406515</v>
      </c>
      <c r="J7" s="151">
        <f>J$4*Coefficients!$C$71*Coefficients!$C$73*Coefficients!$C$17</f>
        <v>11751766.313291634</v>
      </c>
      <c r="K7" s="151">
        <f>K$4*Coefficients!$C$71*Coefficients!$C$73*Coefficients!$C$17</f>
        <v>12286421.623176754</v>
      </c>
      <c r="L7" s="151">
        <f>L$4*Coefficients!$C$71*Coefficients!$C$73*Coefficients!$C$17</f>
        <v>12821076.933061875</v>
      </c>
      <c r="M7" s="151">
        <f>M$4*Coefficients!$C$71*Coefficients!$C$73*Coefficients!$C$17</f>
        <v>13355732.242946988</v>
      </c>
      <c r="N7" s="151">
        <f>N$4*Coefficients!$C$71*Coefficients!$C$73*Coefficients!$C$17</f>
        <v>13793467.964785203</v>
      </c>
      <c r="O7" s="151">
        <f>O$4*Coefficients!$C$71*Coefficients!$C$73*Coefficients!$C$17</f>
        <v>14231203.686623413</v>
      </c>
      <c r="P7" s="151">
        <f>P$4*Coefficients!$C$71*Coefficients!$C$73*Coefficients!$C$17</f>
        <v>14668939.408461628</v>
      </c>
      <c r="Q7" s="151">
        <f>Q$4*Coefficients!$C$71*Coefficients!$C$73*Coefficients!$C$17</f>
        <v>15106675.130299842</v>
      </c>
      <c r="R7" s="151">
        <f>R$4*Coefficients!$C$71*Coefficients!$C$73*Coefficients!$C$17</f>
        <v>15544410.852138061</v>
      </c>
      <c r="S7" s="151">
        <f>S$4*Coefficients!$C$71*Coefficients!$C$73*Coefficients!$C$17</f>
        <v>15884339.443914291</v>
      </c>
      <c r="T7" s="151">
        <f>T$4*Coefficients!$C$71*Coefficients!$C$73*Coefficients!$C$17</f>
        <v>16224268.035690522</v>
      </c>
      <c r="U7" s="151">
        <f>U$4*Coefficients!$C$71*Coefficients!$C$73*Coefficients!$C$17</f>
        <v>16564196.627466751</v>
      </c>
      <c r="V7" s="151">
        <f>V$4*Coefficients!$C$71*Coefficients!$C$73*Coefficients!$C$17</f>
        <v>16904125.219242979</v>
      </c>
      <c r="W7" s="151">
        <f>W$4*Coefficients!$C$71*Coefficients!$C$73*Coefficients!$C$17</f>
        <v>17244053.811019212</v>
      </c>
      <c r="X7" s="151">
        <f>X$4*Coefficients!$C$71*Coefficients!$C$73*Coefficients!$C$17</f>
        <v>17583982.402795441</v>
      </c>
      <c r="Y7" s="151">
        <f>Y$4*Coefficients!$C$71*Coefficients!$C$73*Coefficients!$C$17</f>
        <v>17923910.994571671</v>
      </c>
      <c r="Z7" s="151">
        <f>Z$4*Coefficients!$C$71*Coefficients!$C$73*Coefficients!$C$17</f>
        <v>18263839.586347897</v>
      </c>
      <c r="AA7" s="151">
        <f>AA$4*Coefficients!$C$71*Coefficients!$C$73*Coefficients!$C$17</f>
        <v>18603768.17812413</v>
      </c>
      <c r="AB7" s="151">
        <f>AB$4*Coefficients!$C$71*Coefficients!$C$73*Coefficients!$C$17</f>
        <v>18943696.769900359</v>
      </c>
      <c r="AC7" s="151">
        <f>AC$4*Coefficients!$C$71*Coefficients!$C$73*Coefficients!$C$17</f>
        <v>19283625.361676589</v>
      </c>
      <c r="AD7" s="151">
        <f>AD$4*Coefficients!$C$71*Coefficients!$C$73*Coefficients!$C$17</f>
        <v>19623553.953452811</v>
      </c>
      <c r="AE7" s="152">
        <f>AE$4*Coefficients!$C$71*Coefficients!$C$73*Coefficients!$C$17</f>
        <v>19858684.314986721</v>
      </c>
    </row>
    <row r="8" spans="2:43" x14ac:dyDescent="0.2">
      <c r="B8" s="153" t="s">
        <v>276</v>
      </c>
      <c r="C8" s="154">
        <f>C$4*(1-Coefficients!$C$71)*Coefficients!$C$73*Coefficients!$C$18</f>
        <v>20819395.833600003</v>
      </c>
      <c r="D8" s="155">
        <f>D$4*(1-Coefficients!$C$71)*Coefficients!$C$73*Coefficients!$C$18</f>
        <v>23437041.689721275</v>
      </c>
      <c r="E8" s="155">
        <f>E$4*(1-Coefficients!$C$71)*Coefficients!$C$73*Coefficients!$C$18</f>
        <v>24903682.792718049</v>
      </c>
      <c r="F8" s="67">
        <f>F$4*(1-Coefficients!$C$71)*Coefficients!$C$73*Coefficients!$C$18</f>
        <v>26370323.895714819</v>
      </c>
      <c r="G8" s="67">
        <f>G$4*(1-Coefficients!$C$71)*Coefficients!$C$73*Coefficients!$C$18</f>
        <v>27836964.99871159</v>
      </c>
      <c r="H8" s="67">
        <f>H$4*(1-Coefficients!$C$71)*Coefficients!$C$73*Coefficients!$C$18</f>
        <v>29303606.10170836</v>
      </c>
      <c r="I8" s="67">
        <f>I$4*(1-Coefficients!$C$71)*Coefficients!$C$73*Coefficients!$C$18</f>
        <v>30770247.20470513</v>
      </c>
      <c r="J8" s="67">
        <f>J$4*(1-Coefficients!$C$71)*Coefficients!$C$73*Coefficients!$C$18</f>
        <v>32236888.307701901</v>
      </c>
      <c r="K8" s="67">
        <f>K$4*(1-Coefficients!$C$71)*Coefficients!$C$73*Coefficients!$C$18</f>
        <v>33703529.410698667</v>
      </c>
      <c r="L8" s="67">
        <f>L$4*(1-Coefficients!$C$71)*Coefficients!$C$73*Coefficients!$C$18</f>
        <v>35170170.513695449</v>
      </c>
      <c r="M8" s="67">
        <f>M$4*(1-Coefficients!$C$71)*Coefficients!$C$73*Coefficients!$C$18</f>
        <v>36636811.6166922</v>
      </c>
      <c r="N8" s="67">
        <f>N$4*(1-Coefficients!$C$71)*Coefficients!$C$73*Coefficients!$C$18</f>
        <v>37837587.499823019</v>
      </c>
      <c r="O8" s="67">
        <f>O$4*(1-Coefficients!$C$71)*Coefficients!$C$73*Coefficients!$C$18</f>
        <v>39038363.38295383</v>
      </c>
      <c r="P8" s="67">
        <f>P$4*(1-Coefficients!$C$71)*Coefficients!$C$73*Coefficients!$C$18</f>
        <v>40239139.266084656</v>
      </c>
      <c r="Q8" s="67">
        <f>Q$4*(1-Coefficients!$C$71)*Coefficients!$C$73*Coefficients!$C$18</f>
        <v>41439915.149215467</v>
      </c>
      <c r="R8" s="67">
        <f>R$4*(1-Coefficients!$C$71)*Coefficients!$C$73*Coefficients!$C$18</f>
        <v>42640691.032346308</v>
      </c>
      <c r="S8" s="67">
        <f>S$4*(1-Coefficients!$C$71)*Coefficients!$C$73*Coefficients!$C$18</f>
        <v>43573167.03242559</v>
      </c>
      <c r="T8" s="67">
        <f>T$4*(1-Coefficients!$C$71)*Coefficients!$C$73*Coefficients!$C$18</f>
        <v>44505643.032504886</v>
      </c>
      <c r="U8" s="67">
        <f>U$4*(1-Coefficients!$C$71)*Coefficients!$C$73*Coefficients!$C$18</f>
        <v>45438119.032584168</v>
      </c>
      <c r="V8" s="67">
        <f>V$4*(1-Coefficients!$C$71)*Coefficients!$C$73*Coefficients!$C$18</f>
        <v>46370595.032663457</v>
      </c>
      <c r="W8" s="67">
        <f>W$4*(1-Coefficients!$C$71)*Coefficients!$C$73*Coefficients!$C$18</f>
        <v>47303071.032742754</v>
      </c>
      <c r="X8" s="67">
        <f>X$4*(1-Coefficients!$C$71)*Coefficients!$C$73*Coefficients!$C$18</f>
        <v>48235547.032822035</v>
      </c>
      <c r="Y8" s="67">
        <f>Y$4*(1-Coefficients!$C$71)*Coefficients!$C$73*Coefficients!$C$18</f>
        <v>49168023.032901324</v>
      </c>
      <c r="Z8" s="67">
        <f>Z$4*(1-Coefficients!$C$71)*Coefficients!$C$73*Coefficients!$C$18</f>
        <v>50100499.032980613</v>
      </c>
      <c r="AA8" s="67">
        <f>AA$4*(1-Coefficients!$C$71)*Coefficients!$C$73*Coefficients!$C$18</f>
        <v>51032975.033059902</v>
      </c>
      <c r="AB8" s="67">
        <f>AB$4*(1-Coefficients!$C$71)*Coefficients!$C$73*Coefficients!$C$18</f>
        <v>51965451.033139192</v>
      </c>
      <c r="AC8" s="67">
        <f>AC$4*(1-Coefficients!$C$71)*Coefficients!$C$73*Coefficients!$C$18</f>
        <v>52897927.033218481</v>
      </c>
      <c r="AD8" s="67">
        <f>AD$4*(1-Coefficients!$C$71)*Coefficients!$C$73*Coefficients!$C$18</f>
        <v>53830403.033297747</v>
      </c>
      <c r="AE8" s="156">
        <f>AE$4*(1-Coefficients!$C$71)*Coefficients!$C$73*Coefficients!$C$18</f>
        <v>54475401.495694436</v>
      </c>
    </row>
    <row r="9" spans="2:43" x14ac:dyDescent="0.2">
      <c r="B9" s="153" t="s">
        <v>236</v>
      </c>
      <c r="C9" s="154">
        <f>C$4*Coefficients!$C$71*(1-Coefficients!$C$73)*Coefficients!$C$17</f>
        <v>7589587.1923200013</v>
      </c>
      <c r="D9" s="155">
        <f>D$4*Coefficients!$C$71*(1-Coefficients!$C$73)*Coefficients!$C$17</f>
        <v>8543834.453980919</v>
      </c>
      <c r="E9" s="155">
        <f>E$4*Coefficients!$C$71*(1-Coefficients!$C$73)*Coefficients!$C$17</f>
        <v>9078489.7638660409</v>
      </c>
      <c r="F9" s="67">
        <f>F$4*Coefficients!$C$71*(1-Coefficients!$C$73)*Coefficients!$C$17</f>
        <v>9613145.073751159</v>
      </c>
      <c r="G9" s="67">
        <f>G$4*Coefficients!$C$71*(1-Coefficients!$C$73)*Coefficients!$C$17</f>
        <v>10147800.383636279</v>
      </c>
      <c r="H9" s="67">
        <f>H$4*Coefficients!$C$71*(1-Coefficients!$C$73)*Coefficients!$C$17</f>
        <v>10682455.693521397</v>
      </c>
      <c r="I9" s="67">
        <f>I$4*Coefficients!$C$71*(1-Coefficients!$C$73)*Coefficients!$C$17</f>
        <v>11217111.003406515</v>
      </c>
      <c r="J9" s="67">
        <f>J$4*Coefficients!$C$71*(1-Coefficients!$C$73)*Coefficients!$C$17</f>
        <v>11751766.313291634</v>
      </c>
      <c r="K9" s="67">
        <f>K$4*Coefficients!$C$71*(1-Coefficients!$C$73)*Coefficients!$C$17</f>
        <v>12286421.623176754</v>
      </c>
      <c r="L9" s="67">
        <f>L$4*Coefficients!$C$71*(1-Coefficients!$C$73)*Coefficients!$C$17</f>
        <v>12821076.933061875</v>
      </c>
      <c r="M9" s="67">
        <f>M$4*Coefficients!$C$71*(1-Coefficients!$C$73)*Coefficients!$C$17</f>
        <v>13355732.242946988</v>
      </c>
      <c r="N9" s="67">
        <f>N$4*Coefficients!$C$71*(1-Coefficients!$C$73)*Coefficients!$C$17</f>
        <v>13793467.964785203</v>
      </c>
      <c r="O9" s="67">
        <f>O$4*Coefficients!$C$71*(1-Coefficients!$C$73)*Coefficients!$C$17</f>
        <v>14231203.686623413</v>
      </c>
      <c r="P9" s="67">
        <f>P$4*Coefficients!$C$71*(1-Coefficients!$C$73)*Coefficients!$C$17</f>
        <v>14668939.408461628</v>
      </c>
      <c r="Q9" s="67">
        <f>Q$4*Coefficients!$C$71*(1-Coefficients!$C$73)*Coefficients!$C$17</f>
        <v>15106675.130299842</v>
      </c>
      <c r="R9" s="67">
        <f>R$4*Coefficients!$C$71*(1-Coefficients!$C$73)*Coefficients!$C$17</f>
        <v>15544410.852138061</v>
      </c>
      <c r="S9" s="67">
        <f>S$4*Coefficients!$C$71*(1-Coefficients!$C$73)*Coefficients!$C$17</f>
        <v>15884339.443914291</v>
      </c>
      <c r="T9" s="67">
        <f>T$4*Coefficients!$C$71*(1-Coefficients!$C$73)*Coefficients!$C$17</f>
        <v>16224268.035690522</v>
      </c>
      <c r="U9" s="67">
        <f>U$4*Coefficients!$C$71*(1-Coefficients!$C$73)*Coefficients!$C$17</f>
        <v>16564196.627466751</v>
      </c>
      <c r="V9" s="67">
        <f>V$4*Coefficients!$C$71*(1-Coefficients!$C$73)*Coefficients!$C$17</f>
        <v>16904125.219242979</v>
      </c>
      <c r="W9" s="67">
        <f>W$4*Coefficients!$C$71*(1-Coefficients!$C$73)*Coefficients!$C$17</f>
        <v>17244053.811019212</v>
      </c>
      <c r="X9" s="67">
        <f>X$4*Coefficients!$C$71*(1-Coefficients!$C$73)*Coefficients!$C$17</f>
        <v>17583982.402795441</v>
      </c>
      <c r="Y9" s="67">
        <f>Y$4*Coefficients!$C$71*(1-Coefficients!$C$73)*Coefficients!$C$17</f>
        <v>17923910.994571671</v>
      </c>
      <c r="Z9" s="67">
        <f>Z$4*Coefficients!$C$71*(1-Coefficients!$C$73)*Coefficients!$C$17</f>
        <v>18263839.586347897</v>
      </c>
      <c r="AA9" s="67">
        <f>AA$4*Coefficients!$C$71*(1-Coefficients!$C$73)*Coefficients!$C$17</f>
        <v>18603768.17812413</v>
      </c>
      <c r="AB9" s="67">
        <f>AB$4*Coefficients!$C$71*(1-Coefficients!$C$73)*Coefficients!$C$17</f>
        <v>18943696.769900359</v>
      </c>
      <c r="AC9" s="67">
        <f>AC$4*Coefficients!$C$71*(1-Coefficients!$C$73)*Coefficients!$C$17</f>
        <v>19283625.361676589</v>
      </c>
      <c r="AD9" s="67">
        <f>AD$4*Coefficients!$C$71*(1-Coefficients!$C$73)*Coefficients!$C$17</f>
        <v>19623553.953452811</v>
      </c>
      <c r="AE9" s="156">
        <f>AE$4*Coefficients!$C$71*(1-Coefficients!$C$73)*Coefficients!$C$17</f>
        <v>19858684.314986721</v>
      </c>
    </row>
    <row r="10" spans="2:43" x14ac:dyDescent="0.2">
      <c r="B10" s="153" t="s">
        <v>288</v>
      </c>
      <c r="C10" s="154">
        <f>C$4*(1-Coefficients!$C$71)*(1-Coefficients!$C$73)*Coefficients!$C$18</f>
        <v>20819395.833600003</v>
      </c>
      <c r="D10" s="155">
        <f>D$4*(1-Coefficients!$C$71)*(1-Coefficients!$C$73)*Coefficients!$C$18</f>
        <v>23437041.689721275</v>
      </c>
      <c r="E10" s="155">
        <f>E$4*(1-Coefficients!$C$71)*(1-Coefficients!$C$73)*Coefficients!$C$18</f>
        <v>24903682.792718049</v>
      </c>
      <c r="F10" s="67">
        <f>F$4*(1-Coefficients!$C$71)*(1-Coefficients!$C$73)*Coefficients!$C$18</f>
        <v>26370323.895714819</v>
      </c>
      <c r="G10" s="67">
        <f>G$4*(1-Coefficients!$C$71)*(1-Coefficients!$C$73)*Coefficients!$C$18</f>
        <v>27836964.99871159</v>
      </c>
      <c r="H10" s="67">
        <f>H$4*(1-Coefficients!$C$71)*(1-Coefficients!$C$73)*Coefficients!$C$18</f>
        <v>29303606.10170836</v>
      </c>
      <c r="I10" s="67">
        <f>I$4*(1-Coefficients!$C$71)*(1-Coefficients!$C$73)*Coefficients!$C$18</f>
        <v>30770247.20470513</v>
      </c>
      <c r="J10" s="67">
        <f>J$4*(1-Coefficients!$C$71)*(1-Coefficients!$C$73)*Coefficients!$C$18</f>
        <v>32236888.307701901</v>
      </c>
      <c r="K10" s="67">
        <f>K$4*(1-Coefficients!$C$71)*(1-Coefficients!$C$73)*Coefficients!$C$18</f>
        <v>33703529.410698667</v>
      </c>
      <c r="L10" s="67">
        <f>L$4*(1-Coefficients!$C$71)*(1-Coefficients!$C$73)*Coefficients!$C$18</f>
        <v>35170170.513695449</v>
      </c>
      <c r="M10" s="67">
        <f>M$4*(1-Coefficients!$C$71)*(1-Coefficients!$C$73)*Coefficients!$C$18</f>
        <v>36636811.6166922</v>
      </c>
      <c r="N10" s="67">
        <f>N$4*(1-Coefficients!$C$71)*(1-Coefficients!$C$73)*Coefficients!$C$18</f>
        <v>37837587.499823019</v>
      </c>
      <c r="O10" s="67">
        <f>O$4*(1-Coefficients!$C$71)*(1-Coefficients!$C$73)*Coefficients!$C$18</f>
        <v>39038363.38295383</v>
      </c>
      <c r="P10" s="67">
        <f>P$4*(1-Coefficients!$C$71)*(1-Coefficients!$C$73)*Coefficients!$C$18</f>
        <v>40239139.266084656</v>
      </c>
      <c r="Q10" s="67">
        <f>Q$4*(1-Coefficients!$C$71)*(1-Coefficients!$C$73)*Coefficients!$C$18</f>
        <v>41439915.149215467</v>
      </c>
      <c r="R10" s="67">
        <f>R$4*(1-Coefficients!$C$71)*(1-Coefficients!$C$73)*Coefficients!$C$18</f>
        <v>42640691.032346308</v>
      </c>
      <c r="S10" s="67">
        <f>S$4*(1-Coefficients!$C$71)*(1-Coefficients!$C$73)*Coefficients!$C$18</f>
        <v>43573167.03242559</v>
      </c>
      <c r="T10" s="67">
        <f>T$4*(1-Coefficients!$C$71)*(1-Coefficients!$C$73)*Coefficients!$C$18</f>
        <v>44505643.032504886</v>
      </c>
      <c r="U10" s="67">
        <f>U$4*(1-Coefficients!$C$71)*(1-Coefficients!$C$73)*Coefficients!$C$18</f>
        <v>45438119.032584168</v>
      </c>
      <c r="V10" s="67">
        <f>V$4*(1-Coefficients!$C$71)*(1-Coefficients!$C$73)*Coefficients!$C$18</f>
        <v>46370595.032663457</v>
      </c>
      <c r="W10" s="67">
        <f>W$4*(1-Coefficients!$C$71)*(1-Coefficients!$C$73)*Coefficients!$C$18</f>
        <v>47303071.032742754</v>
      </c>
      <c r="X10" s="67">
        <f>X$4*(1-Coefficients!$C$71)*(1-Coefficients!$C$73)*Coefficients!$C$18</f>
        <v>48235547.032822035</v>
      </c>
      <c r="Y10" s="67">
        <f>Y$4*(1-Coefficients!$C$71)*(1-Coefficients!$C$73)*Coefficients!$C$18</f>
        <v>49168023.032901324</v>
      </c>
      <c r="Z10" s="67">
        <f>Z$4*(1-Coefficients!$C$71)*(1-Coefficients!$C$73)*Coefficients!$C$18</f>
        <v>50100499.032980613</v>
      </c>
      <c r="AA10" s="67">
        <f>AA$4*(1-Coefficients!$C$71)*(1-Coefficients!$C$73)*Coefficients!$C$18</f>
        <v>51032975.033059902</v>
      </c>
      <c r="AB10" s="67">
        <f>AB$4*(1-Coefficients!$C$71)*(1-Coefficients!$C$73)*Coefficients!$C$18</f>
        <v>51965451.033139192</v>
      </c>
      <c r="AC10" s="67">
        <f>AC$4*(1-Coefficients!$C$71)*(1-Coefficients!$C$73)*Coefficients!$C$18</f>
        <v>52897927.033218481</v>
      </c>
      <c r="AD10" s="67">
        <f>AD$4*(1-Coefficients!$C$71)*(1-Coefficients!$C$73)*Coefficients!$C$18</f>
        <v>53830403.033297747</v>
      </c>
      <c r="AE10" s="156">
        <f>AE$4*(1-Coefficients!$C$71)*(1-Coefficients!$C$73)*Coefficients!$C$18</f>
        <v>54475401.495694436</v>
      </c>
    </row>
    <row r="11" spans="2:43" s="2" customFormat="1" ht="17" thickBot="1" x14ac:dyDescent="0.25">
      <c r="B11" s="96" t="s">
        <v>289</v>
      </c>
      <c r="C11" s="135">
        <f>C7+C8+C10+C9*Coefficients!$C$76</f>
        <v>261736820.24448001</v>
      </c>
      <c r="D11" s="136">
        <f>D7+D8+D10+D9*Coefficients!$C$76</f>
        <v>294645282.54488921</v>
      </c>
      <c r="E11" s="136">
        <f>E7+E8+E10+E9*Coefficients!$C$76</f>
        <v>313083568.73755133</v>
      </c>
      <c r="F11" s="137">
        <f>F7+F8+F10+F9*Coefficients!$C$76</f>
        <v>331521854.93021327</v>
      </c>
      <c r="G11" s="137">
        <f>G7+G8+G10+G9*Coefficients!$C$76</f>
        <v>349960141.12287527</v>
      </c>
      <c r="H11" s="137">
        <f>H7+H8+H10+H9*Coefficients!$C$76</f>
        <v>368398427.31553721</v>
      </c>
      <c r="I11" s="137">
        <f>I7+I8+I10+I9*Coefficients!$C$76</f>
        <v>386836713.50819921</v>
      </c>
      <c r="J11" s="137">
        <f>J7+J8+J10+J9*Coefficients!$C$76</f>
        <v>405274999.70086116</v>
      </c>
      <c r="K11" s="137">
        <f>K7+K8+K10+K9*Coefficients!$C$76</f>
        <v>423713285.89352322</v>
      </c>
      <c r="L11" s="137">
        <f>L7+L8+L10+L9*Coefficients!$C$76</f>
        <v>442151572.08618534</v>
      </c>
      <c r="M11" s="137">
        <f>M7+M8+M10+M9*Coefficients!$C$76</f>
        <v>460589858.2788471</v>
      </c>
      <c r="N11" s="137">
        <f>N7+N8+N10+N9*Coefficients!$C$76</f>
        <v>475685745.97841692</v>
      </c>
      <c r="O11" s="137">
        <f>O7+O8+O10+O9*Coefficients!$C$76</f>
        <v>490781633.67798662</v>
      </c>
      <c r="P11" s="137">
        <f>P7+P8+P10+P9*Coefficients!$C$76</f>
        <v>505877521.37755656</v>
      </c>
      <c r="Q11" s="137">
        <f>Q7+Q8+Q10+Q9*Coefficients!$C$76</f>
        <v>520973409.07712638</v>
      </c>
      <c r="R11" s="137">
        <f>R7+R8+R10+R9*Coefficients!$C$76</f>
        <v>536069296.77669638</v>
      </c>
      <c r="S11" s="137">
        <f>S7+S8+S10+S9*Coefficients!$C$76</f>
        <v>547792177.93836558</v>
      </c>
      <c r="T11" s="137">
        <f>T7+T8+T10+T9*Coefficients!$C$76</f>
        <v>559515059.10003495</v>
      </c>
      <c r="U11" s="137">
        <f>U7+U8+U10+U9*Coefficients!$C$76</f>
        <v>571237940.26170409</v>
      </c>
      <c r="V11" s="137">
        <f>V7+V8+V10+V9*Coefficients!$C$76</f>
        <v>582960821.42337334</v>
      </c>
      <c r="W11" s="137">
        <f>W7+W8+W10+W9*Coefficients!$C$76</f>
        <v>594683702.58504272</v>
      </c>
      <c r="X11" s="137">
        <f>X7+X8+X10+X9*Coefficients!$C$76</f>
        <v>606406583.74671197</v>
      </c>
      <c r="Y11" s="137">
        <f>Y7+Y8+Y10+Y9*Coefficients!$C$76</f>
        <v>618129464.9083811</v>
      </c>
      <c r="Z11" s="137">
        <f>Z7+Z8+Z10+Z9*Coefficients!$C$76</f>
        <v>629852346.07005024</v>
      </c>
      <c r="AA11" s="137">
        <f>AA7+AA8+AA10+AA9*Coefficients!$C$76</f>
        <v>641575227.23171949</v>
      </c>
      <c r="AB11" s="137">
        <f>AB7+AB8+AB10+AB9*Coefficients!$C$76</f>
        <v>653298108.39338887</v>
      </c>
      <c r="AC11" s="137">
        <f>AC7+AC8+AC10+AC9*Coefficients!$C$76</f>
        <v>665020989.55505812</v>
      </c>
      <c r="AD11" s="137">
        <f>AD7+AD8+AD10+AD9*Coefficients!$C$76</f>
        <v>676743870.7167269</v>
      </c>
      <c r="AE11" s="138">
        <f>AE7+AE8+AE10+AE9*Coefficients!$C$76</f>
        <v>684852648.12600386</v>
      </c>
    </row>
    <row r="12" spans="2:43" ht="17" thickBot="1" x14ac:dyDescent="0.25">
      <c r="C12" s="52"/>
      <c r="D12" s="52"/>
      <c r="E12" s="52"/>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row>
    <row r="13" spans="2:43" ht="17" thickBot="1" x14ac:dyDescent="0.25">
      <c r="B13" s="320" t="s">
        <v>352</v>
      </c>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2"/>
    </row>
    <row r="14" spans="2:43" x14ac:dyDescent="0.2">
      <c r="B14" s="139" t="s">
        <v>243</v>
      </c>
      <c r="C14" s="140">
        <f>C$4*Coefficients!$C$71*Coefficients!$C$72*Coefficients!$C$17</f>
        <v>11384380.788480001</v>
      </c>
      <c r="D14" s="141">
        <f>D$4*Coefficients!$C$71*Coefficients!$C$72*Coefficients!$C$17</f>
        <v>12815751.68097138</v>
      </c>
      <c r="E14" s="141">
        <f>E$4*Coefficients!$C$71*Coefficients!$C$72*Coefficients!$C$17</f>
        <v>13617734.645799059</v>
      </c>
      <c r="F14" s="142">
        <f>F$4*Coefficients!$C$71*Coefficients!$C$72*Coefficients!$C$17</f>
        <v>14419717.610626737</v>
      </c>
      <c r="G14" s="142">
        <f>G$4*Coefficients!$C$71*Coefficients!$C$72*Coefficients!$C$17</f>
        <v>15221700.575454418</v>
      </c>
      <c r="H14" s="142">
        <f>H$4*Coefficients!$C$71*Coefficients!$C$72*Coefficients!$C$17</f>
        <v>16023683.540282095</v>
      </c>
      <c r="I14" s="142">
        <f>I$4*Coefficients!$C$71*Coefficients!$C$72*Coefficients!$C$17</f>
        <v>16825666.505109776</v>
      </c>
      <c r="J14" s="142">
        <f>J$4*Coefficients!$C$71*Coefficients!$C$72*Coefficients!$C$17</f>
        <v>17627649.469937451</v>
      </c>
      <c r="K14" s="142">
        <f>K$4*Coefficients!$C$71*Coefficients!$C$72*Coefficients!$C$17</f>
        <v>18429632.43476513</v>
      </c>
      <c r="L14" s="142">
        <f>L$4*Coefficients!$C$71*Coefficients!$C$72*Coefficients!$C$17</f>
        <v>19231615.399592813</v>
      </c>
      <c r="M14" s="142">
        <f>M$4*Coefficients!$C$71*Coefficients!$C$72*Coefficients!$C$17</f>
        <v>20033598.364420481</v>
      </c>
      <c r="N14" s="142">
        <f>N$4*Coefficients!$C$71*Coefficients!$C$72*Coefficients!$C$17</f>
        <v>20690201.947177805</v>
      </c>
      <c r="O14" s="142">
        <f>O$4*Coefficients!$C$71*Coefficients!$C$72*Coefficients!$C$17</f>
        <v>21346805.529935122</v>
      </c>
      <c r="P14" s="142">
        <f>P$4*Coefficients!$C$71*Coefficients!$C$72*Coefficients!$C$17</f>
        <v>22003409.112692442</v>
      </c>
      <c r="Q14" s="142">
        <f>Q$4*Coefficients!$C$71*Coefficients!$C$72*Coefficients!$C$17</f>
        <v>22660012.695449762</v>
      </c>
      <c r="R14" s="142">
        <f>R$4*Coefficients!$C$71*Coefficients!$C$72*Coefficients!$C$17</f>
        <v>23316616.27820709</v>
      </c>
      <c r="S14" s="142">
        <f>S$4*Coefficients!$C$71*Coefficients!$C$72*Coefficients!$C$17</f>
        <v>23826509.165871438</v>
      </c>
      <c r="T14" s="142">
        <f>T$4*Coefficients!$C$71*Coefficients!$C$72*Coefficients!$C$17</f>
        <v>24336402.053535786</v>
      </c>
      <c r="U14" s="142">
        <f>U$4*Coefficients!$C$71*Coefficients!$C$72*Coefficients!$C$17</f>
        <v>24846294.94120013</v>
      </c>
      <c r="V14" s="142">
        <f>V$4*Coefficients!$C$71*Coefficients!$C$72*Coefficients!$C$17</f>
        <v>25356187.82886447</v>
      </c>
      <c r="W14" s="142">
        <f>W$4*Coefficients!$C$71*Coefficients!$C$72*Coefficients!$C$17</f>
        <v>25866080.716528818</v>
      </c>
      <c r="X14" s="142">
        <f>X$4*Coefficients!$C$71*Coefficients!$C$72*Coefficients!$C$17</f>
        <v>26375973.604193158</v>
      </c>
      <c r="Y14" s="142">
        <f>Y$4*Coefficients!$C$71*Coefficients!$C$72*Coefficients!$C$17</f>
        <v>26885866.491857506</v>
      </c>
      <c r="Z14" s="142">
        <f>Z$4*Coefficients!$C$71*Coefficients!$C$72*Coefficients!$C$17</f>
        <v>27395759.379521847</v>
      </c>
      <c r="AA14" s="142">
        <f>AA$4*Coefficients!$C$71*Coefficients!$C$72*Coefficients!$C$17</f>
        <v>27905652.267186195</v>
      </c>
      <c r="AB14" s="142">
        <f>AB$4*Coefficients!$C$71*Coefficients!$C$72*Coefficients!$C$17</f>
        <v>28415545.154850539</v>
      </c>
      <c r="AC14" s="142">
        <f>AC$4*Coefficients!$C$71*Coefficients!$C$72*Coefficients!$C$17</f>
        <v>28925438.042514887</v>
      </c>
      <c r="AD14" s="142">
        <f>AD$4*Coefficients!$C$71*Coefficients!$C$72*Coefficients!$C$17</f>
        <v>29435330.930179216</v>
      </c>
      <c r="AE14" s="143">
        <f>AE$4*Coefficients!$C$71*Coefficients!$C$72*Coefficients!$C$17</f>
        <v>29788026.472480085</v>
      </c>
    </row>
    <row r="15" spans="2:43" x14ac:dyDescent="0.2">
      <c r="B15" s="144" t="s">
        <v>295</v>
      </c>
      <c r="C15" s="145">
        <f>C$4*(1-Coefficients!$C$71)*Coefficients!$C$72*Coefficients!$C$18</f>
        <v>31229093.750400003</v>
      </c>
      <c r="D15" s="146">
        <f>D$4*(1-Coefficients!$C$71)*Coefficients!$C$72*Coefficients!$C$18</f>
        <v>35155562.534581915</v>
      </c>
      <c r="E15" s="146">
        <f>E$4*(1-Coefficients!$C$71)*Coefficients!$C$72*Coefficients!$C$18</f>
        <v>37355524.189077072</v>
      </c>
      <c r="F15" s="70">
        <f>F$4*(1-Coefficients!$C$71)*Coefficients!$C$72*Coefficients!$C$18</f>
        <v>39555485.843572229</v>
      </c>
      <c r="G15" s="70">
        <f>G$4*(1-Coefficients!$C$71)*Coefficients!$C$72*Coefficients!$C$18</f>
        <v>41755447.498067386</v>
      </c>
      <c r="H15" s="70">
        <f>H$4*(1-Coefficients!$C$71)*Coefficients!$C$72*Coefficients!$C$18</f>
        <v>43955409.152562536</v>
      </c>
      <c r="I15" s="70">
        <f>I$4*(1-Coefficients!$C$71)*Coefficients!$C$72*Coefficients!$C$18</f>
        <v>46155370.807057701</v>
      </c>
      <c r="J15" s="70">
        <f>J$4*(1-Coefficients!$C$71)*Coefficients!$C$72*Coefficients!$C$18</f>
        <v>48355332.461552851</v>
      </c>
      <c r="K15" s="70">
        <f>K$4*(1-Coefficients!$C$71)*Coefficients!$C$72*Coefficients!$C$18</f>
        <v>50555294.116048001</v>
      </c>
      <c r="L15" s="70">
        <f>L$4*(1-Coefficients!$C$71)*Coefficients!$C$72*Coefficients!$C$18</f>
        <v>52755255.770543166</v>
      </c>
      <c r="M15" s="70">
        <f>M$4*(1-Coefficients!$C$71)*Coefficients!$C$72*Coefficients!$C$18</f>
        <v>54955217.4250383</v>
      </c>
      <c r="N15" s="70">
        <f>N$4*(1-Coefficients!$C$71)*Coefficients!$C$72*Coefficients!$C$18</f>
        <v>56756381.249734536</v>
      </c>
      <c r="O15" s="70">
        <f>O$4*(1-Coefficients!$C$71)*Coefficients!$C$72*Coefficients!$C$18</f>
        <v>58557545.074430749</v>
      </c>
      <c r="P15" s="70">
        <f>P$4*(1-Coefficients!$C$71)*Coefficients!$C$72*Coefficients!$C$18</f>
        <v>60358708.899126977</v>
      </c>
      <c r="Q15" s="70">
        <f>Q$4*(1-Coefficients!$C$71)*Coefficients!$C$72*Coefficients!$C$18</f>
        <v>62159872.723823197</v>
      </c>
      <c r="R15" s="70">
        <f>R$4*(1-Coefficients!$C$71)*Coefficients!$C$72*Coefficients!$C$18</f>
        <v>63961036.548519455</v>
      </c>
      <c r="S15" s="70">
        <f>S$4*(1-Coefficients!$C$71)*Coefficients!$C$72*Coefficients!$C$18</f>
        <v>65359750.548638389</v>
      </c>
      <c r="T15" s="70">
        <f>T$4*(1-Coefficients!$C$71)*Coefficients!$C$72*Coefficients!$C$18</f>
        <v>66758464.548757337</v>
      </c>
      <c r="U15" s="70">
        <f>U$4*(1-Coefficients!$C$71)*Coefficients!$C$72*Coefficients!$C$18</f>
        <v>68157178.548876256</v>
      </c>
      <c r="V15" s="70">
        <f>V$4*(1-Coefficients!$C$71)*Coefficients!$C$72*Coefficients!$C$18</f>
        <v>69555892.548995182</v>
      </c>
      <c r="W15" s="70">
        <f>W$4*(1-Coefficients!$C$71)*Coefficients!$C$72*Coefficients!$C$18</f>
        <v>70954606.549114123</v>
      </c>
      <c r="X15" s="70">
        <f>X$4*(1-Coefficients!$C$71)*Coefficients!$C$72*Coefficients!$C$18</f>
        <v>72353320.549233049</v>
      </c>
      <c r="Y15" s="70">
        <f>Y$4*(1-Coefficients!$C$71)*Coefficients!$C$72*Coefficients!$C$18</f>
        <v>73752034.54935199</v>
      </c>
      <c r="Z15" s="70">
        <f>Z$4*(1-Coefficients!$C$71)*Coefficients!$C$72*Coefficients!$C$18</f>
        <v>75150748.549470916</v>
      </c>
      <c r="AA15" s="70">
        <f>AA$4*(1-Coefficients!$C$71)*Coefficients!$C$72*Coefficients!$C$18</f>
        <v>76549462.549589857</v>
      </c>
      <c r="AB15" s="70">
        <f>AB$4*(1-Coefficients!$C$71)*Coefficients!$C$72*Coefficients!$C$18</f>
        <v>77948176.549708784</v>
      </c>
      <c r="AC15" s="70">
        <f>AC$4*(1-Coefficients!$C$71)*Coefficients!$C$72*Coefficients!$C$18</f>
        <v>79346890.549827725</v>
      </c>
      <c r="AD15" s="70">
        <f>AD$4*(1-Coefficients!$C$71)*Coefficients!$C$72*Coefficients!$C$18</f>
        <v>80745604.549946621</v>
      </c>
      <c r="AE15" s="147">
        <f>AE$4*(1-Coefficients!$C$71)*Coefficients!$C$72*Coefficients!$C$18</f>
        <v>81713102.243541658</v>
      </c>
    </row>
    <row r="16" spans="2:43" x14ac:dyDescent="0.2">
      <c r="B16" s="144" t="s">
        <v>237</v>
      </c>
      <c r="C16" s="145">
        <f>C$4*Coefficients!$C$71*(1-Coefficients!$C$72)*Coefficients!$C$17</f>
        <v>3794793.5961600007</v>
      </c>
      <c r="D16" s="146">
        <f>D$4*Coefficients!$C$71*(1-Coefficients!$C$72)*Coefficients!$C$17</f>
        <v>4271917.2269904595</v>
      </c>
      <c r="E16" s="146">
        <f>E$4*Coefficients!$C$71*(1-Coefficients!$C$72)*Coefficients!$C$17</f>
        <v>4539244.8819330204</v>
      </c>
      <c r="F16" s="70">
        <f>F$4*Coefficients!$C$71*(1-Coefficients!$C$72)*Coefficients!$C$17</f>
        <v>4806572.5368755795</v>
      </c>
      <c r="G16" s="70">
        <f>G$4*Coefficients!$C$71*(1-Coefficients!$C$72)*Coefficients!$C$17</f>
        <v>5073900.1918181395</v>
      </c>
      <c r="H16" s="70">
        <f>H$4*Coefficients!$C$71*(1-Coefficients!$C$72)*Coefficients!$C$17</f>
        <v>5341227.8467606986</v>
      </c>
      <c r="I16" s="70">
        <f>I$4*Coefficients!$C$71*(1-Coefficients!$C$72)*Coefficients!$C$17</f>
        <v>5608555.5017032577</v>
      </c>
      <c r="J16" s="70">
        <f>J$4*Coefficients!$C$71*(1-Coefficients!$C$72)*Coefficients!$C$17</f>
        <v>5875883.1566458168</v>
      </c>
      <c r="K16" s="70">
        <f>K$4*Coefficients!$C$71*(1-Coefficients!$C$72)*Coefficients!$C$17</f>
        <v>6143210.8115883768</v>
      </c>
      <c r="L16" s="70">
        <f>L$4*Coefficients!$C$71*(1-Coefficients!$C$72)*Coefficients!$C$17</f>
        <v>6410538.4665309377</v>
      </c>
      <c r="M16" s="70">
        <f>M$4*Coefficients!$C$71*(1-Coefficients!$C$72)*Coefficients!$C$17</f>
        <v>6677866.121473494</v>
      </c>
      <c r="N16" s="70">
        <f>N$4*Coefficients!$C$71*(1-Coefficients!$C$72)*Coefficients!$C$17</f>
        <v>6896733.9823926017</v>
      </c>
      <c r="O16" s="70">
        <f>O$4*Coefficients!$C$71*(1-Coefficients!$C$72)*Coefficients!$C$17</f>
        <v>7115601.8433117066</v>
      </c>
      <c r="P16" s="70">
        <f>P$4*Coefficients!$C$71*(1-Coefficients!$C$72)*Coefficients!$C$17</f>
        <v>7334469.7042308142</v>
      </c>
      <c r="Q16" s="70">
        <f>Q$4*Coefficients!$C$71*(1-Coefficients!$C$72)*Coefficients!$C$17</f>
        <v>7553337.565149921</v>
      </c>
      <c r="R16" s="70">
        <f>R$4*Coefficients!$C$71*(1-Coefficients!$C$72)*Coefficients!$C$17</f>
        <v>7772205.4260690305</v>
      </c>
      <c r="S16" s="70">
        <f>S$4*Coefficients!$C$71*(1-Coefficients!$C$72)*Coefficients!$C$17</f>
        <v>7942169.7219571453</v>
      </c>
      <c r="T16" s="70">
        <f>T$4*Coefficients!$C$71*(1-Coefficients!$C$72)*Coefficients!$C$17</f>
        <v>8112134.0178452609</v>
      </c>
      <c r="U16" s="70">
        <f>U$4*Coefficients!$C$71*(1-Coefficients!$C$72)*Coefficients!$C$17</f>
        <v>8282098.3137333756</v>
      </c>
      <c r="V16" s="70">
        <f>V$4*Coefficients!$C$71*(1-Coefficients!$C$72)*Coefficients!$C$17</f>
        <v>8452062.6096214894</v>
      </c>
      <c r="W16" s="70">
        <f>W$4*Coefficients!$C$71*(1-Coefficients!$C$72)*Coefficients!$C$17</f>
        <v>8622026.905509606</v>
      </c>
      <c r="X16" s="70">
        <f>X$4*Coefficients!$C$71*(1-Coefficients!$C$72)*Coefficients!$C$17</f>
        <v>8791991.2013977207</v>
      </c>
      <c r="Y16" s="70">
        <f>Y$4*Coefficients!$C$71*(1-Coefficients!$C$72)*Coefficients!$C$17</f>
        <v>8961955.4972858354</v>
      </c>
      <c r="Z16" s="70">
        <f>Z$4*Coefficients!$C$71*(1-Coefficients!$C$72)*Coefficients!$C$17</f>
        <v>9131919.7931739483</v>
      </c>
      <c r="AA16" s="70">
        <f>AA$4*Coefficients!$C$71*(1-Coefficients!$C$72)*Coefficients!$C$17</f>
        <v>9301884.0890620649</v>
      </c>
      <c r="AB16" s="70">
        <f>AB$4*Coefficients!$C$71*(1-Coefficients!$C$72)*Coefficients!$C$17</f>
        <v>9471848.3849501796</v>
      </c>
      <c r="AC16" s="70">
        <f>AC$4*Coefficients!$C$71*(1-Coefficients!$C$72)*Coefficients!$C$17</f>
        <v>9641812.6808382943</v>
      </c>
      <c r="AD16" s="70">
        <f>AD$4*Coefficients!$C$71*(1-Coefficients!$C$72)*Coefficients!$C$17</f>
        <v>9811776.9767264053</v>
      </c>
      <c r="AE16" s="147">
        <f>AE$4*Coefficients!$C$71*(1-Coefficients!$C$72)*Coefficients!$C$17</f>
        <v>9929342.1574933603</v>
      </c>
    </row>
    <row r="17" spans="2:31" x14ac:dyDescent="0.2">
      <c r="B17" s="144" t="s">
        <v>296</v>
      </c>
      <c r="C17" s="145">
        <f>C$4*(1-Coefficients!$C$71)*(1-Coefficients!$C$72)*Coefficients!$C$18</f>
        <v>10409697.916800002</v>
      </c>
      <c r="D17" s="146">
        <f>D$4*(1-Coefficients!$C$71)*(1-Coefficients!$C$72)*Coefficients!$C$18</f>
        <v>11718520.844860638</v>
      </c>
      <c r="E17" s="146">
        <f>E$4*(1-Coefficients!$C$71)*(1-Coefficients!$C$72)*Coefficients!$C$18</f>
        <v>12451841.396359025</v>
      </c>
      <c r="F17" s="70">
        <f>F$4*(1-Coefficients!$C$71)*(1-Coefficients!$C$72)*Coefficients!$C$18</f>
        <v>13185161.94785741</v>
      </c>
      <c r="G17" s="70">
        <f>G$4*(1-Coefficients!$C$71)*(1-Coefficients!$C$72)*Coefficients!$C$18</f>
        <v>13918482.499355795</v>
      </c>
      <c r="H17" s="70">
        <f>H$4*(1-Coefficients!$C$71)*(1-Coefficients!$C$72)*Coefficients!$C$18</f>
        <v>14651803.05085418</v>
      </c>
      <c r="I17" s="70">
        <f>I$4*(1-Coefficients!$C$71)*(1-Coefficients!$C$72)*Coefficients!$C$18</f>
        <v>15385123.602352565</v>
      </c>
      <c r="J17" s="70">
        <f>J$4*(1-Coefficients!$C$71)*(1-Coefficients!$C$72)*Coefficients!$C$18</f>
        <v>16118444.15385095</v>
      </c>
      <c r="K17" s="70">
        <f>K$4*(1-Coefficients!$C$71)*(1-Coefficients!$C$72)*Coefficients!$C$18</f>
        <v>16851764.705349334</v>
      </c>
      <c r="L17" s="70">
        <f>L$4*(1-Coefficients!$C$71)*(1-Coefficients!$C$72)*Coefficients!$C$18</f>
        <v>17585085.256847724</v>
      </c>
      <c r="M17" s="70">
        <f>M$4*(1-Coefficients!$C$71)*(1-Coefficients!$C$72)*Coefficients!$C$18</f>
        <v>18318405.8083461</v>
      </c>
      <c r="N17" s="70">
        <f>N$4*(1-Coefficients!$C$71)*(1-Coefficients!$C$72)*Coefficients!$C$18</f>
        <v>18918793.749911509</v>
      </c>
      <c r="O17" s="70">
        <f>O$4*(1-Coefficients!$C$71)*(1-Coefficients!$C$72)*Coefficients!$C$18</f>
        <v>19519181.691476915</v>
      </c>
      <c r="P17" s="70">
        <f>P$4*(1-Coefficients!$C$71)*(1-Coefficients!$C$72)*Coefficients!$C$18</f>
        <v>20119569.633042328</v>
      </c>
      <c r="Q17" s="70">
        <f>Q$4*(1-Coefficients!$C$71)*(1-Coefficients!$C$72)*Coefficients!$C$18</f>
        <v>20719957.574607734</v>
      </c>
      <c r="R17" s="70">
        <f>R$4*(1-Coefficients!$C$71)*(1-Coefficients!$C$72)*Coefficients!$C$18</f>
        <v>21320345.516173154</v>
      </c>
      <c r="S17" s="70">
        <f>S$4*(1-Coefficients!$C$71)*(1-Coefficients!$C$72)*Coefficients!$C$18</f>
        <v>21786583.516212795</v>
      </c>
      <c r="T17" s="70">
        <f>T$4*(1-Coefficients!$C$71)*(1-Coefficients!$C$72)*Coefficients!$C$18</f>
        <v>22252821.516252443</v>
      </c>
      <c r="U17" s="70">
        <f>U$4*(1-Coefficients!$C$71)*(1-Coefficients!$C$72)*Coefficients!$C$18</f>
        <v>22719059.516292084</v>
      </c>
      <c r="V17" s="70">
        <f>V$4*(1-Coefficients!$C$71)*(1-Coefficients!$C$72)*Coefficients!$C$18</f>
        <v>23185297.516331729</v>
      </c>
      <c r="W17" s="70">
        <f>W$4*(1-Coefficients!$C$71)*(1-Coefficients!$C$72)*Coefficients!$C$18</f>
        <v>23651535.516371377</v>
      </c>
      <c r="X17" s="70">
        <f>X$4*(1-Coefficients!$C$71)*(1-Coefficients!$C$72)*Coefficients!$C$18</f>
        <v>24117773.516411018</v>
      </c>
      <c r="Y17" s="70">
        <f>Y$4*(1-Coefficients!$C$71)*(1-Coefficients!$C$72)*Coefficients!$C$18</f>
        <v>24584011.516450662</v>
      </c>
      <c r="Z17" s="70">
        <f>Z$4*(1-Coefficients!$C$71)*(1-Coefficients!$C$72)*Coefficients!$C$18</f>
        <v>25050249.516490307</v>
      </c>
      <c r="AA17" s="70">
        <f>AA$4*(1-Coefficients!$C$71)*(1-Coefficients!$C$72)*Coefficients!$C$18</f>
        <v>25516487.516529951</v>
      </c>
      <c r="AB17" s="70">
        <f>AB$4*(1-Coefficients!$C$71)*(1-Coefficients!$C$72)*Coefficients!$C$18</f>
        <v>25982725.516569596</v>
      </c>
      <c r="AC17" s="70">
        <f>AC$4*(1-Coefficients!$C$71)*(1-Coefficients!$C$72)*Coefficients!$C$18</f>
        <v>26448963.51660924</v>
      </c>
      <c r="AD17" s="70">
        <f>AD$4*(1-Coefficients!$C$71)*(1-Coefficients!$C$72)*Coefficients!$C$18</f>
        <v>26915201.516648874</v>
      </c>
      <c r="AE17" s="147">
        <f>AE$4*(1-Coefficients!$C$71)*(1-Coefficients!$C$72)*Coefficients!$C$18</f>
        <v>27237700.747847218</v>
      </c>
    </row>
    <row r="18" spans="2:31" s="2" customFormat="1" ht="17" thickBot="1" x14ac:dyDescent="0.25">
      <c r="B18" s="96" t="s">
        <v>297</v>
      </c>
      <c r="C18" s="135">
        <f>C14+C15+C17+C16*Coefficients!$C$76</f>
        <v>159277393.14816001</v>
      </c>
      <c r="D18" s="136">
        <f>D14+D15+D17+D16*Coefficients!$C$76</f>
        <v>179303517.41614679</v>
      </c>
      <c r="E18" s="136">
        <f>E14+E15+E17+E16*Coefficients!$C$76</f>
        <v>190523956.92535973</v>
      </c>
      <c r="F18" s="137">
        <f>F14+F15+F17+F16*Coefficients!$C$76</f>
        <v>201744396.43457261</v>
      </c>
      <c r="G18" s="137">
        <f>G14+G15+G17+G16*Coefficients!$C$76</f>
        <v>212964835.94378549</v>
      </c>
      <c r="H18" s="137">
        <f>H14+H15+H17+H16*Coefficients!$C$76</f>
        <v>224185275.45299837</v>
      </c>
      <c r="I18" s="137">
        <f>I14+I15+I17+I16*Coefficients!$C$76</f>
        <v>235405714.96221125</v>
      </c>
      <c r="J18" s="137">
        <f>J14+J15+J17+J16*Coefficients!$C$76</f>
        <v>246626154.4714241</v>
      </c>
      <c r="K18" s="137">
        <f>K14+K15+K17+K16*Coefficients!$C$76</f>
        <v>257846593.98063701</v>
      </c>
      <c r="L18" s="137">
        <f>L14+L15+L17+L16*Coefficients!$C$76</f>
        <v>269067033.48984998</v>
      </c>
      <c r="M18" s="137">
        <f>M14+M15+M17+M16*Coefficients!$C$76</f>
        <v>280287472.99906272</v>
      </c>
      <c r="N18" s="137">
        <f>N14+N15+N17+N16*Coefficients!$C$76</f>
        <v>289473928.45381671</v>
      </c>
      <c r="O18" s="137">
        <f>O14+O15+O17+O16*Coefficients!$C$76</f>
        <v>298660383.90857059</v>
      </c>
      <c r="P18" s="137">
        <f>P14+P15+P17+P16*Coefficients!$C$76</f>
        <v>307846839.36332452</v>
      </c>
      <c r="Q18" s="137">
        <f>Q14+Q15+Q17+Q16*Coefficients!$C$76</f>
        <v>317033294.81807852</v>
      </c>
      <c r="R18" s="137">
        <f>R14+R15+R17+R16*Coefficients!$C$76</f>
        <v>326219750.27283257</v>
      </c>
      <c r="S18" s="137">
        <f>S14+S15+S17+S16*Coefficients!$C$76</f>
        <v>333353595.44552267</v>
      </c>
      <c r="T18" s="137">
        <f>T14+T15+T17+T16*Coefficients!$C$76</f>
        <v>340487440.61821288</v>
      </c>
      <c r="U18" s="137">
        <f>U14+U15+U17+U16*Coefficients!$C$76</f>
        <v>347621285.79090297</v>
      </c>
      <c r="V18" s="137">
        <f>V14+V15+V17+V16*Coefficients!$C$76</f>
        <v>354755130.96359313</v>
      </c>
      <c r="W18" s="137">
        <f>W14+W15+W17+W16*Coefficients!$C$76</f>
        <v>361888976.13628328</v>
      </c>
      <c r="X18" s="137">
        <f>X14+X15+X17+X16*Coefficients!$C$76</f>
        <v>369022821.30897343</v>
      </c>
      <c r="Y18" s="137">
        <f>Y14+Y15+Y17+Y16*Coefficients!$C$76</f>
        <v>376156666.48166353</v>
      </c>
      <c r="Z18" s="137">
        <f>Z14+Z15+Z17+Z16*Coefficients!$C$76</f>
        <v>383290511.65435362</v>
      </c>
      <c r="AA18" s="137">
        <f>AA14+AA15+AA17+AA16*Coefficients!$C$76</f>
        <v>390424356.82704383</v>
      </c>
      <c r="AB18" s="137">
        <f>AB14+AB15+AB17+AB16*Coefficients!$C$76</f>
        <v>397558201.99973398</v>
      </c>
      <c r="AC18" s="137">
        <f>AC14+AC15+AC17+AC16*Coefficients!$C$76</f>
        <v>404692047.17242414</v>
      </c>
      <c r="AD18" s="137">
        <f>AD14+AD15+AD17+AD16*Coefficients!$C$76</f>
        <v>411825892.34511405</v>
      </c>
      <c r="AE18" s="138">
        <f>AE14+AE15+AE17+AE16*Coefficients!$C$76</f>
        <v>416760409.87368309</v>
      </c>
    </row>
    <row r="22" spans="2:31" x14ac:dyDescent="0.2">
      <c r="C22" s="51"/>
    </row>
    <row r="23" spans="2:31" x14ac:dyDescent="0.2">
      <c r="C23" s="51"/>
    </row>
    <row r="29" spans="2:31" x14ac:dyDescent="0.2">
      <c r="C29" s="51"/>
    </row>
  </sheetData>
  <mergeCells count="2">
    <mergeCell ref="B13:AE13"/>
    <mergeCell ref="B6:AE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1991-C1FB-324B-BABD-4541A90B08D9}">
  <dimension ref="B1:R15"/>
  <sheetViews>
    <sheetView zoomScale="160" zoomScaleNormal="160" workbookViewId="0">
      <selection activeCell="G15" sqref="G15"/>
    </sheetView>
  </sheetViews>
  <sheetFormatPr baseColWidth="10" defaultColWidth="8.83203125" defaultRowHeight="15" x14ac:dyDescent="0.2"/>
  <cols>
    <col min="1" max="1" width="3" style="1" customWidth="1"/>
    <col min="2" max="2" width="20.6640625" style="1" customWidth="1"/>
    <col min="3" max="3" width="27.6640625" style="1" customWidth="1"/>
    <col min="4" max="4" width="39.5" style="1" customWidth="1"/>
    <col min="5" max="5" width="13.5" style="1" customWidth="1"/>
    <col min="6" max="6" width="14.5" style="1" customWidth="1"/>
    <col min="7" max="7" width="13.6640625" style="1" customWidth="1"/>
    <col min="8" max="8" width="15.33203125" style="1" customWidth="1"/>
    <col min="9" max="9" width="14.1640625" style="1" customWidth="1"/>
    <col min="10" max="10" width="16.6640625" style="1" customWidth="1"/>
    <col min="11" max="11" width="16.33203125" style="1" customWidth="1"/>
    <col min="12" max="12" width="30.33203125" style="1" customWidth="1"/>
    <col min="13" max="14" width="14.6640625" style="1" customWidth="1"/>
    <col min="15" max="15" width="71.33203125" style="1" customWidth="1"/>
    <col min="16" max="16" width="11.5" style="37" customWidth="1"/>
    <col min="17" max="17" width="11.1640625" style="37" customWidth="1"/>
    <col min="18" max="18" width="17.1640625" style="1" customWidth="1"/>
    <col min="19" max="19" width="11.6640625" style="1" customWidth="1"/>
    <col min="20" max="16384" width="8.83203125" style="1"/>
  </cols>
  <sheetData>
    <row r="1" spans="2:18" ht="16" thickBot="1" x14ac:dyDescent="0.25"/>
    <row r="2" spans="2:18" s="3" customFormat="1" ht="49" thickBot="1" x14ac:dyDescent="0.25">
      <c r="B2" s="269" t="s">
        <v>1</v>
      </c>
      <c r="C2" s="91" t="s">
        <v>2</v>
      </c>
      <c r="D2" s="91" t="s">
        <v>3</v>
      </c>
      <c r="E2" s="91" t="s">
        <v>4</v>
      </c>
      <c r="F2" s="91" t="s">
        <v>5</v>
      </c>
      <c r="G2" s="91" t="s">
        <v>6</v>
      </c>
      <c r="H2" s="91" t="s">
        <v>7</v>
      </c>
      <c r="I2" s="91" t="s">
        <v>8</v>
      </c>
      <c r="J2" s="91" t="s">
        <v>9</v>
      </c>
      <c r="K2" s="91" t="s">
        <v>10</v>
      </c>
      <c r="L2" s="91" t="s">
        <v>11</v>
      </c>
      <c r="M2" s="91" t="s">
        <v>12</v>
      </c>
      <c r="N2" s="91" t="s">
        <v>13</v>
      </c>
      <c r="O2" s="92" t="s">
        <v>25</v>
      </c>
      <c r="P2" s="38"/>
      <c r="Q2" s="38"/>
    </row>
    <row r="3" spans="2:18" x14ac:dyDescent="0.2">
      <c r="B3" s="270" t="s">
        <v>14</v>
      </c>
      <c r="C3" s="271" t="s">
        <v>15</v>
      </c>
      <c r="D3" s="271" t="s">
        <v>16</v>
      </c>
      <c r="E3" s="272">
        <v>25.4</v>
      </c>
      <c r="F3" s="272">
        <v>20</v>
      </c>
      <c r="G3" s="272">
        <f>F3/0.16</f>
        <v>125</v>
      </c>
      <c r="H3" s="272">
        <f>G3/20</f>
        <v>6.25</v>
      </c>
      <c r="I3" s="272">
        <v>40</v>
      </c>
      <c r="J3" s="272">
        <f>(F3/E3)*I3</f>
        <v>31.496062992125985</v>
      </c>
      <c r="K3" s="272">
        <f>J3/0.16</f>
        <v>196.85039370078741</v>
      </c>
      <c r="L3" s="271" t="s">
        <v>17</v>
      </c>
      <c r="M3" s="273">
        <v>54.6</v>
      </c>
      <c r="N3" s="273">
        <v>21.5</v>
      </c>
      <c r="O3" s="112"/>
      <c r="R3" s="49"/>
    </row>
    <row r="4" spans="2:18" x14ac:dyDescent="0.2">
      <c r="B4" s="274" t="s">
        <v>14</v>
      </c>
      <c r="C4" s="1" t="s">
        <v>18</v>
      </c>
      <c r="D4" s="1" t="s">
        <v>19</v>
      </c>
      <c r="E4" s="275">
        <v>17.399999999999999</v>
      </c>
      <c r="F4" s="275">
        <v>15.3</v>
      </c>
      <c r="G4" s="275">
        <f>F4/0.16</f>
        <v>95.625</v>
      </c>
      <c r="H4" s="275">
        <f>G4/20</f>
        <v>4.78125</v>
      </c>
      <c r="I4" s="275">
        <v>25</v>
      </c>
      <c r="J4" s="275">
        <f>(F4/E4)*I4</f>
        <v>21.982758620689658</v>
      </c>
      <c r="K4" s="275">
        <f>J4/0.16</f>
        <v>137.39224137931035</v>
      </c>
      <c r="L4" s="1" t="s">
        <v>17</v>
      </c>
      <c r="M4" s="276">
        <v>35</v>
      </c>
      <c r="N4" s="276">
        <v>26.3</v>
      </c>
      <c r="O4" s="114" t="s">
        <v>358</v>
      </c>
      <c r="R4" s="49"/>
    </row>
    <row r="5" spans="2:18" x14ac:dyDescent="0.2">
      <c r="B5" s="274" t="s">
        <v>14</v>
      </c>
      <c r="C5" s="1" t="s">
        <v>20</v>
      </c>
      <c r="D5" s="1" t="s">
        <v>21</v>
      </c>
      <c r="E5" s="275">
        <v>5</v>
      </c>
      <c r="F5" s="275">
        <f>0.83*E5</f>
        <v>4.1499999999999995</v>
      </c>
      <c r="G5" s="275">
        <f>F5/0.16</f>
        <v>25.937499999999996</v>
      </c>
      <c r="H5" s="275">
        <f>G5/20</f>
        <v>1.2968749999999998</v>
      </c>
      <c r="I5" s="275">
        <v>10</v>
      </c>
      <c r="J5" s="275">
        <f>0.83*I5</f>
        <v>8.2999999999999989</v>
      </c>
      <c r="K5" s="275">
        <f>J5/0.16</f>
        <v>51.874999999999993</v>
      </c>
      <c r="L5" s="1" t="s">
        <v>22</v>
      </c>
      <c r="M5" s="276">
        <v>0</v>
      </c>
      <c r="N5" s="276">
        <v>16.3</v>
      </c>
      <c r="O5" s="114" t="s">
        <v>26</v>
      </c>
      <c r="R5" s="49"/>
    </row>
    <row r="6" spans="2:18" x14ac:dyDescent="0.2">
      <c r="B6" s="274" t="s">
        <v>27</v>
      </c>
      <c r="C6" s="1" t="s">
        <v>28</v>
      </c>
      <c r="D6" s="1" t="s">
        <v>150</v>
      </c>
      <c r="E6" s="275">
        <v>7.01</v>
      </c>
      <c r="F6" s="275">
        <v>4.21</v>
      </c>
      <c r="G6" s="275">
        <v>32.5</v>
      </c>
      <c r="H6" s="275">
        <v>1.625</v>
      </c>
      <c r="I6" s="275">
        <v>12.5</v>
      </c>
      <c r="J6" s="275">
        <v>7.5071326676176886</v>
      </c>
      <c r="K6" s="275">
        <v>62.559438896814072</v>
      </c>
      <c r="L6" s="1" t="s">
        <v>151</v>
      </c>
      <c r="M6" s="276">
        <v>20</v>
      </c>
      <c r="N6" s="276">
        <v>29.2</v>
      </c>
      <c r="O6" s="114"/>
    </row>
    <row r="7" spans="2:18" x14ac:dyDescent="0.2">
      <c r="B7" s="274" t="s">
        <v>29</v>
      </c>
      <c r="C7" s="1" t="s">
        <v>30</v>
      </c>
      <c r="D7" s="277" t="s">
        <v>162</v>
      </c>
      <c r="E7" s="278">
        <f>14+5+0.499</f>
        <v>19.498999999999999</v>
      </c>
      <c r="F7" s="278">
        <f t="shared" ref="F7" si="0">G7*0.19</f>
        <v>16.136986301369863</v>
      </c>
      <c r="G7" s="278">
        <f>31000/365</f>
        <v>84.93150684931507</v>
      </c>
      <c r="H7" s="278">
        <f t="shared" ref="H7" si="1">G7/20</f>
        <v>4.2465753424657535</v>
      </c>
      <c r="I7" s="278">
        <f>16+6+4</f>
        <v>26</v>
      </c>
      <c r="J7" s="278">
        <f t="shared" ref="J7" si="2">(F7/E7)*I7</f>
        <v>21.517085175425223</v>
      </c>
      <c r="K7" s="278">
        <f t="shared" ref="K7" si="3">J7/0.19</f>
        <v>113.24781671276433</v>
      </c>
      <c r="L7" s="277" t="s">
        <v>17</v>
      </c>
      <c r="M7" s="279">
        <v>42.2</v>
      </c>
      <c r="N7" s="279">
        <v>28.8</v>
      </c>
      <c r="O7" s="114" t="s">
        <v>356</v>
      </c>
    </row>
    <row r="8" spans="2:18" x14ac:dyDescent="0.2">
      <c r="B8" s="274" t="s">
        <v>29</v>
      </c>
      <c r="C8" s="1" t="s">
        <v>31</v>
      </c>
      <c r="D8" s="277" t="s">
        <v>161</v>
      </c>
      <c r="E8" s="278">
        <v>6</v>
      </c>
      <c r="F8" s="278">
        <f>G8*0.19</f>
        <v>3.8520547945205479</v>
      </c>
      <c r="G8" s="278">
        <f>7400/365</f>
        <v>20.273972602739725</v>
      </c>
      <c r="H8" s="278">
        <f>G8/20</f>
        <v>1.0136986301369864</v>
      </c>
      <c r="I8" s="278">
        <v>9</v>
      </c>
      <c r="J8" s="278">
        <f>(F8/E8)*I8</f>
        <v>5.7780821917808218</v>
      </c>
      <c r="K8" s="278">
        <f>J8/0.19</f>
        <v>30.410958904109588</v>
      </c>
      <c r="L8" s="277" t="s">
        <v>17</v>
      </c>
      <c r="M8" s="279">
        <v>37.700000000000003</v>
      </c>
      <c r="N8" s="279">
        <v>36</v>
      </c>
      <c r="O8" s="114"/>
    </row>
    <row r="9" spans="2:18" x14ac:dyDescent="0.2">
      <c r="B9" s="274" t="s">
        <v>29</v>
      </c>
      <c r="C9" s="1" t="s">
        <v>32</v>
      </c>
      <c r="D9" s="277" t="s">
        <v>163</v>
      </c>
      <c r="E9" s="278">
        <f>6+3</f>
        <v>9</v>
      </c>
      <c r="F9" s="278">
        <f t="shared" ref="F9" si="4">G9*0.19</f>
        <v>2.3424657534246576</v>
      </c>
      <c r="G9" s="278">
        <f>4500/365</f>
        <v>12.328767123287671</v>
      </c>
      <c r="H9" s="278">
        <f t="shared" ref="H9:H11" si="5">G9/20</f>
        <v>0.61643835616438358</v>
      </c>
      <c r="I9" s="278">
        <v>9</v>
      </c>
      <c r="J9" s="278">
        <f t="shared" ref="J9:J11" si="6">(F9/E9)*I9</f>
        <v>2.3424657534246576</v>
      </c>
      <c r="K9" s="278">
        <f t="shared" ref="K9:K11" si="7">J9/0.19</f>
        <v>12.328767123287671</v>
      </c>
      <c r="L9" s="277" t="s">
        <v>17</v>
      </c>
      <c r="M9" s="279">
        <v>51</v>
      </c>
      <c r="N9" s="279">
        <v>49.1</v>
      </c>
      <c r="O9" s="114" t="s">
        <v>357</v>
      </c>
    </row>
    <row r="10" spans="2:18" x14ac:dyDescent="0.2">
      <c r="B10" s="274" t="s">
        <v>29</v>
      </c>
      <c r="C10" s="1" t="s">
        <v>33</v>
      </c>
      <c r="D10" s="277" t="s">
        <v>164</v>
      </c>
      <c r="E10" s="278">
        <v>1.5</v>
      </c>
      <c r="F10" s="278">
        <f>G10*0.17</f>
        <v>1.0246575342465754</v>
      </c>
      <c r="G10" s="278">
        <f>2200/365</f>
        <v>6.0273972602739727</v>
      </c>
      <c r="H10" s="278">
        <f t="shared" si="5"/>
        <v>0.30136986301369861</v>
      </c>
      <c r="I10" s="278">
        <v>3.5</v>
      </c>
      <c r="J10" s="278">
        <f>(F10/E10)*I10</f>
        <v>2.3908675799086758</v>
      </c>
      <c r="K10" s="278">
        <f t="shared" si="7"/>
        <v>12.583513578466714</v>
      </c>
      <c r="L10" s="277" t="s">
        <v>17</v>
      </c>
      <c r="M10" s="279">
        <v>55</v>
      </c>
      <c r="N10" s="279">
        <v>21.1</v>
      </c>
      <c r="O10" s="114"/>
    </row>
    <row r="11" spans="2:18" x14ac:dyDescent="0.2">
      <c r="B11" s="274" t="s">
        <v>29</v>
      </c>
      <c r="C11" s="1" t="s">
        <v>34</v>
      </c>
      <c r="D11" s="277" t="s">
        <v>165</v>
      </c>
      <c r="E11" s="278">
        <v>7.8</v>
      </c>
      <c r="F11" s="278">
        <f>G11*0.17</f>
        <v>4.5643835616438357</v>
      </c>
      <c r="G11" s="278">
        <f>9800/365</f>
        <v>26.849315068493151</v>
      </c>
      <c r="H11" s="278">
        <f t="shared" si="5"/>
        <v>1.3424657534246576</v>
      </c>
      <c r="I11" s="278">
        <v>10</v>
      </c>
      <c r="J11" s="278">
        <f t="shared" si="6"/>
        <v>5.8517737969792769</v>
      </c>
      <c r="K11" s="278">
        <f t="shared" si="7"/>
        <v>30.798809457785669</v>
      </c>
      <c r="L11" s="277" t="s">
        <v>17</v>
      </c>
      <c r="M11" s="279">
        <v>48.3</v>
      </c>
      <c r="N11" s="279">
        <v>30.4</v>
      </c>
      <c r="O11" s="114"/>
    </row>
    <row r="12" spans="2:18" x14ac:dyDescent="0.2">
      <c r="B12" s="274" t="s">
        <v>219</v>
      </c>
      <c r="C12" s="1" t="s">
        <v>220</v>
      </c>
      <c r="D12" s="1" t="s">
        <v>221</v>
      </c>
      <c r="E12" s="275">
        <v>2.2959999999999998</v>
      </c>
      <c r="F12" s="275">
        <v>2.1882945205479452</v>
      </c>
      <c r="G12" s="275">
        <v>14.588630136986302</v>
      </c>
      <c r="H12" s="275">
        <v>0.72943150684931513</v>
      </c>
      <c r="I12" s="275">
        <v>3</v>
      </c>
      <c r="J12" s="275">
        <v>2.8592698439215316</v>
      </c>
      <c r="K12" s="275">
        <v>19.061798959476878</v>
      </c>
      <c r="L12" s="1" t="s">
        <v>222</v>
      </c>
      <c r="M12" s="276">
        <v>22.3</v>
      </c>
      <c r="N12" s="276">
        <v>37</v>
      </c>
      <c r="O12" s="114"/>
    </row>
    <row r="13" spans="2:18" ht="16" thickBot="1" x14ac:dyDescent="0.25">
      <c r="B13" s="280" t="s">
        <v>219</v>
      </c>
      <c r="C13" s="281" t="s">
        <v>223</v>
      </c>
      <c r="D13" s="281" t="s">
        <v>224</v>
      </c>
      <c r="E13" s="282">
        <v>2.5030000000000001</v>
      </c>
      <c r="F13" s="282">
        <v>2.0156547945205481</v>
      </c>
      <c r="G13" s="282">
        <v>13.437698630136987</v>
      </c>
      <c r="H13" s="282">
        <v>0.67188493150684936</v>
      </c>
      <c r="I13" s="282">
        <v>3.5</v>
      </c>
      <c r="J13" s="282">
        <v>2.8185344709636109</v>
      </c>
      <c r="K13" s="282">
        <v>18.790229806424072</v>
      </c>
      <c r="L13" s="281" t="s">
        <v>222</v>
      </c>
      <c r="M13" s="283">
        <v>24.3</v>
      </c>
      <c r="N13" s="283">
        <v>42</v>
      </c>
      <c r="O13" s="117"/>
    </row>
    <row r="14" spans="2:18" ht="16" thickBot="1" x14ac:dyDescent="0.25">
      <c r="G14" s="275">
        <f>SUM(G3:G13)</f>
        <v>457.49978767123281</v>
      </c>
    </row>
    <row r="15" spans="2:18" ht="16" thickBot="1" x14ac:dyDescent="0.25">
      <c r="C15" s="284" t="s">
        <v>23</v>
      </c>
      <c r="D15" s="285" t="s">
        <v>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7A2CD-1267-F241-A905-52E2838D1614}">
  <dimension ref="B1:O30"/>
  <sheetViews>
    <sheetView workbookViewId="0"/>
  </sheetViews>
  <sheetFormatPr baseColWidth="10" defaultRowHeight="16" x14ac:dyDescent="0.2"/>
  <cols>
    <col min="1" max="1" width="3.83203125" customWidth="1"/>
    <col min="2" max="2" width="13.83203125" customWidth="1"/>
    <col min="3" max="3" width="18.6640625" customWidth="1"/>
    <col min="4" max="4" width="15.83203125" customWidth="1"/>
    <col min="5" max="5" width="15.5" customWidth="1"/>
    <col min="7" max="7" width="14.83203125" customWidth="1"/>
    <col min="8" max="8" width="14.6640625" customWidth="1"/>
    <col min="11" max="11" width="17.5" customWidth="1"/>
    <col min="12" max="12" width="16" customWidth="1"/>
    <col min="13" max="13" width="12" customWidth="1"/>
    <col min="15" max="15" width="13" bestFit="1" customWidth="1"/>
  </cols>
  <sheetData>
    <row r="1" spans="2:15" ht="17" thickBot="1" x14ac:dyDescent="0.25"/>
    <row r="2" spans="2:15" ht="17" thickBot="1" x14ac:dyDescent="0.25">
      <c r="B2" s="73" t="s">
        <v>345</v>
      </c>
      <c r="C2" s="341" t="s">
        <v>14</v>
      </c>
      <c r="D2" s="341"/>
      <c r="E2" s="341"/>
      <c r="F2" s="341" t="s">
        <v>328</v>
      </c>
      <c r="G2" s="341"/>
      <c r="H2" s="341"/>
      <c r="I2" s="341"/>
      <c r="J2" s="341"/>
      <c r="K2" s="73" t="s">
        <v>27</v>
      </c>
      <c r="L2" s="341" t="s">
        <v>219</v>
      </c>
      <c r="M2" s="341"/>
      <c r="N2" s="73" t="s">
        <v>252</v>
      </c>
      <c r="O2" s="73"/>
    </row>
    <row r="3" spans="2:15" ht="17" thickBot="1" x14ac:dyDescent="0.25">
      <c r="B3" s="73" t="s">
        <v>57</v>
      </c>
      <c r="C3" s="73" t="s">
        <v>329</v>
      </c>
      <c r="D3" s="73" t="s">
        <v>330</v>
      </c>
      <c r="E3" s="73" t="s">
        <v>331</v>
      </c>
      <c r="F3" s="73" t="s">
        <v>332</v>
      </c>
      <c r="G3" s="73" t="s">
        <v>333</v>
      </c>
      <c r="H3" s="73" t="s">
        <v>334</v>
      </c>
      <c r="I3" s="73" t="s">
        <v>335</v>
      </c>
      <c r="J3" s="73" t="s">
        <v>336</v>
      </c>
      <c r="K3" s="73" t="s">
        <v>337</v>
      </c>
      <c r="L3" s="73" t="s">
        <v>338</v>
      </c>
      <c r="M3" s="73" t="s">
        <v>339</v>
      </c>
      <c r="N3" s="73" t="s">
        <v>343</v>
      </c>
      <c r="O3" s="73" t="s">
        <v>344</v>
      </c>
    </row>
    <row r="4" spans="2:15" x14ac:dyDescent="0.2">
      <c r="B4" s="93">
        <v>2024</v>
      </c>
      <c r="C4" s="361">
        <f>SUM(Sludge!G3:G13)</f>
        <v>457.49978767123281</v>
      </c>
      <c r="D4" s="362"/>
      <c r="E4" s="362"/>
      <c r="F4" s="362"/>
      <c r="G4" s="362"/>
      <c r="H4" s="362"/>
      <c r="I4" s="362"/>
      <c r="J4" s="362"/>
      <c r="K4" s="362"/>
      <c r="L4" s="362"/>
      <c r="M4" s="363"/>
      <c r="N4" s="263">
        <f>$C$4</f>
        <v>457.49978767123281</v>
      </c>
      <c r="O4" s="266">
        <v>1</v>
      </c>
    </row>
    <row r="5" spans="2:15" x14ac:dyDescent="0.2">
      <c r="B5" s="94">
        <v>2025</v>
      </c>
      <c r="C5" s="97">
        <v>129.35994930291508</v>
      </c>
      <c r="D5" s="4">
        <v>98.960361216730035</v>
      </c>
      <c r="E5" s="4">
        <v>26.842189480354875</v>
      </c>
      <c r="F5" s="4">
        <v>22.733770491803277</v>
      </c>
      <c r="G5" s="4">
        <v>95.236065573770503</v>
      </c>
      <c r="H5" s="4">
        <v>13.824590163934428</v>
      </c>
      <c r="I5" s="4">
        <v>6.7586885245901644</v>
      </c>
      <c r="J5" s="4">
        <v>30.106885245901644</v>
      </c>
      <c r="K5" s="4">
        <v>32.5</v>
      </c>
      <c r="L5" s="4">
        <v>24.090269130494711</v>
      </c>
      <c r="M5" s="98">
        <v>22.18973086950529</v>
      </c>
      <c r="N5" s="264">
        <f>SUM(C5:M5)</f>
        <v>502.60250000000008</v>
      </c>
      <c r="O5" s="267">
        <f t="shared" ref="O5:O30" si="0">N5/$C$4</f>
        <v>1.0985852093141928</v>
      </c>
    </row>
    <row r="6" spans="2:15" x14ac:dyDescent="0.2">
      <c r="B6" s="94">
        <v>2026</v>
      </c>
      <c r="C6" s="97">
        <v>130.28263624841571</v>
      </c>
      <c r="D6" s="4">
        <v>99.666216730038002</v>
      </c>
      <c r="E6" s="4">
        <v>27.033647021546255</v>
      </c>
      <c r="F6" s="4">
        <v>23.248670309653914</v>
      </c>
      <c r="G6" s="4">
        <v>97.393078324225883</v>
      </c>
      <c r="H6" s="4">
        <v>14.137704918032787</v>
      </c>
      <c r="I6" s="4">
        <v>6.91176684881603</v>
      </c>
      <c r="J6" s="4">
        <v>30.788779599271404</v>
      </c>
      <c r="K6" s="4">
        <v>32.5</v>
      </c>
      <c r="L6" s="4">
        <v>26.078705346538136</v>
      </c>
      <c r="M6" s="98">
        <v>24.021294653461865</v>
      </c>
      <c r="N6" s="264">
        <f t="shared" ref="N6:N30" si="1">SUM(C6:M6)</f>
        <v>512.0625</v>
      </c>
      <c r="O6" s="267">
        <f t="shared" si="0"/>
        <v>1.1192628145392209</v>
      </c>
    </row>
    <row r="7" spans="2:15" x14ac:dyDescent="0.2">
      <c r="B7" s="94">
        <v>2027</v>
      </c>
      <c r="C7" s="97">
        <v>131.20532319391637</v>
      </c>
      <c r="D7" s="4">
        <v>100.37207224334601</v>
      </c>
      <c r="E7" s="4">
        <v>27.225104562737641</v>
      </c>
      <c r="F7" s="4">
        <v>23.763570127504551</v>
      </c>
      <c r="G7" s="4">
        <v>99.550091074681248</v>
      </c>
      <c r="H7" s="4">
        <v>14.450819672131148</v>
      </c>
      <c r="I7" s="4">
        <v>7.0648451730418946</v>
      </c>
      <c r="J7" s="4">
        <v>31.470673952641167</v>
      </c>
      <c r="K7" s="4">
        <v>32.5</v>
      </c>
      <c r="L7" s="4">
        <v>28.067141562581565</v>
      </c>
      <c r="M7" s="98">
        <v>25.852858437418437</v>
      </c>
      <c r="N7" s="264">
        <f t="shared" si="1"/>
        <v>521.52250000000004</v>
      </c>
      <c r="O7" s="267">
        <f t="shared" si="0"/>
        <v>1.1399404197642493</v>
      </c>
    </row>
    <row r="8" spans="2:15" x14ac:dyDescent="0.2">
      <c r="B8" s="94">
        <v>2028</v>
      </c>
      <c r="C8" s="97">
        <v>132.12801013941697</v>
      </c>
      <c r="D8" s="4">
        <v>101.07792775665396</v>
      </c>
      <c r="E8" s="4">
        <v>27.416562103929014</v>
      </c>
      <c r="F8" s="4">
        <v>24.278469945355187</v>
      </c>
      <c r="G8" s="4">
        <v>101.70710382513661</v>
      </c>
      <c r="H8" s="4">
        <v>14.763934426229508</v>
      </c>
      <c r="I8" s="4">
        <v>7.2179234972677593</v>
      </c>
      <c r="J8" s="4">
        <v>32.152568306010927</v>
      </c>
      <c r="K8" s="4">
        <v>32.5</v>
      </c>
      <c r="L8" s="4">
        <v>30.05557777862499</v>
      </c>
      <c r="M8" s="98">
        <v>27.684422221375012</v>
      </c>
      <c r="N8" s="264">
        <f t="shared" si="1"/>
        <v>530.98249999999996</v>
      </c>
      <c r="O8" s="267">
        <f t="shared" si="0"/>
        <v>1.1606180249892772</v>
      </c>
    </row>
    <row r="9" spans="2:15" x14ac:dyDescent="0.2">
      <c r="B9" s="94">
        <v>2029</v>
      </c>
      <c r="C9" s="97">
        <v>133.05069708491763</v>
      </c>
      <c r="D9" s="4">
        <v>101.78378326996197</v>
      </c>
      <c r="E9" s="4">
        <v>27.6080196451204</v>
      </c>
      <c r="F9" s="4">
        <v>24.793369763205824</v>
      </c>
      <c r="G9" s="4">
        <v>103.86411657559199</v>
      </c>
      <c r="H9" s="4">
        <v>15.077049180327867</v>
      </c>
      <c r="I9" s="4">
        <v>7.3710018214936248</v>
      </c>
      <c r="J9" s="4">
        <v>32.834462659380691</v>
      </c>
      <c r="K9" s="4">
        <v>32.5</v>
      </c>
      <c r="L9" s="4">
        <v>32.044013994668418</v>
      </c>
      <c r="M9" s="98">
        <v>29.515986005331584</v>
      </c>
      <c r="N9" s="264">
        <f t="shared" si="1"/>
        <v>540.4425</v>
      </c>
      <c r="O9" s="267">
        <f t="shared" si="0"/>
        <v>1.1812956302143056</v>
      </c>
    </row>
    <row r="10" spans="2:15" x14ac:dyDescent="0.2">
      <c r="B10" s="94">
        <v>2030</v>
      </c>
      <c r="C10" s="97">
        <v>133.97338403041826</v>
      </c>
      <c r="D10" s="4">
        <v>102.48963878326995</v>
      </c>
      <c r="E10" s="4">
        <v>27.799477186311783</v>
      </c>
      <c r="F10" s="4">
        <v>25.308269581056464</v>
      </c>
      <c r="G10" s="4">
        <v>106.02112932604737</v>
      </c>
      <c r="H10" s="4">
        <v>15.39016393442623</v>
      </c>
      <c r="I10" s="4">
        <v>7.5240801457194904</v>
      </c>
      <c r="J10" s="4">
        <v>33.516357012750461</v>
      </c>
      <c r="K10" s="4">
        <v>32.5</v>
      </c>
      <c r="L10" s="4">
        <v>33.355757257608062</v>
      </c>
      <c r="M10" s="98">
        <v>30.72424274239194</v>
      </c>
      <c r="N10" s="264">
        <f t="shared" si="1"/>
        <v>548.60250000000008</v>
      </c>
      <c r="O10" s="267">
        <f t="shared" si="0"/>
        <v>1.199131704065916</v>
      </c>
    </row>
    <row r="11" spans="2:15" x14ac:dyDescent="0.2">
      <c r="B11" s="94">
        <v>2031</v>
      </c>
      <c r="C11" s="97">
        <v>134.510773130545</v>
      </c>
      <c r="D11" s="4">
        <v>102.90074144486691</v>
      </c>
      <c r="E11" s="4">
        <v>27.91098542458808</v>
      </c>
      <c r="F11" s="4">
        <v>25.647941712204009</v>
      </c>
      <c r="G11" s="4">
        <v>107.44408014571951</v>
      </c>
      <c r="H11" s="4">
        <v>15.596721311475411</v>
      </c>
      <c r="I11" s="4">
        <v>7.6250637522768683</v>
      </c>
      <c r="J11" s="4">
        <v>33.966193078324231</v>
      </c>
      <c r="K11" s="4">
        <v>32.5</v>
      </c>
      <c r="L11" s="4">
        <v>34.667500520547698</v>
      </c>
      <c r="M11" s="98">
        <v>31.932499479452296</v>
      </c>
      <c r="N11" s="264">
        <f t="shared" si="1"/>
        <v>554.70249999999999</v>
      </c>
      <c r="O11" s="267">
        <f t="shared" si="0"/>
        <v>1.2124650435873399</v>
      </c>
    </row>
    <row r="12" spans="2:15" x14ac:dyDescent="0.2">
      <c r="B12" s="94">
        <v>2032</v>
      </c>
      <c r="C12" s="97">
        <v>135.04816223067175</v>
      </c>
      <c r="D12" s="4">
        <v>103.31184410646387</v>
      </c>
      <c r="E12" s="4">
        <v>28.022493662864381</v>
      </c>
      <c r="F12" s="4">
        <v>25.98761384335155</v>
      </c>
      <c r="G12" s="4">
        <v>108.86703096539165</v>
      </c>
      <c r="H12" s="4">
        <v>15.803278688524593</v>
      </c>
      <c r="I12" s="4">
        <v>7.7260473588342453</v>
      </c>
      <c r="J12" s="4">
        <v>34.416029143898001</v>
      </c>
      <c r="K12" s="4">
        <v>32.5</v>
      </c>
      <c r="L12" s="4">
        <v>35.979243783487341</v>
      </c>
      <c r="M12" s="98">
        <v>33.140756216512649</v>
      </c>
      <c r="N12" s="264">
        <f t="shared" si="1"/>
        <v>560.80250000000001</v>
      </c>
      <c r="O12" s="267">
        <f t="shared" si="0"/>
        <v>1.225798383108764</v>
      </c>
    </row>
    <row r="13" spans="2:15" x14ac:dyDescent="0.2">
      <c r="B13" s="94">
        <v>2033</v>
      </c>
      <c r="C13" s="97">
        <v>135.58555133079849</v>
      </c>
      <c r="D13" s="4">
        <v>103.72294676806084</v>
      </c>
      <c r="E13" s="4">
        <v>28.134001901140682</v>
      </c>
      <c r="F13" s="4">
        <v>26.327285974499091</v>
      </c>
      <c r="G13" s="4">
        <v>110.28998178506379</v>
      </c>
      <c r="H13" s="4">
        <v>16.009836065573772</v>
      </c>
      <c r="I13" s="4">
        <v>7.8270309653916232</v>
      </c>
      <c r="J13" s="4">
        <v>34.865865209471778</v>
      </c>
      <c r="K13" s="4">
        <v>32.5</v>
      </c>
      <c r="L13" s="4">
        <v>37.290987046426977</v>
      </c>
      <c r="M13" s="98">
        <v>34.349012953573009</v>
      </c>
      <c r="N13" s="264">
        <f t="shared" si="1"/>
        <v>566.90250000000003</v>
      </c>
      <c r="O13" s="267">
        <f t="shared" si="0"/>
        <v>1.2391317226301881</v>
      </c>
    </row>
    <row r="14" spans="2:15" x14ac:dyDescent="0.2">
      <c r="B14" s="94">
        <v>2034</v>
      </c>
      <c r="C14" s="97">
        <v>136.12294043092524</v>
      </c>
      <c r="D14" s="4">
        <v>104.13404942965779</v>
      </c>
      <c r="E14" s="4">
        <v>28.245510139416979</v>
      </c>
      <c r="F14" s="4">
        <v>26.666958105646636</v>
      </c>
      <c r="G14" s="4">
        <v>111.71293260473593</v>
      </c>
      <c r="H14" s="4">
        <v>16.216393442622955</v>
      </c>
      <c r="I14" s="4">
        <v>7.9280145719490003</v>
      </c>
      <c r="J14" s="4">
        <v>35.315701275045548</v>
      </c>
      <c r="K14" s="4">
        <v>32.5</v>
      </c>
      <c r="L14" s="4">
        <v>38.602730309366621</v>
      </c>
      <c r="M14" s="98">
        <v>35.557269690633362</v>
      </c>
      <c r="N14" s="264">
        <f t="shared" si="1"/>
        <v>573.00250000000005</v>
      </c>
      <c r="O14" s="267">
        <f t="shared" si="0"/>
        <v>1.2524650621516122</v>
      </c>
    </row>
    <row r="15" spans="2:15" x14ac:dyDescent="0.2">
      <c r="B15" s="94">
        <v>2035</v>
      </c>
      <c r="C15" s="97">
        <v>136.66032953105199</v>
      </c>
      <c r="D15" s="4">
        <v>104.54515209125475</v>
      </c>
      <c r="E15" s="4">
        <v>28.357018377693279</v>
      </c>
      <c r="F15" s="4">
        <v>27.00663023679417</v>
      </c>
      <c r="G15" s="4">
        <v>113.13588342440802</v>
      </c>
      <c r="H15" s="4">
        <v>16.422950819672131</v>
      </c>
      <c r="I15" s="4">
        <v>8.0289981785063755</v>
      </c>
      <c r="J15" s="4">
        <v>35.765537340619311</v>
      </c>
      <c r="K15" s="4">
        <v>32.5</v>
      </c>
      <c r="L15" s="4">
        <v>39.914473572306264</v>
      </c>
      <c r="M15" s="98">
        <v>36.765526427693715</v>
      </c>
      <c r="N15" s="264">
        <f t="shared" si="1"/>
        <v>579.10249999999996</v>
      </c>
      <c r="O15" s="267">
        <f t="shared" si="0"/>
        <v>1.2657984016730364</v>
      </c>
    </row>
    <row r="16" spans="2:15" x14ac:dyDescent="0.2">
      <c r="B16" s="94">
        <v>2036</v>
      </c>
      <c r="C16" s="97">
        <v>136.84283903675541</v>
      </c>
      <c r="D16" s="4">
        <v>104.68477186311787</v>
      </c>
      <c r="E16" s="4">
        <v>28.39488910012674</v>
      </c>
      <c r="F16" s="4">
        <v>27.224990892531874</v>
      </c>
      <c r="G16" s="4">
        <v>114.05063752276868</v>
      </c>
      <c r="H16" s="4">
        <v>16.555737704918034</v>
      </c>
      <c r="I16" s="4">
        <v>8.0939162112932603</v>
      </c>
      <c r="J16" s="4">
        <v>36.054717668488166</v>
      </c>
      <c r="K16" s="4">
        <v>32.5</v>
      </c>
      <c r="L16" s="4">
        <v>40.757737098481748</v>
      </c>
      <c r="M16" s="98">
        <v>37.542262901518235</v>
      </c>
      <c r="N16" s="264">
        <f t="shared" si="1"/>
        <v>582.70249999999999</v>
      </c>
      <c r="O16" s="267">
        <f t="shared" si="0"/>
        <v>1.2736672577840407</v>
      </c>
    </row>
    <row r="17" spans="2:15" x14ac:dyDescent="0.2">
      <c r="B17" s="94">
        <v>2037</v>
      </c>
      <c r="C17" s="97">
        <v>137.02534854245883</v>
      </c>
      <c r="D17" s="4">
        <v>104.824391634981</v>
      </c>
      <c r="E17" s="4">
        <v>28.432759822560204</v>
      </c>
      <c r="F17" s="4">
        <v>27.443351548269579</v>
      </c>
      <c r="G17" s="4">
        <v>114.96539162112934</v>
      </c>
      <c r="H17" s="4">
        <v>16.688524590163937</v>
      </c>
      <c r="I17" s="4">
        <v>8.1588342440801469</v>
      </c>
      <c r="J17" s="4">
        <v>36.343897996357015</v>
      </c>
      <c r="K17" s="4">
        <v>32.5</v>
      </c>
      <c r="L17" s="4">
        <v>41.601000624657239</v>
      </c>
      <c r="M17" s="98">
        <v>38.318999375342749</v>
      </c>
      <c r="N17" s="264">
        <f t="shared" si="1"/>
        <v>586.30250000000001</v>
      </c>
      <c r="O17" s="267">
        <f t="shared" si="0"/>
        <v>1.2815361138950452</v>
      </c>
    </row>
    <row r="18" spans="2:15" x14ac:dyDescent="0.2">
      <c r="B18" s="94">
        <v>2038</v>
      </c>
      <c r="C18" s="97">
        <v>137.20785804816225</v>
      </c>
      <c r="D18" s="4">
        <v>104.96401140684412</v>
      </c>
      <c r="E18" s="4">
        <v>28.470630544993664</v>
      </c>
      <c r="F18" s="4">
        <v>27.661712204007287</v>
      </c>
      <c r="G18" s="4">
        <v>115.88014571949</v>
      </c>
      <c r="H18" s="4">
        <v>16.821311475409839</v>
      </c>
      <c r="I18" s="4">
        <v>8.2237522768670317</v>
      </c>
      <c r="J18" s="4">
        <v>36.63307832422587</v>
      </c>
      <c r="K18" s="4">
        <v>32.5</v>
      </c>
      <c r="L18" s="4">
        <v>42.444264150832723</v>
      </c>
      <c r="M18" s="98">
        <v>39.095735849167269</v>
      </c>
      <c r="N18" s="264">
        <f t="shared" si="1"/>
        <v>589.90250000000003</v>
      </c>
      <c r="O18" s="267">
        <f t="shared" si="0"/>
        <v>1.2894049700060497</v>
      </c>
    </row>
    <row r="19" spans="2:15" x14ac:dyDescent="0.2">
      <c r="B19" s="94">
        <v>2039</v>
      </c>
      <c r="C19" s="97">
        <v>137.3903675538657</v>
      </c>
      <c r="D19" s="4">
        <v>105.10363117870725</v>
      </c>
      <c r="E19" s="4">
        <v>28.508501267427125</v>
      </c>
      <c r="F19" s="4">
        <v>27.880072859744992</v>
      </c>
      <c r="G19" s="4">
        <v>116.79489981785066</v>
      </c>
      <c r="H19" s="4">
        <v>16.954098360655738</v>
      </c>
      <c r="I19" s="4">
        <v>8.2886703096539183</v>
      </c>
      <c r="J19" s="4">
        <v>36.922258652094726</v>
      </c>
      <c r="K19" s="4">
        <v>32.5</v>
      </c>
      <c r="L19" s="4">
        <v>43.287527677008214</v>
      </c>
      <c r="M19" s="98">
        <v>39.872472322991783</v>
      </c>
      <c r="N19" s="264">
        <f t="shared" si="1"/>
        <v>593.50250000000017</v>
      </c>
      <c r="O19" s="267">
        <f t="shared" si="0"/>
        <v>1.2972738261170544</v>
      </c>
    </row>
    <row r="20" spans="2:15" x14ac:dyDescent="0.2">
      <c r="B20" s="94">
        <v>2040</v>
      </c>
      <c r="C20" s="97">
        <v>137.57287705956907</v>
      </c>
      <c r="D20" s="4">
        <v>105.24325095057031</v>
      </c>
      <c r="E20" s="4">
        <v>28.546371989860575</v>
      </c>
      <c r="F20" s="4">
        <v>28.098433515482693</v>
      </c>
      <c r="G20" s="4">
        <v>117.70965391621131</v>
      </c>
      <c r="H20" s="4">
        <v>17.086885245901641</v>
      </c>
      <c r="I20" s="4">
        <v>8.3535883424408013</v>
      </c>
      <c r="J20" s="4">
        <v>37.211438979963575</v>
      </c>
      <c r="K20" s="4">
        <v>32.5</v>
      </c>
      <c r="L20" s="4">
        <v>44.130791203183698</v>
      </c>
      <c r="M20" s="98">
        <v>40.649208796816303</v>
      </c>
      <c r="N20" s="264">
        <f t="shared" si="1"/>
        <v>597.10249999999996</v>
      </c>
      <c r="O20" s="267">
        <f t="shared" si="0"/>
        <v>1.3051426822280583</v>
      </c>
    </row>
    <row r="21" spans="2:15" x14ac:dyDescent="0.2">
      <c r="B21" s="94">
        <v>2041</v>
      </c>
      <c r="C21" s="97">
        <v>137.78580481622308</v>
      </c>
      <c r="D21" s="4">
        <v>105.40614068441063</v>
      </c>
      <c r="E21" s="4">
        <v>28.590554499366281</v>
      </c>
      <c r="F21" s="4">
        <v>28.297923497267757</v>
      </c>
      <c r="G21" s="4">
        <v>118.54535519125683</v>
      </c>
      <c r="H21" s="4">
        <v>17.208196721311474</v>
      </c>
      <c r="I21" s="4">
        <v>8.4128961748633877</v>
      </c>
      <c r="J21" s="4">
        <v>37.475628415300548</v>
      </c>
      <c r="K21" s="4">
        <v>32.5</v>
      </c>
      <c r="L21" s="4">
        <v>44.901180103640314</v>
      </c>
      <c r="M21" s="98">
        <v>41.358819896359691</v>
      </c>
      <c r="N21" s="264">
        <f t="shared" si="1"/>
        <v>600.48249999999996</v>
      </c>
      <c r="O21" s="267">
        <f t="shared" si="0"/>
        <v>1.3125306637989458</v>
      </c>
    </row>
    <row r="22" spans="2:15" x14ac:dyDescent="0.2">
      <c r="B22" s="94">
        <v>2042</v>
      </c>
      <c r="C22" s="97">
        <v>137.99873257287706</v>
      </c>
      <c r="D22" s="4">
        <v>105.56903041825095</v>
      </c>
      <c r="E22" s="4">
        <v>28.634737008871983</v>
      </c>
      <c r="F22" s="4">
        <v>28.497413479052817</v>
      </c>
      <c r="G22" s="4">
        <v>119.38105646630237</v>
      </c>
      <c r="H22" s="4">
        <v>17.32950819672131</v>
      </c>
      <c r="I22" s="4">
        <v>8.4722040072859741</v>
      </c>
      <c r="J22" s="4">
        <v>37.739817850637522</v>
      </c>
      <c r="K22" s="4">
        <v>32.5</v>
      </c>
      <c r="L22" s="4">
        <v>45.671569004096931</v>
      </c>
      <c r="M22" s="98">
        <v>42.068430995903078</v>
      </c>
      <c r="N22" s="264">
        <f t="shared" si="1"/>
        <v>603.86249999999995</v>
      </c>
      <c r="O22" s="267">
        <f t="shared" si="0"/>
        <v>1.3199186453698333</v>
      </c>
    </row>
    <row r="23" spans="2:15" x14ac:dyDescent="0.2">
      <c r="B23" s="94">
        <v>2043</v>
      </c>
      <c r="C23" s="97">
        <v>138.21166032953104</v>
      </c>
      <c r="D23" s="4">
        <v>105.73192015209123</v>
      </c>
      <c r="E23" s="4">
        <v>28.678919518377683</v>
      </c>
      <c r="F23" s="4">
        <v>28.696903460837881</v>
      </c>
      <c r="G23" s="4">
        <v>120.21675774134791</v>
      </c>
      <c r="H23" s="4">
        <v>17.450819672131146</v>
      </c>
      <c r="I23" s="4">
        <v>8.5315118397085605</v>
      </c>
      <c r="J23" s="4">
        <v>38.004007285974495</v>
      </c>
      <c r="K23" s="4">
        <v>32.5</v>
      </c>
      <c r="L23" s="4">
        <v>46.441957904553547</v>
      </c>
      <c r="M23" s="98">
        <v>42.778042095446466</v>
      </c>
      <c r="N23" s="264">
        <f t="shared" si="1"/>
        <v>607.24249999999995</v>
      </c>
      <c r="O23" s="267">
        <f t="shared" si="0"/>
        <v>1.3273066269407208</v>
      </c>
    </row>
    <row r="24" spans="2:15" x14ac:dyDescent="0.2">
      <c r="B24" s="94">
        <v>2044</v>
      </c>
      <c r="C24" s="97">
        <v>138.424588086185</v>
      </c>
      <c r="D24" s="4">
        <v>105.89480988593152</v>
      </c>
      <c r="E24" s="4">
        <v>28.723102027883382</v>
      </c>
      <c r="F24" s="4">
        <v>28.896393442622944</v>
      </c>
      <c r="G24" s="4">
        <v>121.05245901639343</v>
      </c>
      <c r="H24" s="4">
        <v>17.572131147540979</v>
      </c>
      <c r="I24" s="4">
        <v>8.5908196721311469</v>
      </c>
      <c r="J24" s="4">
        <v>38.268196721311469</v>
      </c>
      <c r="K24" s="4">
        <v>32.5</v>
      </c>
      <c r="L24" s="4">
        <v>47.212346805010171</v>
      </c>
      <c r="M24" s="98">
        <v>43.487653194989846</v>
      </c>
      <c r="N24" s="264">
        <f t="shared" si="1"/>
        <v>610.62249999999995</v>
      </c>
      <c r="O24" s="267">
        <f t="shared" si="0"/>
        <v>1.3346946085116083</v>
      </c>
    </row>
    <row r="25" spans="2:15" x14ac:dyDescent="0.2">
      <c r="B25" s="94">
        <v>2045</v>
      </c>
      <c r="C25" s="97">
        <v>138.63751584283904</v>
      </c>
      <c r="D25" s="4">
        <v>106.05769961977185</v>
      </c>
      <c r="E25" s="4">
        <v>28.767284537389095</v>
      </c>
      <c r="F25" s="4">
        <v>29.095883424408012</v>
      </c>
      <c r="G25" s="4">
        <v>121.88816029143899</v>
      </c>
      <c r="H25" s="4">
        <v>17.693442622950819</v>
      </c>
      <c r="I25" s="4">
        <v>8.6501275045537351</v>
      </c>
      <c r="J25" s="4">
        <v>38.532386156648457</v>
      </c>
      <c r="K25" s="4">
        <v>32.5</v>
      </c>
      <c r="L25" s="4">
        <v>47.982735705466787</v>
      </c>
      <c r="M25" s="98">
        <v>44.197264294533234</v>
      </c>
      <c r="N25" s="264">
        <f t="shared" si="1"/>
        <v>614.00250000000005</v>
      </c>
      <c r="O25" s="267">
        <f t="shared" si="0"/>
        <v>1.342082590082496</v>
      </c>
    </row>
    <row r="26" spans="2:15" x14ac:dyDescent="0.2">
      <c r="B26" s="94">
        <v>2046</v>
      </c>
      <c r="C26" s="97">
        <v>138.85044359949302</v>
      </c>
      <c r="D26" s="4">
        <v>106.22058935361214</v>
      </c>
      <c r="E26" s="4">
        <v>28.811467046894794</v>
      </c>
      <c r="F26" s="4">
        <v>29.295373406193075</v>
      </c>
      <c r="G26" s="4">
        <v>122.72386156648453</v>
      </c>
      <c r="H26" s="4">
        <v>17.814754098360655</v>
      </c>
      <c r="I26" s="4">
        <v>8.7094353369763216</v>
      </c>
      <c r="J26" s="4">
        <v>38.79657559198543</v>
      </c>
      <c r="K26" s="4">
        <v>32.5</v>
      </c>
      <c r="L26" s="4">
        <v>48.753124605923404</v>
      </c>
      <c r="M26" s="98">
        <v>44.906875394076621</v>
      </c>
      <c r="N26" s="264">
        <f t="shared" si="1"/>
        <v>617.38249999999994</v>
      </c>
      <c r="O26" s="267">
        <f t="shared" si="0"/>
        <v>1.349470571653383</v>
      </c>
    </row>
    <row r="27" spans="2:15" x14ac:dyDescent="0.2">
      <c r="B27" s="94">
        <v>2047</v>
      </c>
      <c r="C27" s="97">
        <v>139.063371356147</v>
      </c>
      <c r="D27" s="4">
        <v>106.38347908745244</v>
      </c>
      <c r="E27" s="4">
        <v>28.855649556400497</v>
      </c>
      <c r="F27" s="4">
        <v>29.494863387978139</v>
      </c>
      <c r="G27" s="4">
        <v>123.55956284153005</v>
      </c>
      <c r="H27" s="4">
        <v>17.936065573770492</v>
      </c>
      <c r="I27" s="4">
        <v>8.7687431693989062</v>
      </c>
      <c r="J27" s="4">
        <v>39.060765027322404</v>
      </c>
      <c r="K27" s="4">
        <v>32.5</v>
      </c>
      <c r="L27" s="4">
        <v>49.52351350638002</v>
      </c>
      <c r="M27" s="98">
        <v>45.616486493620009</v>
      </c>
      <c r="N27" s="264">
        <f t="shared" si="1"/>
        <v>620.76249999999993</v>
      </c>
      <c r="O27" s="267">
        <f t="shared" si="0"/>
        <v>1.3568585532242705</v>
      </c>
    </row>
    <row r="28" spans="2:15" x14ac:dyDescent="0.2">
      <c r="B28" s="94">
        <v>2048</v>
      </c>
      <c r="C28" s="97">
        <v>139.27629911280101</v>
      </c>
      <c r="D28" s="4">
        <v>106.54636882129276</v>
      </c>
      <c r="E28" s="4">
        <v>28.899832065906203</v>
      </c>
      <c r="F28" s="4">
        <v>29.694353369763199</v>
      </c>
      <c r="G28" s="4">
        <v>124.39526411657559</v>
      </c>
      <c r="H28" s="4">
        <v>18.057377049180324</v>
      </c>
      <c r="I28" s="4">
        <v>8.8280510018214926</v>
      </c>
      <c r="J28" s="4">
        <v>39.324954462659377</v>
      </c>
      <c r="K28" s="4">
        <v>32.5</v>
      </c>
      <c r="L28" s="4">
        <v>50.293902406836636</v>
      </c>
      <c r="M28" s="98">
        <v>46.326097593163396</v>
      </c>
      <c r="N28" s="264">
        <f t="shared" si="1"/>
        <v>624.14249999999993</v>
      </c>
      <c r="O28" s="267">
        <f t="shared" si="0"/>
        <v>1.364246534795158</v>
      </c>
    </row>
    <row r="29" spans="2:15" x14ac:dyDescent="0.2">
      <c r="B29" s="94">
        <v>2049</v>
      </c>
      <c r="C29" s="97">
        <v>139.48922686945497</v>
      </c>
      <c r="D29" s="4">
        <v>106.70925855513305</v>
      </c>
      <c r="E29" s="4">
        <v>28.944014575411902</v>
      </c>
      <c r="F29" s="4">
        <v>29.893843351548263</v>
      </c>
      <c r="G29" s="4">
        <v>125.23096539162113</v>
      </c>
      <c r="H29" s="4">
        <v>18.178688524590161</v>
      </c>
      <c r="I29" s="4">
        <v>8.887358834244079</v>
      </c>
      <c r="J29" s="4">
        <v>39.589143897996351</v>
      </c>
      <c r="K29" s="4">
        <v>32.5</v>
      </c>
      <c r="L29" s="4">
        <v>51.064291307293253</v>
      </c>
      <c r="M29" s="98">
        <v>47.035708692706784</v>
      </c>
      <c r="N29" s="264">
        <f t="shared" si="1"/>
        <v>627.52249999999992</v>
      </c>
      <c r="O29" s="267">
        <f t="shared" si="0"/>
        <v>1.3716345163660455</v>
      </c>
    </row>
    <row r="30" spans="2:15" ht="17" thickBot="1" x14ac:dyDescent="0.25">
      <c r="B30" s="81">
        <v>2050</v>
      </c>
      <c r="C30" s="260">
        <v>139.70215462610901</v>
      </c>
      <c r="D30" s="261">
        <v>106.87214828897338</v>
      </c>
      <c r="E30" s="261">
        <v>28.988197084917616</v>
      </c>
      <c r="F30" s="261">
        <v>30.093333333333334</v>
      </c>
      <c r="G30" s="261">
        <v>126.06666666666669</v>
      </c>
      <c r="H30" s="261">
        <v>18.3</v>
      </c>
      <c r="I30" s="261">
        <v>8.9466666666666672</v>
      </c>
      <c r="J30" s="261">
        <v>39.853333333333339</v>
      </c>
      <c r="K30" s="261">
        <v>32.5</v>
      </c>
      <c r="L30" s="261">
        <v>51.834680207749877</v>
      </c>
      <c r="M30" s="262">
        <v>47.745319792250164</v>
      </c>
      <c r="N30" s="265">
        <f t="shared" si="1"/>
        <v>630.90250000000015</v>
      </c>
      <c r="O30" s="268">
        <f t="shared" si="0"/>
        <v>1.3790224979369334</v>
      </c>
    </row>
  </sheetData>
  <mergeCells count="4">
    <mergeCell ref="C4:M4"/>
    <mergeCell ref="L2:M2"/>
    <mergeCell ref="C2:E2"/>
    <mergeCell ref="F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EmissionsSummary</vt:lpstr>
      <vt:lpstr>EmissionsAll</vt:lpstr>
      <vt:lpstr>Biosolids</vt:lpstr>
      <vt:lpstr>Transportation</vt:lpstr>
      <vt:lpstr>Plant</vt:lpstr>
      <vt:lpstr>Construction</vt:lpstr>
      <vt:lpstr>LandfillCap</vt:lpstr>
      <vt:lpstr>Sludge</vt:lpstr>
      <vt:lpstr>GrowthFactors</vt:lpstr>
      <vt:lpstr>Coefficients</vt:lpstr>
      <vt:lpstr>Bibliography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Danis</dc:creator>
  <cp:lastModifiedBy>kylie mccord</cp:lastModifiedBy>
  <dcterms:created xsi:type="dcterms:W3CDTF">2024-03-05T16:09:56Z</dcterms:created>
  <dcterms:modified xsi:type="dcterms:W3CDTF">2024-03-28T21:29:57Z</dcterms:modified>
</cp:coreProperties>
</file>