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filterPrivacy="1" codeName="ThisWorkbook" defaultThemeVersion="166925"/>
  <xr:revisionPtr revIDLastSave="0" documentId="13_ncr:1_{D0A7CCD7-DC84-4D85-A967-80435A3EC483}" xr6:coauthVersionLast="45" xr6:coauthVersionMax="45" xr10:uidLastSave="{00000000-0000-0000-0000-000000000000}"/>
  <bookViews>
    <workbookView xWindow="-108" yWindow="-108" windowWidth="23256" windowHeight="12576" tabRatio="979" xr2:uid="{AAC398A2-E95D-4231-A920-55B8B1C73F3F}"/>
  </bookViews>
  <sheets>
    <sheet name="Consolidated Budget" sheetId="30" r:id="rId1"/>
    <sheet name="Seminole County" sheetId="16" r:id="rId2"/>
    <sheet name="Biosolids Facility" sheetId="27" r:id="rId3"/>
    <sheet name="Landfill Geomembrane" sheetId="28" r:id="rId4"/>
    <sheet name="UCF Evaluation" sheetId="29" r:id="rId5"/>
  </sheets>
  <definedNames>
    <definedName name="_xlnm._FilterDatabase" localSheetId="2" hidden="1">'Biosolids Facility'!#REF!</definedName>
    <definedName name="_xlnm._FilterDatabase" localSheetId="0" hidden="1">'Consolidated Budget'!#REF!</definedName>
    <definedName name="_xlnm._FilterDatabase" localSheetId="3" hidden="1">'Landfill Geomembrane'!#REF!</definedName>
    <definedName name="_xlnm._FilterDatabase" localSheetId="1" hidden="1">'Seminole County'!#REF!</definedName>
    <definedName name="_xlnm._FilterDatabase" localSheetId="4" hidden="1">'UCF Evaluation'!#REF!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30" l="1"/>
  <c r="C13" i="30"/>
  <c r="C11" i="30"/>
  <c r="C10" i="30"/>
  <c r="C9" i="30"/>
  <c r="C8" i="30"/>
  <c r="G7" i="30"/>
  <c r="F7" i="30"/>
  <c r="E7" i="30"/>
  <c r="D7" i="30"/>
  <c r="C7" i="30"/>
  <c r="C21" i="30"/>
  <c r="G11" i="28"/>
  <c r="G31" i="29" l="1"/>
  <c r="G9" i="29"/>
  <c r="G8" i="29"/>
  <c r="G10" i="29" l="1"/>
  <c r="G11" i="29" s="1"/>
  <c r="F11" i="29"/>
  <c r="E11" i="29"/>
  <c r="D11" i="29"/>
  <c r="C11" i="29"/>
  <c r="B11" i="29"/>
  <c r="G35" i="27" l="1"/>
  <c r="G29" i="27"/>
  <c r="G31" i="27" l="1"/>
  <c r="C27" i="16" l="1"/>
  <c r="B27" i="16"/>
  <c r="F27" i="16"/>
  <c r="E27" i="16"/>
  <c r="D27" i="16"/>
  <c r="G26" i="16"/>
  <c r="C20" i="27" l="1"/>
  <c r="G18" i="27"/>
  <c r="A38" i="29"/>
  <c r="F15" i="16"/>
  <c r="E15" i="16"/>
  <c r="D15" i="16"/>
  <c r="C15" i="16"/>
  <c r="B15" i="16"/>
  <c r="F11" i="27" l="1"/>
  <c r="F14" i="27" s="1"/>
  <c r="F50" i="27" s="1"/>
  <c r="F51" i="27" s="1"/>
  <c r="F52" i="27" s="1"/>
  <c r="E11" i="27"/>
  <c r="E14" i="27" s="1"/>
  <c r="E50" i="27" s="1"/>
  <c r="E51" i="27" s="1"/>
  <c r="E52" i="27" s="1"/>
  <c r="D11" i="27"/>
  <c r="D14" i="27" s="1"/>
  <c r="D50" i="27" s="1"/>
  <c r="D51" i="27" s="1"/>
  <c r="D52" i="27" s="1"/>
  <c r="C11" i="27"/>
  <c r="C14" i="27" s="1"/>
  <c r="B11" i="27"/>
  <c r="B14" i="27" s="1"/>
  <c r="B50" i="27" s="1"/>
  <c r="B51" i="27" s="1"/>
  <c r="B52" i="27" s="1"/>
  <c r="G10" i="27"/>
  <c r="G9" i="27"/>
  <c r="G8" i="27"/>
  <c r="G46" i="27"/>
  <c r="F45" i="27"/>
  <c r="E45" i="27"/>
  <c r="D45" i="27"/>
  <c r="G44" i="27"/>
  <c r="G43" i="27"/>
  <c r="G42" i="27"/>
  <c r="G41" i="27"/>
  <c r="G40" i="27"/>
  <c r="G26" i="27"/>
  <c r="C50" i="27" l="1"/>
  <c r="C51" i="27" s="1"/>
  <c r="G45" i="27"/>
  <c r="G11" i="27"/>
  <c r="G13" i="27"/>
  <c r="G19" i="27"/>
  <c r="G20" i="27" s="1"/>
  <c r="G36" i="27" l="1"/>
  <c r="G35" i="29" l="1"/>
  <c r="G25" i="29"/>
  <c r="F20" i="29"/>
  <c r="E20" i="29"/>
  <c r="D20" i="29"/>
  <c r="C20" i="29"/>
  <c r="B20" i="29"/>
  <c r="G16" i="28" l="1"/>
  <c r="G28" i="27" l="1"/>
  <c r="G17" i="29" l="1"/>
  <c r="G18" i="29"/>
  <c r="G24" i="27"/>
  <c r="G25" i="27"/>
  <c r="G27" i="27"/>
  <c r="G14" i="16"/>
  <c r="G8" i="16"/>
  <c r="G9" i="16"/>
  <c r="G36" i="29"/>
  <c r="F33" i="29"/>
  <c r="E33" i="29"/>
  <c r="D33" i="29"/>
  <c r="C33" i="29"/>
  <c r="B33" i="29"/>
  <c r="G32" i="29"/>
  <c r="G30" i="29"/>
  <c r="F26" i="29"/>
  <c r="E26" i="29"/>
  <c r="D26" i="29"/>
  <c r="C26" i="29"/>
  <c r="B26" i="29"/>
  <c r="F23" i="29"/>
  <c r="E23" i="29"/>
  <c r="D23" i="29"/>
  <c r="C23" i="29"/>
  <c r="B23" i="29"/>
  <c r="G22" i="29"/>
  <c r="G19" i="29"/>
  <c r="F15" i="29"/>
  <c r="E15" i="29"/>
  <c r="D15" i="29"/>
  <c r="C15" i="29"/>
  <c r="B15" i="29"/>
  <c r="G14" i="29"/>
  <c r="G13" i="29"/>
  <c r="F25" i="28"/>
  <c r="E25" i="28"/>
  <c r="D25" i="28"/>
  <c r="C25" i="28"/>
  <c r="B25" i="28"/>
  <c r="G24" i="28"/>
  <c r="F20" i="28"/>
  <c r="E20" i="28"/>
  <c r="D20" i="28"/>
  <c r="C20" i="28"/>
  <c r="B20" i="28"/>
  <c r="G19" i="28"/>
  <c r="F17" i="28"/>
  <c r="E17" i="28"/>
  <c r="D17" i="28"/>
  <c r="C17" i="28"/>
  <c r="B17" i="28"/>
  <c r="F9" i="28"/>
  <c r="F12" i="28" s="1"/>
  <c r="E9" i="28"/>
  <c r="E12" i="28" s="1"/>
  <c r="D9" i="28"/>
  <c r="C9" i="28"/>
  <c r="B9" i="28"/>
  <c r="B12" i="28" s="1"/>
  <c r="G8" i="28"/>
  <c r="C52" i="27"/>
  <c r="G51" i="27"/>
  <c r="G50" i="27"/>
  <c r="F47" i="27"/>
  <c r="E47" i="27"/>
  <c r="D47" i="27"/>
  <c r="C47" i="27"/>
  <c r="B47" i="27"/>
  <c r="G39" i="27"/>
  <c r="F37" i="27"/>
  <c r="E37" i="27"/>
  <c r="D37" i="27"/>
  <c r="C37" i="27"/>
  <c r="B37" i="27"/>
  <c r="C12" i="30" s="1"/>
  <c r="F20" i="27"/>
  <c r="E20" i="27"/>
  <c r="D20" i="27"/>
  <c r="B20" i="27"/>
  <c r="C20" i="16"/>
  <c r="D20" i="16"/>
  <c r="E20" i="16"/>
  <c r="F20" i="16"/>
  <c r="B20" i="16"/>
  <c r="G19" i="16"/>
  <c r="G24" i="16"/>
  <c r="G25" i="16"/>
  <c r="G27" i="16" s="1"/>
  <c r="C10" i="16"/>
  <c r="C11" i="16" s="1"/>
  <c r="C12" i="16" s="1"/>
  <c r="D10" i="16"/>
  <c r="D11" i="16" s="1"/>
  <c r="D12" i="16" s="1"/>
  <c r="D30" i="16" s="1"/>
  <c r="E10" i="16"/>
  <c r="E12" i="16" s="1"/>
  <c r="F10" i="16"/>
  <c r="F12" i="16" s="1"/>
  <c r="B10" i="16"/>
  <c r="B11" i="16" s="1"/>
  <c r="E27" i="28" l="1"/>
  <c r="E28" i="28" s="1"/>
  <c r="E29" i="28" s="1"/>
  <c r="F27" i="28"/>
  <c r="F29" i="28" s="1"/>
  <c r="B27" i="28"/>
  <c r="B28" i="28" s="1"/>
  <c r="D12" i="28"/>
  <c r="G15" i="16"/>
  <c r="C30" i="16"/>
  <c r="C31" i="16" s="1"/>
  <c r="C32" i="16" s="1"/>
  <c r="F30" i="16"/>
  <c r="F32" i="16" s="1"/>
  <c r="D31" i="16"/>
  <c r="D32" i="16" s="1"/>
  <c r="E30" i="16"/>
  <c r="E31" i="16" s="1"/>
  <c r="E32" i="16" s="1"/>
  <c r="G15" i="29"/>
  <c r="G26" i="29"/>
  <c r="G23" i="29"/>
  <c r="G20" i="16"/>
  <c r="D10" i="30"/>
  <c r="B12" i="16"/>
  <c r="B30" i="16" s="1"/>
  <c r="G11" i="16"/>
  <c r="F10" i="30"/>
  <c r="G37" i="27"/>
  <c r="G47" i="27"/>
  <c r="D9" i="30"/>
  <c r="E9" i="30"/>
  <c r="G11" i="30"/>
  <c r="E11" i="30"/>
  <c r="D11" i="30"/>
  <c r="E10" i="30"/>
  <c r="G10" i="30"/>
  <c r="E12" i="30"/>
  <c r="G12" i="30"/>
  <c r="F48" i="27"/>
  <c r="F53" i="27" s="1"/>
  <c r="G14" i="27"/>
  <c r="E48" i="27"/>
  <c r="E53" i="27" s="1"/>
  <c r="B48" i="27"/>
  <c r="B53" i="27" s="1"/>
  <c r="G13" i="30"/>
  <c r="E13" i="30"/>
  <c r="F12" i="30"/>
  <c r="G17" i="28"/>
  <c r="D12" i="30"/>
  <c r="F11" i="30"/>
  <c r="G20" i="28"/>
  <c r="G8" i="30"/>
  <c r="B26" i="28"/>
  <c r="E26" i="28"/>
  <c r="E30" i="28" s="1"/>
  <c r="F8" i="30"/>
  <c r="F26" i="28"/>
  <c r="G9" i="28"/>
  <c r="D13" i="30"/>
  <c r="F13" i="30"/>
  <c r="G9" i="30"/>
  <c r="F9" i="30"/>
  <c r="G20" i="29"/>
  <c r="C34" i="29"/>
  <c r="C38" i="29" s="1"/>
  <c r="E34" i="29"/>
  <c r="E38" i="29" s="1"/>
  <c r="F34" i="29"/>
  <c r="F38" i="29" s="1"/>
  <c r="B34" i="29"/>
  <c r="B38" i="29" s="1"/>
  <c r="D34" i="29"/>
  <c r="D38" i="29" s="1"/>
  <c r="C48" i="27"/>
  <c r="C53" i="27" s="1"/>
  <c r="D48" i="27"/>
  <c r="D53" i="27" s="1"/>
  <c r="F28" i="16"/>
  <c r="G10" i="16"/>
  <c r="G37" i="29"/>
  <c r="G33" i="29"/>
  <c r="G25" i="28"/>
  <c r="G52" i="27"/>
  <c r="C28" i="16"/>
  <c r="C33" i="16" s="1"/>
  <c r="E28" i="16"/>
  <c r="D28" i="16"/>
  <c r="F30" i="28" l="1"/>
  <c r="G12" i="28"/>
  <c r="D27" i="28"/>
  <c r="D28" i="28" s="1"/>
  <c r="D29" i="28" s="1"/>
  <c r="E8" i="30"/>
  <c r="E14" i="30" s="1"/>
  <c r="D26" i="28"/>
  <c r="C12" i="28"/>
  <c r="B29" i="28"/>
  <c r="B30" i="28" s="1"/>
  <c r="B28" i="16"/>
  <c r="G12" i="16"/>
  <c r="B31" i="16"/>
  <c r="G30" i="16"/>
  <c r="H10" i="30"/>
  <c r="G15" i="30"/>
  <c r="F15" i="30"/>
  <c r="H11" i="30"/>
  <c r="H12" i="30"/>
  <c r="H9" i="30"/>
  <c r="F14" i="30"/>
  <c r="H7" i="30"/>
  <c r="G14" i="30"/>
  <c r="H13" i="30"/>
  <c r="G34" i="29"/>
  <c r="G38" i="29" s="1"/>
  <c r="C24" i="30" s="1"/>
  <c r="G48" i="27"/>
  <c r="G53" i="27" s="1"/>
  <c r="C22" i="30" s="1"/>
  <c r="G28" i="16" l="1"/>
  <c r="B33" i="16"/>
  <c r="D30" i="28"/>
  <c r="E15" i="30"/>
  <c r="E16" i="30" s="1"/>
  <c r="C27" i="28"/>
  <c r="D8" i="30"/>
  <c r="D14" i="30" s="1"/>
  <c r="C26" i="28"/>
  <c r="C14" i="30"/>
  <c r="B32" i="16"/>
  <c r="G31" i="16"/>
  <c r="F16" i="30"/>
  <c r="G16" i="30"/>
  <c r="F33" i="16"/>
  <c r="E33" i="16"/>
  <c r="D33" i="16"/>
  <c r="C28" i="28" l="1"/>
  <c r="G27" i="28"/>
  <c r="H14" i="30"/>
  <c r="G26" i="28"/>
  <c r="H8" i="30"/>
  <c r="G32" i="16"/>
  <c r="G33" i="16" s="1"/>
  <c r="C16" i="30"/>
  <c r="C29" i="28" l="1"/>
  <c r="G28" i="28"/>
  <c r="D15" i="30" l="1"/>
  <c r="G29" i="28"/>
  <c r="G30" i="28" s="1"/>
  <c r="C23" i="30" s="1"/>
  <c r="C30" i="28"/>
  <c r="C25" i="30" l="1"/>
  <c r="D23" i="30" s="1"/>
  <c r="H15" i="30"/>
  <c r="H16" i="30" s="1"/>
  <c r="D16" i="30"/>
  <c r="D22" i="30" l="1"/>
  <c r="D21" i="30"/>
  <c r="D24" i="30"/>
  <c r="D25" i="30" l="1"/>
</calcChain>
</file>

<file path=xl/sharedStrings.xml><?xml version="1.0" encoding="utf-8"?>
<sst xmlns="http://schemas.openxmlformats.org/spreadsheetml/2006/main" count="239" uniqueCount="103">
  <si>
    <t>CATEGORY</t>
  </si>
  <si>
    <t>YEAR 1</t>
  </si>
  <si>
    <t>YEAR 2</t>
  </si>
  <si>
    <t>YEAR 3</t>
  </si>
  <si>
    <t>YEAR 4</t>
  </si>
  <si>
    <t>YEAR 5</t>
  </si>
  <si>
    <t>TOTAL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</si>
  <si>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</si>
  <si>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</si>
  <si>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</si>
  <si>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</si>
  <si>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</si>
  <si>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</si>
  <si>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</si>
  <si>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</si>
  <si>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</si>
  <si>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</si>
  <si>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>BUDGET BY PROJECT</t>
  </si>
  <si>
    <t>Project Name</t>
  </si>
  <si>
    <t>Total Cost</t>
  </si>
  <si>
    <t>% of Total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</si>
  <si>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</si>
  <si>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</si>
  <si>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</si>
  <si>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</si>
  <si>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</si>
  <si>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</si>
  <si>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</si>
  <si>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</si>
  <si>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</si>
  <si>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</si>
  <si>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</si>
  <si>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>PROJECT  MANAGER - GRANT</t>
  </si>
  <si>
    <t>ADMIN/FISCAL RSC COORDINATOR</t>
  </si>
  <si>
    <t xml:space="preserve"> Fringe Benefits  35%</t>
  </si>
  <si>
    <t>Orlando Science Center</t>
  </si>
  <si>
    <t>10% DeMinimus Rate 15% Year 3-5</t>
  </si>
  <si>
    <t>Financial Cost - Insurance, bonds, solicitors, accounting</t>
  </si>
  <si>
    <t>Landfill Geo-Membrane</t>
  </si>
  <si>
    <t>Seminole County</t>
  </si>
  <si>
    <t>Mechanic II (Gas to Energy)</t>
  </si>
  <si>
    <t>Modified Total Direct Cost</t>
  </si>
  <si>
    <t>Indirect Rate deminimus</t>
  </si>
  <si>
    <t>Faculty - 32%</t>
  </si>
  <si>
    <t>Students</t>
  </si>
  <si>
    <t>LiCor soil gas flux chamber; electric furnaces, gas analyzers, sensors, and a workstation for running computational models</t>
  </si>
  <si>
    <t>Travel for PI &amp; Co-PI to attend Domestic Conference</t>
  </si>
  <si>
    <t>Travel for Field Work</t>
  </si>
  <si>
    <t>Travel for Pis and GRAs to visit other team partners</t>
  </si>
  <si>
    <t>Materials and Supplies</t>
  </si>
  <si>
    <t>Facility Rental</t>
  </si>
  <si>
    <t>Tuition</t>
  </si>
  <si>
    <t>Modified Total Direct Costs</t>
  </si>
  <si>
    <t>Indirect Cost (52% University Rate)</t>
  </si>
  <si>
    <t>LIDAC &amp; School Community Field Trips to Energy Facilities Using RNG Busses</t>
  </si>
  <si>
    <t xml:space="preserve">CAPEX-Compressed Renewable Gas dispensing station </t>
  </si>
  <si>
    <t>OPEX - Power kWh Consumption, Compressed Renewable Gas dispensing station</t>
  </si>
  <si>
    <t>Staff Office Set-up and Supplies</t>
  </si>
  <si>
    <t>Staff Office Set-up and supplies</t>
  </si>
  <si>
    <t>Utilities, Power</t>
  </si>
  <si>
    <t>Utiities, fuel</t>
  </si>
  <si>
    <t>Utilities, water</t>
  </si>
  <si>
    <t>Utilities, consumables</t>
  </si>
  <si>
    <t>Overheads</t>
  </si>
  <si>
    <t>Land Lease</t>
  </si>
  <si>
    <t>Grant Project Manager</t>
  </si>
  <si>
    <t>Fringe Benefit at 35% of salary</t>
  </si>
  <si>
    <t>Indirect Costs (10%)</t>
  </si>
  <si>
    <t>UCF Evaluation</t>
  </si>
  <si>
    <t>TOTAL BUDGET</t>
  </si>
  <si>
    <t>TOTAL FUNDING</t>
  </si>
  <si>
    <t>TOTALT FUNDNG</t>
  </si>
  <si>
    <t>Hauling Trailers for Biowaste (31@ $75,000 each)</t>
  </si>
  <si>
    <t>East Central Florida Regional Planning Council Sustainability Impact Report</t>
  </si>
  <si>
    <t>Admin Coordinator</t>
  </si>
  <si>
    <t>Procurement Coordinator</t>
  </si>
  <si>
    <t>(CAPEX) 374Water AirSCWO Package - 2 x AS200 units</t>
  </si>
  <si>
    <t>(CAPEX)-Mechanical Package (Gas upgrading) - Pipework, upgrader, monitoring &amp; measurement, compression sta-tion, gas pipeline &amp; grid connection, CO2 liquifaction</t>
  </si>
  <si>
    <t>(CAPEX)-Development Cost - Plant &amp; Process Design, project management, construction management; Consultants: Environmental &amp; permits AD, architect, land permits, county permits</t>
  </si>
  <si>
    <t>(OPEX)-374Water Covers annual expenditure on chemicals that are essential for the treatment process and help ensure optimal performance and pollutant removal.</t>
  </si>
  <si>
    <t xml:space="preserve"> BIOMAN FLORIDA LLC - SUBRECIPIENT BUDGET</t>
  </si>
  <si>
    <t>(CAPEX) 374Water - Encompasses civil engineering, installation, start-up, commissioning, and training expenses for infrastructure associated with aforementioned ancillary systems required to support efficient operation of the AirSCWO technology.</t>
  </si>
  <si>
    <t>Seminole County CEI (10% based on $123,307,506 construction cost)</t>
  </si>
  <si>
    <t>SEMINOLE COUNTY LANDFILL GEO-MEMBRANCE</t>
  </si>
  <si>
    <t>MEASURE 4 - UNIVERSITY OF CENTAL FLORIDA - PROJECT EVALUATOR</t>
  </si>
  <si>
    <t>MEASURE 1 - SEMINOLE COUNTY GRANT ADMINISTRATION</t>
  </si>
  <si>
    <t>Undergraduate Students - Direct Labor</t>
  </si>
  <si>
    <t>UCF Faculty (Includes 7 Key Personnel - See Appendix G</t>
  </si>
  <si>
    <t xml:space="preserve">Graduate Students </t>
  </si>
  <si>
    <r>
      <t>Indirect Cost-</t>
    </r>
    <r>
      <rPr>
        <sz val="11"/>
        <color theme="1"/>
        <rFont val="Calibri"/>
        <family val="2"/>
        <scheme val="minor"/>
      </rPr>
      <t>Modified Total Direct</t>
    </r>
    <r>
      <rPr>
        <b/>
        <sz val="11"/>
        <color theme="1"/>
        <rFont val="Calibri"/>
        <family val="2"/>
        <scheme val="minor"/>
      </rPr>
      <t xml:space="preserve"> </t>
    </r>
  </si>
  <si>
    <t>Participant Trainee Support-Stipends, Travel and Subsistence</t>
  </si>
  <si>
    <t>CENTRAL FLORIDA WASTE TO ENERGY INITIATIVE CPRG GRANT BUDGET BY YEAR</t>
  </si>
  <si>
    <t>RNG Power Truck  5 @ $200,000 each</t>
  </si>
  <si>
    <t>(CAPEX)-EPC Contract - Ground works, concrete &amp; civils building, utility connections,</t>
  </si>
  <si>
    <t>(CAPEX)-Mechanical Package (AD) - Tanks, pipework, instruments &amp; equipment, Electrical &amp; cabling. Includes also installation &amp; commissioning</t>
  </si>
  <si>
    <t>(CAPEX)-374Water Construction of AirSCWO-This encompass the required civil engineering, installation, start-up, commissioning, and training expenses related to bringing the AirSCWo units onsite, online, and operating efficiently.</t>
  </si>
  <si>
    <t>(CAPEX) 374Water - Includes macerator, strain press, EQ tank, live bottom bin, chemical feed system, volute press dewatering, dumpster, flow measure/control, electrical, fuel system, clarifiers, bag filters, building</t>
  </si>
  <si>
    <t>(OPEX) 374Water - Parts Replacement, trim and startup/shutdown fuel, labor, mineral disposal, &amp; electricity</t>
  </si>
  <si>
    <t>Operations, labor, parts &amp; equipment replacement</t>
  </si>
  <si>
    <t>Geomembrane to capture methane gas at Seminole County landfill - 79.5 acreage = 3,463,020 sq.ft. times $1.50/sq.ft. Installed over three years</t>
  </si>
  <si>
    <t>Geomembrane for landfill - permitting, stormwater upgrade, and installation</t>
  </si>
  <si>
    <t>Biosolids Regional Processing Plant</t>
  </si>
  <si>
    <t>(OPEX)-374Water - Covers ongoing operational expenses such as parts replacement, screenings/ debris disposal, and electricity consumption.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</si>
</sst>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"/>
  </numFmts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4" fillId="0" borderId="0"/>
    <xf numFmtId="43" fontId="13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 applyBorder="1"/>
    <xf numFmtId="0" fontId="2" fillId="0" borderId="0" xfId="0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Border="1" applyAlignment="1">
      <alignment vertical="top"/>
    </xf>
    <xf numFmtId="0" fontId="5" fillId="0" borderId="1" xfId="0" applyFont="1" applyFill="1" applyBorder="1" applyAlignment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6" fontId="6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0" fillId="0" borderId="1" xfId="0" applyFont="1" applyFill="1" applyBorder="1"/>
    <xf numFmtId="0" fontId="7" fillId="0" borderId="7" xfId="0" applyFont="1" applyFill="1" applyBorder="1" applyAlignment="1">
      <alignment wrapText="1"/>
    </xf>
    <xf numFmtId="0" fontId="2" fillId="0" borderId="1" xfId="0" applyFont="1" applyFill="1" applyBorder="1" applyAlignment="1">
      <alignment vertical="top"/>
    </xf>
    <xf numFmtId="0" fontId="7" fillId="6" borderId="9" xfId="0" applyFont="1" applyFill="1" applyBorder="1" applyAlignment="1">
      <alignment wrapText="1"/>
    </xf>
    <xf numFmtId="0" fontId="7" fillId="6" borderId="10" xfId="0" applyFont="1" applyFill="1" applyBorder="1" applyAlignment="1">
      <alignment wrapText="1"/>
    </xf>
    <xf numFmtId="0" fontId="7" fillId="6" borderId="11" xfId="0" applyFont="1" applyFill="1" applyBorder="1" applyAlignment="1">
      <alignment wrapText="1"/>
    </xf>
    <xf numFmtId="0" fontId="7" fillId="6" borderId="2" xfId="0" applyFont="1" applyFill="1" applyBorder="1" applyAlignment="1"/>
    <xf numFmtId="0" fontId="0" fillId="0" borderId="0" xfId="0" applyAlignment="1">
      <alignment vertical="top"/>
    </xf>
    <xf numFmtId="0" fontId="7" fillId="3" borderId="9" xfId="0" applyFont="1" applyFill="1" applyBorder="1" applyAlignment="1">
      <alignment wrapText="1"/>
    </xf>
    <xf numFmtId="0" fontId="7" fillId="3" borderId="10" xfId="0" applyFont="1" applyFill="1" applyBorder="1" applyAlignment="1">
      <alignment wrapText="1"/>
    </xf>
    <xf numFmtId="0" fontId="7" fillId="3" borderId="11" xfId="0" applyFont="1" applyFill="1" applyBorder="1" applyAlignment="1">
      <alignment wrapText="1"/>
    </xf>
    <xf numFmtId="0" fontId="5" fillId="7" borderId="1" xfId="0" applyFont="1" applyFill="1" applyBorder="1" applyAlignment="1">
      <alignment wrapText="1"/>
    </xf>
    <xf numFmtId="0" fontId="7" fillId="0" borderId="7" xfId="0" applyFont="1" applyBorder="1" applyAlignment="1">
      <alignment wrapText="1"/>
    </xf>
    <xf numFmtId="6" fontId="7" fillId="0" borderId="12" xfId="0" applyNumberFormat="1" applyFont="1" applyBorder="1" applyAlignment="1">
      <alignment wrapText="1"/>
    </xf>
    <xf numFmtId="0" fontId="7" fillId="3" borderId="13" xfId="0" applyFont="1" applyFill="1" applyBorder="1" applyAlignment="1">
      <alignment wrapText="1"/>
    </xf>
    <xf numFmtId="6" fontId="5" fillId="4" borderId="1" xfId="0" applyNumberFormat="1" applyFont="1" applyFill="1" applyBorder="1" applyAlignment="1">
      <alignment wrapText="1"/>
    </xf>
    <xf numFmtId="0" fontId="7" fillId="3" borderId="1" xfId="0" applyFont="1" applyFill="1" applyBorder="1"/>
    <xf numFmtId="0" fontId="9" fillId="0" borderId="1" xfId="0" applyFont="1" applyFill="1" applyBorder="1" applyAlignment="1">
      <alignment horizontal="left" wrapText="1" indent="2"/>
    </xf>
    <xf numFmtId="6" fontId="9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165" fontId="9" fillId="0" borderId="1" xfId="0" applyNumberFormat="1" applyFont="1" applyFill="1" applyBorder="1" applyAlignment="1">
      <alignment wrapText="1"/>
    </xf>
    <xf numFmtId="165" fontId="10" fillId="0" borderId="1" xfId="1" applyNumberFormat="1" applyFont="1" applyFill="1" applyBorder="1" applyAlignment="1">
      <alignment wrapText="1"/>
    </xf>
    <xf numFmtId="165" fontId="10" fillId="0" borderId="1" xfId="0" applyNumberFormat="1" applyFont="1" applyFill="1" applyBorder="1" applyAlignment="1">
      <alignment wrapText="1"/>
    </xf>
    <xf numFmtId="6" fontId="10" fillId="0" borderId="1" xfId="0" applyNumberFormat="1" applyFont="1" applyFill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6" fontId="11" fillId="0" borderId="8" xfId="0" applyNumberFormat="1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6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 indent="2"/>
    </xf>
    <xf numFmtId="0" fontId="10" fillId="0" borderId="1" xfId="0" applyFont="1" applyFill="1" applyBorder="1"/>
    <xf numFmtId="8" fontId="0" fillId="0" borderId="1" xfId="0" applyNumberFormat="1" applyFont="1" applyFill="1" applyBorder="1"/>
    <xf numFmtId="0" fontId="12" fillId="0" borderId="1" xfId="0" applyFont="1" applyFill="1" applyBorder="1" applyAlignment="1">
      <alignment vertical="top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/>
    <xf numFmtId="0" fontId="12" fillId="0" borderId="1" xfId="0" applyFont="1" applyFill="1" applyBorder="1" applyAlignment="1">
      <alignment horizontal="left" wrapText="1" indent="2"/>
    </xf>
    <xf numFmtId="0" fontId="12" fillId="4" borderId="1" xfId="0" applyFont="1" applyFill="1" applyBorder="1" applyAlignment="1">
      <alignment wrapText="1"/>
    </xf>
    <xf numFmtId="6" fontId="12" fillId="0" borderId="1" xfId="0" applyNumberFormat="1" applyFont="1" applyFill="1" applyBorder="1" applyAlignment="1">
      <alignment wrapText="1"/>
    </xf>
    <xf numFmtId="6" fontId="12" fillId="4" borderId="1" xfId="0" applyNumberFormat="1" applyFont="1" applyFill="1" applyBorder="1" applyAlignment="1">
      <alignment wrapText="1"/>
    </xf>
    <xf numFmtId="6" fontId="12" fillId="4" borderId="3" xfId="0" applyNumberFormat="1" applyFont="1" applyFill="1" applyBorder="1" applyAlignment="1">
      <alignment wrapText="1"/>
    </xf>
    <xf numFmtId="6" fontId="0" fillId="0" borderId="1" xfId="0" applyNumberFormat="1" applyFont="1" applyFill="1" applyBorder="1"/>
    <xf numFmtId="0" fontId="0" fillId="0" borderId="0" xfId="0" applyFont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165" fontId="9" fillId="7" borderId="1" xfId="0" applyNumberFormat="1" applyFont="1" applyFill="1" applyBorder="1" applyAlignment="1">
      <alignment wrapText="1"/>
    </xf>
    <xf numFmtId="165" fontId="9" fillId="4" borderId="1" xfId="0" applyNumberFormat="1" applyFont="1" applyFill="1" applyBorder="1" applyAlignment="1">
      <alignment wrapText="1"/>
    </xf>
    <xf numFmtId="165" fontId="5" fillId="4" borderId="1" xfId="0" applyNumberFormat="1" applyFont="1" applyFill="1" applyBorder="1" applyAlignment="1">
      <alignment wrapText="1"/>
    </xf>
    <xf numFmtId="165" fontId="7" fillId="0" borderId="1" xfId="0" applyNumberFormat="1" applyFont="1" applyBorder="1" applyAlignment="1">
      <alignment wrapText="1"/>
    </xf>
    <xf numFmtId="6" fontId="11" fillId="4" borderId="1" xfId="0" applyNumberFormat="1" applyFont="1" applyFill="1" applyBorder="1" applyAlignment="1">
      <alignment wrapText="1"/>
    </xf>
    <xf numFmtId="0" fontId="7" fillId="4" borderId="1" xfId="0" applyFont="1" applyFill="1" applyBorder="1" applyAlignment="1">
      <alignment wrapText="1"/>
    </xf>
    <xf numFmtId="6" fontId="11" fillId="4" borderId="3" xfId="0" applyNumberFormat="1" applyFont="1" applyFill="1" applyBorder="1" applyAlignment="1">
      <alignment wrapText="1"/>
    </xf>
    <xf numFmtId="165" fontId="11" fillId="4" borderId="1" xfId="0" applyNumberFormat="1" applyFont="1" applyFill="1" applyBorder="1" applyAlignment="1">
      <alignment wrapText="1"/>
    </xf>
    <xf numFmtId="165" fontId="0" fillId="0" borderId="0" xfId="0" applyNumberFormat="1" applyFont="1" applyFill="1" applyBorder="1"/>
    <xf numFmtId="6" fontId="11" fillId="7" borderId="1" xfId="0" applyNumberFormat="1" applyFont="1" applyFill="1" applyBorder="1" applyAlignment="1">
      <alignment wrapText="1"/>
    </xf>
    <xf numFmtId="6" fontId="11" fillId="7" borderId="6" xfId="0" applyNumberFormat="1" applyFont="1" applyFill="1" applyBorder="1" applyAlignment="1">
      <alignment wrapText="1"/>
    </xf>
    <xf numFmtId="165" fontId="0" fillId="0" borderId="1" xfId="0" applyNumberFormat="1" applyFont="1" applyFill="1" applyBorder="1"/>
    <xf numFmtId="165" fontId="5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/>
    <xf numFmtId="165" fontId="10" fillId="0" borderId="1" xfId="0" applyNumberFormat="1" applyFont="1" applyFill="1" applyBorder="1" applyAlignment="1"/>
    <xf numFmtId="165" fontId="0" fillId="8" borderId="1" xfId="12" applyNumberFormat="1" applyFont="1" applyFill="1" applyBorder="1"/>
    <xf numFmtId="165" fontId="11" fillId="4" borderId="14" xfId="0" applyNumberFormat="1" applyFont="1" applyFill="1" applyBorder="1" applyAlignment="1">
      <alignment wrapText="1"/>
    </xf>
    <xf numFmtId="165" fontId="10" fillId="0" borderId="1" xfId="0" applyNumberFormat="1" applyFont="1" applyFill="1" applyBorder="1"/>
    <xf numFmtId="165" fontId="11" fillId="0" borderId="8" xfId="0" applyNumberFormat="1" applyFont="1" applyFill="1" applyBorder="1" applyAlignment="1">
      <alignment wrapText="1"/>
    </xf>
    <xf numFmtId="165" fontId="10" fillId="0" borderId="1" xfId="4" applyNumberFormat="1" applyFont="1" applyFill="1" applyBorder="1"/>
    <xf numFmtId="165" fontId="10" fillId="0" borderId="1" xfId="12" applyNumberFormat="1" applyFont="1" applyFill="1" applyBorder="1"/>
    <xf numFmtId="165" fontId="10" fillId="0" borderId="6" xfId="12" applyNumberFormat="1" applyFont="1" applyFill="1" applyBorder="1"/>
    <xf numFmtId="165" fontId="7" fillId="6" borderId="9" xfId="0" applyNumberFormat="1" applyFont="1" applyFill="1" applyBorder="1" applyAlignment="1">
      <alignment wrapText="1"/>
    </xf>
    <xf numFmtId="165" fontId="7" fillId="6" borderId="10" xfId="0" applyNumberFormat="1" applyFont="1" applyFill="1" applyBorder="1" applyAlignment="1">
      <alignment wrapText="1"/>
    </xf>
    <xf numFmtId="165" fontId="7" fillId="6" borderId="11" xfId="0" applyNumberFormat="1" applyFont="1" applyFill="1" applyBorder="1" applyAlignment="1">
      <alignment wrapText="1"/>
    </xf>
    <xf numFmtId="165" fontId="7" fillId="6" borderId="2" xfId="0" applyNumberFormat="1" applyFont="1" applyFill="1" applyBorder="1" applyAlignment="1"/>
    <xf numFmtId="165" fontId="11" fillId="4" borderId="3" xfId="0" applyNumberFormat="1" applyFont="1" applyFill="1" applyBorder="1" applyAlignment="1">
      <alignment wrapText="1"/>
    </xf>
    <xf numFmtId="165" fontId="0" fillId="0" borderId="0" xfId="0" applyNumberFormat="1" applyFont="1" applyBorder="1" applyAlignment="1">
      <alignment vertical="top"/>
    </xf>
    <xf numFmtId="165" fontId="0" fillId="0" borderId="0" xfId="1" applyNumberFormat="1" applyFont="1" applyBorder="1"/>
    <xf numFmtId="165" fontId="0" fillId="0" borderId="0" xfId="0" applyNumberFormat="1" applyFont="1" applyBorder="1"/>
    <xf numFmtId="0" fontId="10" fillId="0" borderId="0" xfId="0" applyFont="1" applyFill="1" applyBorder="1" applyAlignment="1">
      <alignment wrapText="1"/>
    </xf>
    <xf numFmtId="0" fontId="14" fillId="0" borderId="1" xfId="0" applyFont="1" applyFill="1" applyBorder="1" applyAlignment="1">
      <alignment horizontal="left" wrapText="1"/>
    </xf>
    <xf numFmtId="165" fontId="14" fillId="0" borderId="1" xfId="0" applyNumberFormat="1" applyFont="1" applyFill="1" applyBorder="1" applyAlignment="1">
      <alignment wrapText="1"/>
    </xf>
    <xf numFmtId="165" fontId="15" fillId="0" borderId="1" xfId="0" applyNumberFormat="1" applyFont="1" applyFill="1" applyBorder="1" applyAlignment="1">
      <alignment wrapText="1"/>
    </xf>
    <xf numFmtId="0" fontId="14" fillId="0" borderId="15" xfId="0" applyFont="1" applyFill="1" applyBorder="1" applyAlignment="1">
      <alignment horizontal="left" wrapText="1"/>
    </xf>
    <xf numFmtId="0" fontId="15" fillId="0" borderId="15" xfId="0" applyFont="1" applyFill="1" applyBorder="1"/>
    <xf numFmtId="165" fontId="14" fillId="0" borderId="15" xfId="0" applyNumberFormat="1" applyFont="1" applyFill="1" applyBorder="1" applyAlignment="1">
      <alignment wrapText="1"/>
    </xf>
    <xf numFmtId="6" fontId="14" fillId="0" borderId="15" xfId="0" applyNumberFormat="1" applyFont="1" applyFill="1" applyBorder="1" applyAlignment="1">
      <alignment wrapText="1"/>
    </xf>
    <xf numFmtId="6" fontId="14" fillId="0" borderId="1" xfId="0" applyNumberFormat="1" applyFont="1" applyFill="1" applyBorder="1" applyAlignment="1">
      <alignment wrapText="1"/>
    </xf>
    <xf numFmtId="0" fontId="10" fillId="0" borderId="2" xfId="0" applyFont="1" applyFill="1" applyBorder="1" applyAlignment="1">
      <alignment wrapText="1"/>
    </xf>
    <xf numFmtId="6" fontId="10" fillId="0" borderId="2" xfId="0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11" fillId="7" borderId="1" xfId="2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10" fontId="9" fillId="7" borderId="1" xfId="2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0" fillId="0" borderId="0" xfId="0" applyAlignment="1">
      <alignment wrapText="1"/>
    </xf>
  </cellXfs>
  <cellStyles count="17">
    <cellStyle name="Comma 2" xfId="16" xr:uid="{19C99A5F-1C71-45F1-8C92-0A63D6A5B87B}"/>
    <cellStyle name="Currency" xfId="1" builtinId="4"/>
    <cellStyle name="Currency 2" xfId="12" xr:uid="{E0FF57B6-FFB0-43AD-9E58-AEEC1867947F}"/>
    <cellStyle name="Currency 3" xfId="10" xr:uid="{B704389D-57F8-43F0-B2BD-1C3DBAF4CC60}"/>
    <cellStyle name="Currency 4" xfId="8" xr:uid="{D2E054F9-55F9-409F-A63B-952C9EA14A42}"/>
    <cellStyle name="Currency 5" xfId="6" xr:uid="{70F49438-EB2E-49AC-89F5-64EC8EDCDD66}"/>
    <cellStyle name="Currency 6" xfId="4" xr:uid="{A9EA646E-26F5-4AE2-8A09-CFF3081D92C9}"/>
    <cellStyle name="Normal" xfId="0" builtinId="0"/>
    <cellStyle name="Normal 2" xfId="14" xr:uid="{7DC02F38-214D-4BC0-87A9-A6223CE7503C}"/>
    <cellStyle name="Normal 3" xfId="15" xr:uid="{EDF17CFD-C06E-4807-AFB8-ECD368EFAAED}"/>
    <cellStyle name="Normal 4" xfId="3" xr:uid="{4B26F7AF-9CC5-4CDC-B12E-CF7B3F95B69A}"/>
    <cellStyle name="Percent" xfId="2" builtinId="5"/>
    <cellStyle name="Percent 2" xfId="13" xr:uid="{3AE18671-D6BD-41BB-BA33-B3C0EB7FC835}"/>
    <cellStyle name="Percent 3" xfId="11" xr:uid="{D1F2B778-F644-45A0-9DAC-B2C50B84850B}"/>
    <cellStyle name="Percent 4" xfId="9" xr:uid="{C0A49864-C3CA-4775-B62E-2E9BC56DBFA3}"/>
    <cellStyle name="Percent 5" xfId="7" xr:uid="{5027E764-887B-41EC-9E83-3D867041EBAB}"/>
    <cellStyle name="Percent 6" xfId="5" xr:uid="{AC918C23-400A-4084-9FFD-ED0F235A64C0}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K26"/>
  <sheetViews>
    <sheetView showGridLines="0" tabSelected="1" view="pageLayout" topLeftCell="A4" zoomScaleNormal="70" workbookViewId="0">
      <selection activeCell="B5" sqref="B5:H16"/>
    </sheetView>
  </sheetViews>
  <sheetFormatPr defaultColWidth="9.109375" defaultRowHeight="15" customHeight="1" x14ac:dyDescent="0.3"/>
  <cols>
    <col min="1" max="1" width="3.109375" customWidth="1"/>
    <col min="2" max="2" width="18.33203125" style="119" customWidth="1"/>
    <col min="3" max="3" width="14.6640625" style="24" customWidth="1"/>
    <col min="4" max="4" width="14.109375" style="3" customWidth="1"/>
    <col min="5" max="5" width="12.109375" customWidth="1"/>
    <col min="6" max="6" width="11.44140625" customWidth="1"/>
    <col min="7" max="7" width="12" style="3" customWidth="1"/>
    <col min="8" max="8" width="15" customWidth="1"/>
    <col min="9" max="9" width="10.109375" customWidth="1"/>
  </cols>
  <sheetData>
    <row r="2" spans="2:37" ht="14.4" x14ac:dyDescent="0.3"/>
    <row r="3" spans="2:37" ht="26.4" customHeight="1" x14ac:dyDescent="0.3">
      <c r="B3" s="104"/>
      <c r="C3" s="104"/>
      <c r="D3" s="104"/>
      <c r="E3" s="104"/>
      <c r="F3" s="104"/>
      <c r="G3" s="104"/>
      <c r="H3" s="104"/>
    </row>
    <row r="5" spans="2:37" ht="18" x14ac:dyDescent="0.35">
      <c r="B5" s="108" t="s">
        <v>91</v>
      </c>
      <c r="C5" s="109"/>
      <c r="D5" s="109"/>
      <c r="E5" s="109"/>
      <c r="F5" s="109"/>
      <c r="G5" s="109"/>
      <c r="H5" s="110"/>
    </row>
    <row r="6" spans="2:37" ht="17.100000000000001" customHeight="1" x14ac:dyDescent="0.3">
      <c r="B6" s="25" t="s">
        <v>0</v>
      </c>
      <c r="C6" s="25" t="s">
        <v>1</v>
      </c>
      <c r="D6" s="26" t="s">
        <v>2</v>
      </c>
      <c r="E6" s="26" t="s">
        <v>3</v>
      </c>
      <c r="F6" s="26" t="s">
        <v>4</v>
      </c>
      <c r="G6" s="27" t="s">
        <v>5</v>
      </c>
      <c r="H6" s="33" t="s">
        <v>6</v>
      </c>
    </row>
    <row r="7" spans="2:37" s="5" customFormat="1" ht="14.4" x14ac:dyDescent="0.3">
      <c r="B7" s="28" t="s">
        <v>7</v>
      </c>
      <c r="C7" s="43">
        <f>'Seminole County'!B10+'Biosolids Facility'!B11+'Landfill Geomembrane'!B9+'UCF Evaluation'!B11</f>
        <v>601619</v>
      </c>
      <c r="D7" s="43">
        <f>'Seminole County'!C10+'Biosolids Facility'!C11+'Landfill Geomembrane'!C9+'UCF Evaluation'!C11</f>
        <v>623388</v>
      </c>
      <c r="E7" s="43">
        <f>'Seminole County'!D10+'Biosolids Facility'!D11+'Landfill Geomembrane'!D9+'UCF Evaluation'!D11</f>
        <v>646131</v>
      </c>
      <c r="F7" s="43">
        <f>'Seminole County'!E10+'Biosolids Facility'!E11+'Landfill Geomembrane'!E9+'UCF Evaluation'!E11</f>
        <v>669896</v>
      </c>
      <c r="G7" s="43">
        <f>'Seminole County'!F10+'Biosolids Facility'!F11+'Landfill Geomembrane'!F9+'UCF Evaluation'!F11</f>
        <v>694722</v>
      </c>
      <c r="H7" s="63">
        <f t="shared" ref="H7:H15" si="0">SUM(C7:G7)</f>
        <v>3235756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2:37" ht="28.8" x14ac:dyDescent="0.3">
      <c r="B8" s="28" t="s">
        <v>8</v>
      </c>
      <c r="C8" s="43">
        <f>'Seminole County'!B12+'Biosolids Facility'!B14+'Landfill Geomembrane'!B12+'UCF Evaluation'!B15</f>
        <v>139523</v>
      </c>
      <c r="D8" s="43">
        <f>'Seminole County'!C12+'Biosolids Facility'!C14+'Landfill Geomembrane'!C12+'UCF Evaluation'!C15</f>
        <v>145902</v>
      </c>
      <c r="E8" s="43">
        <f>'Seminole County'!D12+'Biosolids Facility'!D14+'Landfill Geomembrane'!D12+'UCF Evaluation'!D15</f>
        <v>152586</v>
      </c>
      <c r="F8" s="43">
        <f>'Seminole County'!E12+'Biosolids Facility'!E14+'Landfill Geomembrane'!E12+'UCF Evaluation'!E15</f>
        <v>159586</v>
      </c>
      <c r="G8" s="43">
        <f>'Seminole County'!F12+'Biosolids Facility'!F14+'Landfill Geomembrane'!F12+'UCF Evaluation'!F15</f>
        <v>166920</v>
      </c>
      <c r="H8" s="63">
        <f t="shared" si="0"/>
        <v>764517</v>
      </c>
    </row>
    <row r="9" spans="2:37" ht="14.4" x14ac:dyDescent="0.3">
      <c r="B9" s="28" t="s">
        <v>9</v>
      </c>
      <c r="C9" s="43">
        <f>'Seminole County'!B15+'Biosolids Facility'!B16+'Landfill Geomembrane'!B14+'UCF Evaluation'!B20</f>
        <v>64764</v>
      </c>
      <c r="D9" s="43">
        <f>'Seminole County'!C15+'Biosolids Facility'!C16+'Landfill Geomembrane'!C14+'UCF Evaluation'!C20</f>
        <v>64764</v>
      </c>
      <c r="E9" s="43">
        <f>'Seminole County'!D15+'Biosolids Facility'!D16+'Landfill Geomembrane'!D14+'UCF Evaluation'!D20</f>
        <v>64764</v>
      </c>
      <c r="F9" s="43">
        <f>'Seminole County'!E15+'Biosolids Facility'!E16+'Landfill Geomembrane'!E14+'UCF Evaluation'!E20</f>
        <v>64764</v>
      </c>
      <c r="G9" s="43">
        <f>'Seminole County'!F15+'Biosolids Facility'!F16+'Landfill Geomembrane'!F14+'UCF Evaluation'!F20</f>
        <v>64764</v>
      </c>
      <c r="H9" s="63">
        <f t="shared" si="0"/>
        <v>323820</v>
      </c>
    </row>
    <row r="10" spans="2:37" ht="14.4" x14ac:dyDescent="0.3">
      <c r="B10" s="28" t="s">
        <v>10</v>
      </c>
      <c r="C10" s="43">
        <f>'Seminole County'!B17+'Biosolids Facility'!B20+'Landfill Geomembrane'!B17+'UCF Evaluation'!B23</f>
        <v>222500</v>
      </c>
      <c r="D10" s="43">
        <f>'Seminole County'!C17+'Biosolids Facility'!C20+'Landfill Geomembrane'!C17+'UCF Evaluation'!C23</f>
        <v>3375000</v>
      </c>
      <c r="E10" s="43">
        <f>'Seminole County'!D17+'Biosolids Facility'!D20+'Landfill Geomembrane'!D17+'UCF Evaluation'!D23</f>
        <v>1731510</v>
      </c>
      <c r="F10" s="43">
        <f>'Seminole County'!E17+'Biosolids Facility'!E20+'Landfill Geomembrane'!E17+'UCF Evaluation'!E23</f>
        <v>1761510</v>
      </c>
      <c r="G10" s="43">
        <f>'Seminole County'!F17+'Biosolids Facility'!F20+'Landfill Geomembrane'!F17+'UCF Evaluation'!F23</f>
        <v>1731510</v>
      </c>
      <c r="H10" s="63">
        <f t="shared" si="0"/>
        <v>8822030</v>
      </c>
    </row>
    <row r="11" spans="2:37" ht="14.4" x14ac:dyDescent="0.3">
      <c r="B11" s="28" t="s">
        <v>11</v>
      </c>
      <c r="C11" s="43">
        <f>'Seminole County'!B20+'Biosolids Facility'!B22+'Landfill Geomembrane'!B20+'UCF Evaluation'!B26</f>
        <v>17000</v>
      </c>
      <c r="D11" s="43">
        <f>'Seminole County'!C20+'Biosolids Facility'!C22+'Landfill Geomembrane'!C20+'UCF Evaluation'!C26</f>
        <v>11250</v>
      </c>
      <c r="E11" s="43">
        <f>'Seminole County'!D20+'Biosolids Facility'!D22+'Landfill Geomembrane'!D20+'UCF Evaluation'!D26</f>
        <v>11250</v>
      </c>
      <c r="F11" s="43">
        <f>'Seminole County'!E20+'Biosolids Facility'!E22+'Landfill Geomembrane'!E20+'UCF Evaluation'!E26</f>
        <v>10950</v>
      </c>
      <c r="G11" s="43">
        <f>'Seminole County'!F20+'Biosolids Facility'!F22+'Landfill Geomembrane'!F20+'UCF Evaluation'!F26</f>
        <v>10337</v>
      </c>
      <c r="H11" s="63">
        <f t="shared" si="0"/>
        <v>60787</v>
      </c>
    </row>
    <row r="12" spans="2:37" ht="28.2" customHeight="1" x14ac:dyDescent="0.3">
      <c r="B12" s="28" t="s">
        <v>12</v>
      </c>
      <c r="C12" s="43">
        <f>'Seminole County'!B22+'Biosolids Facility'!B37+'Landfill Geomembrane'!B22+'UCF Evaluation'!B28</f>
        <v>79143153</v>
      </c>
      <c r="D12" s="43">
        <f>'Seminole County'!C22+'Biosolids Facility'!C37+'Landfill Geomembrane'!C22+'UCF Evaluation'!C28</f>
        <v>29368266</v>
      </c>
      <c r="E12" s="43">
        <f>'Seminole County'!D22+'Biosolids Facility'!D37+'Landfill Geomembrane'!D22+'UCF Evaluation'!D28</f>
        <v>16239672</v>
      </c>
      <c r="F12" s="43">
        <f>'Seminole County'!E22+'Biosolids Facility'!E37+'Landfill Geomembrane'!E22+'UCF Evaluation'!E28</f>
        <v>1443585</v>
      </c>
      <c r="G12" s="43">
        <f>'Seminole County'!F22+'Biosolids Facility'!F37+'Landfill Geomembrane'!F22+'UCF Evaluation'!F28</f>
        <v>1443585</v>
      </c>
      <c r="H12" s="63">
        <f t="shared" si="0"/>
        <v>127638261</v>
      </c>
    </row>
    <row r="13" spans="2:37" ht="14.4" x14ac:dyDescent="0.3">
      <c r="B13" s="28" t="s">
        <v>13</v>
      </c>
      <c r="C13" s="43">
        <f>'Seminole County'!B27+'Biosolids Facility'!B47+'Landfill Geomembrane'!B25+'UCF Evaluation'!B33</f>
        <v>9757679</v>
      </c>
      <c r="D13" s="43">
        <f>'Seminole County'!C27+'Biosolids Facility'!C47+'Landfill Geomembrane'!C25+'UCF Evaluation'!C33</f>
        <v>7129399</v>
      </c>
      <c r="E13" s="43">
        <f>'Seminole County'!D27+'Biosolids Facility'!D47+'Landfill Geomembrane'!D25+'UCF Evaluation'!D33</f>
        <v>5189307.5</v>
      </c>
      <c r="F13" s="43">
        <f>'Seminole County'!E27+'Biosolids Facility'!E47+'Landfill Geomembrane'!E25+'UCF Evaluation'!E33</f>
        <v>5192038.5</v>
      </c>
      <c r="G13" s="43">
        <f>'Seminole County'!F27+'Biosolids Facility'!F47+'Landfill Geomembrane'!F25+'UCF Evaluation'!F33</f>
        <v>5194906.5</v>
      </c>
      <c r="H13" s="63">
        <f t="shared" si="0"/>
        <v>32463330.5</v>
      </c>
    </row>
    <row r="14" spans="2:37" ht="14.4" x14ac:dyDescent="0.3">
      <c r="B14" s="11" t="s">
        <v>14</v>
      </c>
      <c r="C14" s="41">
        <f>C13+C12+C11+C10+C9+C8+C7</f>
        <v>89946238</v>
      </c>
      <c r="D14" s="41">
        <f>D13+D12+D11+D10+D9+D8+D7</f>
        <v>40717969</v>
      </c>
      <c r="E14" s="41">
        <f>E13+E12+E11+E10+E9+E8+E7</f>
        <v>24035220.5</v>
      </c>
      <c r="F14" s="41">
        <f>F13+F12+F11+F10+F9+F8+F7</f>
        <v>9302329.5</v>
      </c>
      <c r="G14" s="41">
        <f>G13+G12+G11+G10+G9+G8+G7</f>
        <v>9306744.5</v>
      </c>
      <c r="H14" s="64">
        <f t="shared" si="0"/>
        <v>173308501.5</v>
      </c>
    </row>
    <row r="15" spans="2:37" ht="20.100000000000001" customHeight="1" thickBot="1" x14ac:dyDescent="0.35">
      <c r="B15" s="11" t="s">
        <v>16</v>
      </c>
      <c r="C15" s="32">
        <f>'Seminole County'!B32+'Biosolids Facility'!B52+'Landfill Geomembrane'!B29+'UCF Evaluation'!B37</f>
        <v>247184</v>
      </c>
      <c r="D15" s="32">
        <f>'Seminole County'!C32+'Biosolids Facility'!C52+'Landfill Geomembrane'!C29+'UCF Evaluation'!C37</f>
        <v>460645.8</v>
      </c>
      <c r="E15" s="32">
        <f>'Seminole County'!D32+'Biosolids Facility'!D52+'Landfill Geomembrane'!D29+'UCF Evaluation'!D37</f>
        <v>279098</v>
      </c>
      <c r="F15" s="32">
        <f>'Seminole County'!E32+'Biosolids Facility'!E52+'Landfill Geomembrane'!E29+'UCF Evaluation'!E37</f>
        <v>267350.5</v>
      </c>
      <c r="G15" s="32">
        <f>'Seminole County'!F32+'Biosolids Facility'!F52+'Landfill Geomembrane'!F29+'UCF Evaluation'!F37</f>
        <v>274471.8</v>
      </c>
      <c r="H15" s="65">
        <f t="shared" si="0"/>
        <v>1528750.1</v>
      </c>
    </row>
    <row r="16" spans="2:37" ht="22.8" customHeight="1" thickBot="1" x14ac:dyDescent="0.35">
      <c r="B16" s="29" t="s">
        <v>70</v>
      </c>
      <c r="C16" s="30">
        <f t="shared" ref="C16:H16" si="1">C14+C15</f>
        <v>90193422</v>
      </c>
      <c r="D16" s="30">
        <f t="shared" si="1"/>
        <v>41178614.799999997</v>
      </c>
      <c r="E16" s="30">
        <f t="shared" si="1"/>
        <v>24314318.5</v>
      </c>
      <c r="F16" s="30">
        <f t="shared" si="1"/>
        <v>9569680</v>
      </c>
      <c r="G16" s="30">
        <f t="shared" si="1"/>
        <v>9581216.3000000007</v>
      </c>
      <c r="H16" s="66">
        <f t="shared" si="1"/>
        <v>174837251.59999999</v>
      </c>
    </row>
    <row r="17" spans="2:8" s="1" customFormat="1" ht="14.4" x14ac:dyDescent="0.3">
      <c r="B17" s="119"/>
      <c r="C17" s="24"/>
      <c r="D17" s="3"/>
      <c r="E17"/>
      <c r="F17"/>
      <c r="G17" s="3"/>
      <c r="H17"/>
    </row>
    <row r="19" spans="2:8" ht="15" customHeight="1" x14ac:dyDescent="0.35">
      <c r="B19" s="108" t="s">
        <v>17</v>
      </c>
      <c r="C19" s="109"/>
      <c r="D19" s="109"/>
      <c r="E19" s="110"/>
      <c r="G19"/>
    </row>
    <row r="20" spans="2:8" ht="16.8" customHeight="1" x14ac:dyDescent="0.3">
      <c r="B20" s="25" t="s">
        <v>18</v>
      </c>
      <c r="C20" s="31" t="s">
        <v>19</v>
      </c>
      <c r="D20" s="106" t="s">
        <v>20</v>
      </c>
      <c r="E20" s="106"/>
      <c r="G20"/>
    </row>
    <row r="21" spans="2:8" ht="15" customHeight="1" x14ac:dyDescent="0.3">
      <c r="B21" s="44" t="s">
        <v>39</v>
      </c>
      <c r="C21" s="45">
        <f>'Seminole County'!G33</f>
        <v>15594271.800000001</v>
      </c>
      <c r="D21" s="107">
        <f>C21/C$25</f>
        <v>8.9193073314131177E-2</v>
      </c>
      <c r="E21" s="107"/>
      <c r="G21"/>
    </row>
    <row r="22" spans="2:8" ht="27.6" customHeight="1" x14ac:dyDescent="0.3">
      <c r="B22" s="43" t="s">
        <v>101</v>
      </c>
      <c r="C22" s="45">
        <f>'Biosolids Facility'!G53</f>
        <v>147886224.40000001</v>
      </c>
      <c r="D22" s="107">
        <f>C22/C$25</f>
        <v>0.84585077291388844</v>
      </c>
      <c r="E22" s="107"/>
      <c r="G22"/>
    </row>
    <row r="23" spans="2:8" ht="34.200000000000003" customHeight="1" x14ac:dyDescent="0.3">
      <c r="B23" s="43" t="s">
        <v>38</v>
      </c>
      <c r="C23" s="45">
        <f>'Landfill Geomembrane'!G30</f>
        <v>8109075.4000000004</v>
      </c>
      <c r="D23" s="107">
        <f>C23/C$25</f>
        <v>4.6380707348067228E-2</v>
      </c>
      <c r="E23" s="107"/>
      <c r="G23"/>
    </row>
    <row r="24" spans="2:8" ht="15" customHeight="1" x14ac:dyDescent="0.3">
      <c r="B24" s="43" t="s">
        <v>68</v>
      </c>
      <c r="C24" s="45">
        <f>'UCF Evaluation'!G38</f>
        <v>3247680</v>
      </c>
      <c r="D24" s="107">
        <f>C24/C$25</f>
        <v>1.8575446423913011E-2</v>
      </c>
      <c r="E24" s="107"/>
      <c r="G24"/>
    </row>
    <row r="25" spans="2:8" ht="15" customHeight="1" x14ac:dyDescent="0.3">
      <c r="B25" s="72" t="s">
        <v>71</v>
      </c>
      <c r="C25" s="73">
        <f>SUM(C21:C24)</f>
        <v>174837251.60000002</v>
      </c>
      <c r="D25" s="105">
        <f>SUM(D21:D24)</f>
        <v>0.99999999999999978</v>
      </c>
      <c r="E25" s="105"/>
      <c r="G25"/>
    </row>
    <row r="26" spans="2:8" ht="15" customHeight="1" x14ac:dyDescent="0.3">
      <c r="G26"/>
    </row>
  </sheetData>
  <mergeCells count="9">
    <mergeCell ref="B3:H3"/>
    <mergeCell ref="D25:E25"/>
    <mergeCell ref="D20:E20"/>
    <mergeCell ref="D21:E21"/>
    <mergeCell ref="D22:E22"/>
    <mergeCell ref="D23:E23"/>
    <mergeCell ref="D24:E24"/>
    <mergeCell ref="B5:H5"/>
    <mergeCell ref="B19:E19"/>
  </mergeCells>
  <pageMargins left="0.7" right="0.7" top="0.75" bottom="0.75" header="0.3" footer="0.3"/>
  <pageSetup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</sheetPr>
  <dimension ref="A5:AO33"/>
  <sheetViews>
    <sheetView showGridLines="0" topLeftCell="A13" zoomScale="85" zoomScaleNormal="85" workbookViewId="0">
      <selection activeCell="F33" sqref="B33:F33"/>
    </sheetView>
  </sheetViews>
  <sheetFormatPr defaultColWidth="9.109375" defaultRowHeight="14.4" x14ac:dyDescent="0.3"/>
  <cols>
    <col min="1" max="1" width="35.6640625" style="58" customWidth="1"/>
    <col min="2" max="2" width="12.44140625" style="90" customWidth="1"/>
    <col min="3" max="3" width="12.44140625" style="91" customWidth="1"/>
    <col min="4" max="5" width="12.44140625" style="92" customWidth="1"/>
    <col min="6" max="6" width="12.44140625" style="91" customWidth="1"/>
    <col min="7" max="7" width="12.44140625" style="92" customWidth="1"/>
    <col min="8" max="8" width="10.109375" style="6" customWidth="1"/>
    <col min="9" max="16384" width="9.109375" style="6"/>
  </cols>
  <sheetData>
    <row r="5" spans="1:41" x14ac:dyDescent="0.3">
      <c r="A5" s="111" t="s">
        <v>85</v>
      </c>
      <c r="B5" s="112"/>
      <c r="C5" s="112"/>
      <c r="D5" s="112"/>
      <c r="E5" s="112"/>
      <c r="F5" s="112"/>
      <c r="G5" s="11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</row>
    <row r="6" spans="1:41" x14ac:dyDescent="0.3">
      <c r="A6" s="20" t="s">
        <v>0</v>
      </c>
      <c r="B6" s="85" t="s">
        <v>1</v>
      </c>
      <c r="C6" s="86" t="s">
        <v>2</v>
      </c>
      <c r="D6" s="86" t="s">
        <v>3</v>
      </c>
      <c r="E6" s="86" t="s">
        <v>4</v>
      </c>
      <c r="F6" s="87" t="s">
        <v>5</v>
      </c>
      <c r="G6" s="88" t="s">
        <v>6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</row>
    <row r="7" spans="1:41" s="8" customFormat="1" x14ac:dyDescent="0.3">
      <c r="A7" s="59" t="s">
        <v>21</v>
      </c>
      <c r="B7" s="75" t="s">
        <v>22</v>
      </c>
      <c r="C7" s="75" t="s">
        <v>22</v>
      </c>
      <c r="D7" s="75" t="s">
        <v>22</v>
      </c>
      <c r="E7" s="75"/>
      <c r="F7" s="75" t="s">
        <v>22</v>
      </c>
      <c r="G7" s="76" t="s">
        <v>22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</row>
    <row r="8" spans="1:41" s="7" customFormat="1" x14ac:dyDescent="0.3">
      <c r="A8" s="61" t="s">
        <v>32</v>
      </c>
      <c r="B8" s="37">
        <v>60000</v>
      </c>
      <c r="C8" s="37">
        <v>63000</v>
      </c>
      <c r="D8" s="37">
        <v>66150</v>
      </c>
      <c r="E8" s="37">
        <v>69458</v>
      </c>
      <c r="F8" s="37">
        <v>72930</v>
      </c>
      <c r="G8" s="37">
        <f>SUM(B8:F8)</f>
        <v>331538</v>
      </c>
    </row>
    <row r="9" spans="1:41" s="7" customFormat="1" x14ac:dyDescent="0.3">
      <c r="A9" s="61" t="s">
        <v>33</v>
      </c>
      <c r="B9" s="37">
        <v>52000</v>
      </c>
      <c r="C9" s="37">
        <v>54600</v>
      </c>
      <c r="D9" s="37">
        <v>57330</v>
      </c>
      <c r="E9" s="37">
        <v>60197</v>
      </c>
      <c r="F9" s="37">
        <v>63206</v>
      </c>
      <c r="G9" s="37">
        <f>SUM(B9:F9)</f>
        <v>287333</v>
      </c>
    </row>
    <row r="10" spans="1:41" s="7" customFormat="1" x14ac:dyDescent="0.3">
      <c r="A10" s="53" t="s">
        <v>7</v>
      </c>
      <c r="B10" s="70">
        <f t="shared" ref="B10:G10" si="0">SUM(B8:B9)</f>
        <v>112000</v>
      </c>
      <c r="C10" s="70">
        <f t="shared" si="0"/>
        <v>117600</v>
      </c>
      <c r="D10" s="70">
        <f t="shared" si="0"/>
        <v>123480</v>
      </c>
      <c r="E10" s="70">
        <f t="shared" si="0"/>
        <v>129655</v>
      </c>
      <c r="F10" s="70">
        <f t="shared" si="0"/>
        <v>136136</v>
      </c>
      <c r="G10" s="70">
        <f t="shared" si="0"/>
        <v>618871</v>
      </c>
    </row>
    <row r="11" spans="1:41" s="7" customFormat="1" x14ac:dyDescent="0.3">
      <c r="A11" s="12" t="s">
        <v>34</v>
      </c>
      <c r="B11" s="37">
        <f>SUM(B10*35%)</f>
        <v>39200</v>
      </c>
      <c r="C11" s="75">
        <f>SUM(C10*35%)</f>
        <v>41160</v>
      </c>
      <c r="D11" s="75">
        <f>SUM(D10*35%)</f>
        <v>43218</v>
      </c>
      <c r="E11" s="75">
        <v>45379</v>
      </c>
      <c r="F11" s="75">
        <v>47648</v>
      </c>
      <c r="G11" s="76">
        <f>SUM(B11:F11)</f>
        <v>216605</v>
      </c>
    </row>
    <row r="12" spans="1:41" s="7" customFormat="1" x14ac:dyDescent="0.3">
      <c r="A12" s="68" t="s">
        <v>8</v>
      </c>
      <c r="B12" s="70">
        <f>SUM(B11)</f>
        <v>39200</v>
      </c>
      <c r="C12" s="70">
        <f>SUM(C11:C11)</f>
        <v>41160</v>
      </c>
      <c r="D12" s="70">
        <f>SUM(D11:D11)</f>
        <v>43218</v>
      </c>
      <c r="E12" s="70">
        <f>SUM(E11:E11)</f>
        <v>45379</v>
      </c>
      <c r="F12" s="70">
        <f>SUM(F11:F11)</f>
        <v>47648</v>
      </c>
      <c r="G12" s="70">
        <f>SUM(G11:G11)</f>
        <v>216605</v>
      </c>
    </row>
    <row r="13" spans="1:41" s="7" customFormat="1" x14ac:dyDescent="0.3">
      <c r="A13" s="14" t="s">
        <v>24</v>
      </c>
      <c r="B13" s="37" t="s">
        <v>22</v>
      </c>
      <c r="C13" s="39"/>
      <c r="D13" s="39"/>
      <c r="E13" s="39"/>
      <c r="F13" s="39"/>
      <c r="G13" s="77" t="s">
        <v>22</v>
      </c>
    </row>
    <row r="14" spans="1:41" s="7" customFormat="1" ht="28.8" x14ac:dyDescent="0.3">
      <c r="A14" s="36" t="s">
        <v>54</v>
      </c>
      <c r="B14" s="37">
        <v>50000</v>
      </c>
      <c r="C14" s="37">
        <v>50000</v>
      </c>
      <c r="D14" s="37">
        <v>50000</v>
      </c>
      <c r="E14" s="37">
        <v>50000</v>
      </c>
      <c r="F14" s="37">
        <v>50000</v>
      </c>
      <c r="G14" s="37">
        <f>SUM(B14:F14)</f>
        <v>250000</v>
      </c>
    </row>
    <row r="15" spans="1:41" s="7" customFormat="1" x14ac:dyDescent="0.3">
      <c r="A15" s="68" t="s">
        <v>9</v>
      </c>
      <c r="B15" s="70">
        <f>SUM(B14)</f>
        <v>50000</v>
      </c>
      <c r="C15" s="70">
        <f>SUM(C14)</f>
        <v>50000</v>
      </c>
      <c r="D15" s="70">
        <f>SUM(D14)</f>
        <v>50000</v>
      </c>
      <c r="E15" s="70">
        <f>SUM(E14)</f>
        <v>50000</v>
      </c>
      <c r="F15" s="70">
        <f>SUM(F14)</f>
        <v>50000</v>
      </c>
      <c r="G15" s="70">
        <f>SUM(G14:G14)</f>
        <v>250000</v>
      </c>
    </row>
    <row r="16" spans="1:41" s="7" customFormat="1" x14ac:dyDescent="0.3">
      <c r="A16" s="14" t="s">
        <v>25</v>
      </c>
      <c r="B16" s="37"/>
      <c r="C16" s="39"/>
      <c r="D16" s="39"/>
      <c r="E16" s="39"/>
      <c r="F16" s="39"/>
      <c r="G16" s="37" t="s">
        <v>15</v>
      </c>
    </row>
    <row r="17" spans="1:7" s="7" customFormat="1" x14ac:dyDescent="0.3">
      <c r="A17" s="68" t="s">
        <v>10</v>
      </c>
      <c r="B17" s="89">
        <v>0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</row>
    <row r="18" spans="1:7" s="7" customFormat="1" x14ac:dyDescent="0.3">
      <c r="A18" s="14" t="s">
        <v>26</v>
      </c>
      <c r="B18" s="37" t="s">
        <v>22</v>
      </c>
      <c r="C18" s="39"/>
      <c r="D18" s="39"/>
      <c r="E18" s="39"/>
      <c r="F18" s="39"/>
      <c r="G18" s="37"/>
    </row>
    <row r="19" spans="1:7" s="7" customFormat="1" x14ac:dyDescent="0.3">
      <c r="A19" s="60" t="s">
        <v>57</v>
      </c>
      <c r="B19" s="37">
        <v>2000</v>
      </c>
      <c r="C19" s="37">
        <v>500</v>
      </c>
      <c r="D19" s="37">
        <v>500</v>
      </c>
      <c r="E19" s="37">
        <v>500</v>
      </c>
      <c r="F19" s="37">
        <v>500</v>
      </c>
      <c r="G19" s="37">
        <f>SUM(B19:F19)</f>
        <v>4000</v>
      </c>
    </row>
    <row r="20" spans="1:7" s="7" customFormat="1" x14ac:dyDescent="0.3">
      <c r="A20" s="68" t="s">
        <v>11</v>
      </c>
      <c r="B20" s="70">
        <f t="shared" ref="B20:G20" si="1">SUM(B19:B19)</f>
        <v>2000</v>
      </c>
      <c r="C20" s="70">
        <f t="shared" si="1"/>
        <v>500</v>
      </c>
      <c r="D20" s="70">
        <f t="shared" si="1"/>
        <v>500</v>
      </c>
      <c r="E20" s="70">
        <f t="shared" si="1"/>
        <v>500</v>
      </c>
      <c r="F20" s="70">
        <f t="shared" si="1"/>
        <v>500</v>
      </c>
      <c r="G20" s="70">
        <f t="shared" si="1"/>
        <v>4000</v>
      </c>
    </row>
    <row r="21" spans="1:7" s="7" customFormat="1" x14ac:dyDescent="0.3">
      <c r="A21" s="14" t="s">
        <v>27</v>
      </c>
      <c r="B21" s="37" t="s">
        <v>22</v>
      </c>
      <c r="C21" s="39"/>
      <c r="D21" s="39"/>
      <c r="E21" s="39"/>
      <c r="F21" s="39"/>
      <c r="G21" s="37"/>
    </row>
    <row r="22" spans="1:7" s="7" customFormat="1" x14ac:dyDescent="0.3">
      <c r="A22" s="68" t="s">
        <v>12</v>
      </c>
      <c r="B22" s="70">
        <v>0</v>
      </c>
      <c r="C22" s="70">
        <v>0</v>
      </c>
      <c r="D22" s="70">
        <v>0</v>
      </c>
      <c r="E22" s="70">
        <v>0</v>
      </c>
      <c r="F22" s="70">
        <v>0</v>
      </c>
      <c r="G22" s="70">
        <v>0</v>
      </c>
    </row>
    <row r="23" spans="1:7" s="7" customFormat="1" x14ac:dyDescent="0.3">
      <c r="A23" s="14" t="s">
        <v>28</v>
      </c>
      <c r="B23" s="37" t="s">
        <v>22</v>
      </c>
      <c r="C23" s="39"/>
      <c r="D23" s="39"/>
      <c r="E23" s="39"/>
      <c r="F23" s="39"/>
      <c r="G23" s="37"/>
    </row>
    <row r="24" spans="1:7" s="7" customFormat="1" x14ac:dyDescent="0.3">
      <c r="A24" s="61" t="s">
        <v>35</v>
      </c>
      <c r="B24" s="37">
        <v>200000</v>
      </c>
      <c r="C24" s="39">
        <v>200000</v>
      </c>
      <c r="D24" s="39">
        <v>200000</v>
      </c>
      <c r="E24" s="39">
        <v>200000</v>
      </c>
      <c r="F24" s="39">
        <v>200000</v>
      </c>
      <c r="G24" s="37">
        <f>SUM(B24:F24)</f>
        <v>1000000</v>
      </c>
    </row>
    <row r="25" spans="1:7" s="7" customFormat="1" ht="28.8" x14ac:dyDescent="0.3">
      <c r="A25" s="36" t="s">
        <v>82</v>
      </c>
      <c r="B25" s="74">
        <v>6165375</v>
      </c>
      <c r="C25" s="39">
        <v>6165375</v>
      </c>
      <c r="D25" s="39"/>
      <c r="E25" s="39"/>
      <c r="F25" s="39"/>
      <c r="G25" s="37">
        <f>SUM(B25:F25)</f>
        <v>12330750</v>
      </c>
    </row>
    <row r="26" spans="1:7" s="7" customFormat="1" ht="28.8" x14ac:dyDescent="0.3">
      <c r="A26" s="36" t="s">
        <v>73</v>
      </c>
      <c r="B26" s="71">
        <v>200000</v>
      </c>
      <c r="C26" s="39">
        <v>200000</v>
      </c>
      <c r="D26" s="39">
        <v>200000</v>
      </c>
      <c r="E26" s="39">
        <v>200000</v>
      </c>
      <c r="F26" s="39">
        <v>200000</v>
      </c>
      <c r="G26" s="37">
        <f>SUM(B26:F26)</f>
        <v>1000000</v>
      </c>
    </row>
    <row r="27" spans="1:7" s="7" customFormat="1" x14ac:dyDescent="0.3">
      <c r="A27" s="68" t="s">
        <v>13</v>
      </c>
      <c r="B27" s="70">
        <f>SUM(B24:B26)</f>
        <v>6565375</v>
      </c>
      <c r="C27" s="70">
        <f>SUM(C24:C26)</f>
        <v>6565375</v>
      </c>
      <c r="D27" s="70">
        <f>SUM(D24:D26)</f>
        <v>400000</v>
      </c>
      <c r="E27" s="70">
        <f>SUM(E24:E26)</f>
        <v>400000</v>
      </c>
      <c r="F27" s="70">
        <f>SUM(F23:F26)</f>
        <v>400000</v>
      </c>
      <c r="G27" s="70">
        <f>SUM(G24:G26)</f>
        <v>14330750</v>
      </c>
    </row>
    <row r="28" spans="1:7" s="7" customFormat="1" x14ac:dyDescent="0.3">
      <c r="A28" s="68" t="s">
        <v>14</v>
      </c>
      <c r="B28" s="70">
        <f>SUM(B27,B22,B20,B17,B15,B12,B10)</f>
        <v>6768575</v>
      </c>
      <c r="C28" s="70">
        <f>SUM(C27,C22,C20,C17,C15,C12,C10)</f>
        <v>6774635</v>
      </c>
      <c r="D28" s="70">
        <f>SUM(D27,D22,D20,D17,D15,D12,D10)</f>
        <v>617198</v>
      </c>
      <c r="E28" s="70">
        <f>SUM(E27,E22,E20,E17,E15,E12,E10)</f>
        <v>625534</v>
      </c>
      <c r="F28" s="70">
        <f>SUM(F27,F22,F20,F17,F15,F12,F10)</f>
        <v>634284</v>
      </c>
      <c r="G28" s="70">
        <f>SUM(B28:F28)</f>
        <v>15420226</v>
      </c>
    </row>
    <row r="29" spans="1:7" s="7" customFormat="1" x14ac:dyDescent="0.3">
      <c r="A29" s="62" t="s">
        <v>29</v>
      </c>
      <c r="B29" s="80"/>
      <c r="C29" s="80"/>
      <c r="D29" s="80"/>
      <c r="E29" s="80"/>
      <c r="F29" s="80"/>
      <c r="G29" s="80" t="s">
        <v>15</v>
      </c>
    </row>
    <row r="30" spans="1:7" s="7" customFormat="1" x14ac:dyDescent="0.3">
      <c r="A30" s="61" t="s">
        <v>52</v>
      </c>
      <c r="B30" s="37">
        <f>SUM(B12+B10+B14+B20)+125000</f>
        <v>328200</v>
      </c>
      <c r="C30" s="39">
        <f>SUM(C12+C10+C14+C20)</f>
        <v>209260</v>
      </c>
      <c r="D30" s="39">
        <f>SUM(D12+D10+D14+D20)+125000</f>
        <v>342198</v>
      </c>
      <c r="E30" s="39">
        <f>SUM(E12+E10+E14+E20)</f>
        <v>225534</v>
      </c>
      <c r="F30" s="39">
        <f>SUM(F12+F10+F14+F20)</f>
        <v>234284</v>
      </c>
      <c r="G30" s="37">
        <f>SUM(B30:F30)</f>
        <v>1339476</v>
      </c>
    </row>
    <row r="31" spans="1:7" s="7" customFormat="1" x14ac:dyDescent="0.3">
      <c r="A31" s="61" t="s">
        <v>36</v>
      </c>
      <c r="B31" s="37">
        <f>SUM(B30*10%)</f>
        <v>32820</v>
      </c>
      <c r="C31" s="39">
        <f>SUM(C30*10%)</f>
        <v>20926</v>
      </c>
      <c r="D31" s="39">
        <f>SUM(D30*15%)</f>
        <v>51329.7</v>
      </c>
      <c r="E31" s="39">
        <f>SUM(E30*15%)</f>
        <v>33830.1</v>
      </c>
      <c r="F31" s="39">
        <v>35140</v>
      </c>
      <c r="G31" s="37">
        <f>SUM(B31:F31)</f>
        <v>174045.8</v>
      </c>
    </row>
    <row r="32" spans="1:7" s="7" customFormat="1" ht="15" thickBot="1" x14ac:dyDescent="0.35">
      <c r="A32" s="68" t="s">
        <v>16</v>
      </c>
      <c r="B32" s="70">
        <f>SUM(B31)</f>
        <v>32820</v>
      </c>
      <c r="C32" s="70">
        <f>C31</f>
        <v>20926</v>
      </c>
      <c r="D32" s="70">
        <f>D31</f>
        <v>51329.7</v>
      </c>
      <c r="E32" s="70">
        <f>E31</f>
        <v>33830.1</v>
      </c>
      <c r="F32" s="70">
        <f>F31</f>
        <v>35140</v>
      </c>
      <c r="G32" s="70">
        <f>SUM(B32:F32)</f>
        <v>174045.8</v>
      </c>
    </row>
    <row r="33" spans="1:7" s="4" customFormat="1" ht="15" thickBot="1" x14ac:dyDescent="0.35">
      <c r="A33" s="18" t="s">
        <v>69</v>
      </c>
      <c r="B33" s="81">
        <f>SUM(B32+B28)</f>
        <v>6801395</v>
      </c>
      <c r="C33" s="81">
        <f>SUM(C32+C28)</f>
        <v>6795561</v>
      </c>
      <c r="D33" s="81">
        <f t="shared" ref="D33:G33" si="2">SUM(D32,D28)</f>
        <v>668527.69999999995</v>
      </c>
      <c r="E33" s="81">
        <f t="shared" si="2"/>
        <v>659364.1</v>
      </c>
      <c r="F33" s="81">
        <f t="shared" si="2"/>
        <v>669424</v>
      </c>
      <c r="G33" s="81">
        <f t="shared" si="2"/>
        <v>15594271.800000001</v>
      </c>
    </row>
  </sheetData>
  <mergeCells count="1">
    <mergeCell ref="A5:G5"/>
  </mergeCells>
  <pageMargins left="1" right="1" top="1" bottom="1" header="0.5" footer="0.5"/>
  <pageSetup orientation="landscape" r:id="rId1"/>
  <ignoredErrors>
    <ignoredError sqref="G19 G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</sheetPr>
  <dimension ref="A5:AM53"/>
  <sheetViews>
    <sheetView showGridLines="0" zoomScale="85" zoomScaleNormal="85" workbookViewId="0">
      <pane xSplit="1" ySplit="6" topLeftCell="B3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H55" sqref="H55"/>
    </sheetView>
  </sheetViews>
  <sheetFormatPr defaultColWidth="9.109375" defaultRowHeight="14.4" x14ac:dyDescent="0.3"/>
  <cols>
    <col min="1" max="1" width="32.109375" style="6" customWidth="1"/>
    <col min="2" max="2" width="14.44140625" style="9" customWidth="1"/>
    <col min="3" max="3" width="12.44140625" style="3" customWidth="1"/>
    <col min="4" max="4" width="12.6640625" style="6" customWidth="1"/>
    <col min="5" max="5" width="12.88671875" style="6" customWidth="1"/>
    <col min="6" max="6" width="13.44140625" style="3" customWidth="1"/>
    <col min="7" max="7" width="14.44140625" style="6" customWidth="1"/>
    <col min="8" max="16384" width="9.109375" style="6"/>
  </cols>
  <sheetData>
    <row r="5" spans="1:39" ht="18" x14ac:dyDescent="0.35">
      <c r="A5" s="114" t="s">
        <v>80</v>
      </c>
      <c r="B5" s="115"/>
      <c r="C5" s="115"/>
      <c r="D5" s="115"/>
      <c r="E5" s="115"/>
      <c r="F5" s="115"/>
      <c r="G5" s="116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1:39" x14ac:dyDescent="0.3">
      <c r="A6" s="20" t="s">
        <v>0</v>
      </c>
      <c r="B6" s="20" t="s">
        <v>1</v>
      </c>
      <c r="C6" s="21" t="s">
        <v>2</v>
      </c>
      <c r="D6" s="21" t="s">
        <v>3</v>
      </c>
      <c r="E6" s="21" t="s">
        <v>4</v>
      </c>
      <c r="F6" s="22" t="s">
        <v>5</v>
      </c>
      <c r="G6" s="23" t="s">
        <v>6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39" s="8" customFormat="1" x14ac:dyDescent="0.3">
      <c r="A7" s="19" t="s">
        <v>21</v>
      </c>
      <c r="B7" s="12" t="s">
        <v>22</v>
      </c>
      <c r="C7" s="12" t="s">
        <v>22</v>
      </c>
      <c r="D7" s="12" t="s">
        <v>22</v>
      </c>
      <c r="E7" s="12"/>
      <c r="F7" s="12" t="s">
        <v>22</v>
      </c>
      <c r="G7" s="10" t="s">
        <v>22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39" s="8" customFormat="1" x14ac:dyDescent="0.3">
      <c r="A8" s="46" t="s">
        <v>65</v>
      </c>
      <c r="B8" s="40">
        <v>60000</v>
      </c>
      <c r="C8" s="40">
        <v>63000</v>
      </c>
      <c r="D8" s="40">
        <v>66150</v>
      </c>
      <c r="E8" s="40">
        <v>69458</v>
      </c>
      <c r="F8" s="40">
        <v>72930</v>
      </c>
      <c r="G8" s="40">
        <f>SUM(B8:F8)</f>
        <v>331538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39" s="8" customFormat="1" x14ac:dyDescent="0.3">
      <c r="A9" s="46" t="s">
        <v>74</v>
      </c>
      <c r="B9" s="40">
        <v>52000</v>
      </c>
      <c r="C9" s="40">
        <v>54600</v>
      </c>
      <c r="D9" s="40">
        <v>57330</v>
      </c>
      <c r="E9" s="40">
        <v>60197</v>
      </c>
      <c r="F9" s="40">
        <v>63206</v>
      </c>
      <c r="G9" s="40">
        <f>SUM(B9:F9)</f>
        <v>287333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39" s="8" customFormat="1" x14ac:dyDescent="0.3">
      <c r="A10" s="46" t="s">
        <v>75</v>
      </c>
      <c r="B10" s="40">
        <v>52000</v>
      </c>
      <c r="C10" s="40">
        <v>54600</v>
      </c>
      <c r="D10" s="40">
        <v>57330</v>
      </c>
      <c r="E10" s="40">
        <v>60197</v>
      </c>
      <c r="F10" s="40">
        <v>63206</v>
      </c>
      <c r="G10" s="40">
        <f>SUM(B10:F10)</f>
        <v>287333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39" s="7" customFormat="1" x14ac:dyDescent="0.3">
      <c r="A11" s="53" t="s">
        <v>7</v>
      </c>
      <c r="B11" s="67">
        <f>SUM(B8:B10)</f>
        <v>164000</v>
      </c>
      <c r="C11" s="67">
        <f>SUM(C8:C10)</f>
        <v>172200</v>
      </c>
      <c r="D11" s="67">
        <f>SUM(D8:D10)</f>
        <v>180810</v>
      </c>
      <c r="E11" s="67">
        <f>SUM(E8:E10)</f>
        <v>189852</v>
      </c>
      <c r="F11" s="67">
        <f>SUM(F8:F10)</f>
        <v>199342</v>
      </c>
      <c r="G11" s="67">
        <f>SUM(B11:F11)</f>
        <v>906204</v>
      </c>
    </row>
    <row r="12" spans="1:39" s="7" customFormat="1" x14ac:dyDescent="0.3">
      <c r="A12" s="14" t="s">
        <v>23</v>
      </c>
      <c r="B12" s="13" t="s">
        <v>22</v>
      </c>
      <c r="C12" s="12"/>
      <c r="D12" s="12"/>
      <c r="E12" s="12"/>
      <c r="F12" s="12"/>
      <c r="G12" s="10" t="s">
        <v>22</v>
      </c>
    </row>
    <row r="13" spans="1:39" s="7" customFormat="1" x14ac:dyDescent="0.3">
      <c r="A13" s="46" t="s">
        <v>66</v>
      </c>
      <c r="B13" s="39">
        <v>57400</v>
      </c>
      <c r="C13" s="39">
        <v>60270</v>
      </c>
      <c r="D13" s="39">
        <v>63284</v>
      </c>
      <c r="E13" s="39">
        <v>66448</v>
      </c>
      <c r="F13" s="39">
        <v>69770</v>
      </c>
      <c r="G13" s="39">
        <f>SUM(B13:F13)</f>
        <v>317172</v>
      </c>
    </row>
    <row r="14" spans="1:39" s="7" customFormat="1" x14ac:dyDescent="0.3">
      <c r="A14" s="68" t="s">
        <v>8</v>
      </c>
      <c r="B14" s="67">
        <f>SUM(B13)</f>
        <v>57400</v>
      </c>
      <c r="C14" s="67">
        <f>SUM(C13)</f>
        <v>60270</v>
      </c>
      <c r="D14" s="67">
        <f>SUM(D13)</f>
        <v>63284</v>
      </c>
      <c r="E14" s="67">
        <f>SUM(E13)</f>
        <v>66448</v>
      </c>
      <c r="F14" s="67">
        <f>SUM(F13)</f>
        <v>69770</v>
      </c>
      <c r="G14" s="67">
        <f t="shared" ref="G14" si="0">SUM(G13:G13)</f>
        <v>317172</v>
      </c>
    </row>
    <row r="15" spans="1:39" s="7" customFormat="1" x14ac:dyDescent="0.3">
      <c r="A15" s="14" t="s">
        <v>24</v>
      </c>
      <c r="B15" s="13" t="s">
        <v>22</v>
      </c>
      <c r="C15" s="12"/>
      <c r="D15" s="12"/>
      <c r="E15" s="12"/>
      <c r="F15" s="12"/>
      <c r="G15" s="10" t="s">
        <v>22</v>
      </c>
    </row>
    <row r="16" spans="1:39" s="7" customFormat="1" x14ac:dyDescent="0.3">
      <c r="A16" s="53" t="s">
        <v>9</v>
      </c>
      <c r="B16" s="67">
        <v>0</v>
      </c>
      <c r="C16" s="67">
        <v>0</v>
      </c>
      <c r="D16" s="67">
        <v>0</v>
      </c>
      <c r="E16" s="67">
        <v>0</v>
      </c>
      <c r="F16" s="67">
        <v>0</v>
      </c>
      <c r="G16" s="67">
        <v>0</v>
      </c>
    </row>
    <row r="17" spans="1:7" s="7" customFormat="1" x14ac:dyDescent="0.3">
      <c r="A17" s="14" t="s">
        <v>25</v>
      </c>
      <c r="B17" s="15"/>
      <c r="C17" s="12"/>
      <c r="D17" s="12"/>
      <c r="E17" s="12"/>
      <c r="F17" s="12"/>
      <c r="G17" s="15" t="s">
        <v>15</v>
      </c>
    </row>
    <row r="18" spans="1:7" s="7" customFormat="1" ht="34.200000000000003" customHeight="1" x14ac:dyDescent="0.3">
      <c r="A18" s="36" t="s">
        <v>92</v>
      </c>
      <c r="B18" s="35"/>
      <c r="C18" s="40">
        <v>1000000</v>
      </c>
      <c r="D18" s="12"/>
      <c r="E18" s="12"/>
      <c r="F18" s="12"/>
      <c r="G18" s="35">
        <f>SUM(C18:F18)</f>
        <v>1000000</v>
      </c>
    </row>
    <row r="19" spans="1:7" s="7" customFormat="1" ht="28.8" customHeight="1" x14ac:dyDescent="0.3">
      <c r="A19" s="36" t="s">
        <v>72</v>
      </c>
      <c r="B19" s="35"/>
      <c r="C19" s="40">
        <v>2325000</v>
      </c>
      <c r="D19" s="12"/>
      <c r="E19" s="12"/>
      <c r="F19" s="12"/>
      <c r="G19" s="35">
        <f>SUM(C19:F19)</f>
        <v>2325000</v>
      </c>
    </row>
    <row r="20" spans="1:7" s="7" customFormat="1" x14ac:dyDescent="0.3">
      <c r="A20" s="53" t="s">
        <v>10</v>
      </c>
      <c r="B20" s="69">
        <f>SUM(B19:B19)</f>
        <v>0</v>
      </c>
      <c r="C20" s="69">
        <f>SUM(C18:C19)</f>
        <v>3325000</v>
      </c>
      <c r="D20" s="69">
        <f>SUM(D19:D19)</f>
        <v>0</v>
      </c>
      <c r="E20" s="69">
        <f>SUM(E19:E19)</f>
        <v>0</v>
      </c>
      <c r="F20" s="69">
        <f>SUM(F19:F19)</f>
        <v>0</v>
      </c>
      <c r="G20" s="67">
        <f>SUM(G18:G19)</f>
        <v>3325000</v>
      </c>
    </row>
    <row r="21" spans="1:7" s="7" customFormat="1" x14ac:dyDescent="0.3">
      <c r="A21" s="14" t="s">
        <v>26</v>
      </c>
      <c r="B21" s="13" t="s">
        <v>22</v>
      </c>
      <c r="C21" s="12"/>
      <c r="D21" s="12"/>
      <c r="E21" s="12"/>
      <c r="F21" s="12"/>
      <c r="G21" s="15"/>
    </row>
    <row r="22" spans="1:7" s="7" customFormat="1" x14ac:dyDescent="0.3">
      <c r="A22" s="53" t="s">
        <v>11</v>
      </c>
      <c r="B22" s="67">
        <v>0</v>
      </c>
      <c r="C22" s="67">
        <v>0</v>
      </c>
      <c r="D22" s="67">
        <v>0</v>
      </c>
      <c r="E22" s="67">
        <v>0</v>
      </c>
      <c r="F22" s="67">
        <v>0</v>
      </c>
      <c r="G22" s="67">
        <v>0</v>
      </c>
    </row>
    <row r="23" spans="1:7" s="7" customFormat="1" x14ac:dyDescent="0.3">
      <c r="A23" s="14" t="s">
        <v>27</v>
      </c>
      <c r="B23" s="13" t="s">
        <v>22</v>
      </c>
      <c r="C23" s="12"/>
      <c r="D23" s="12"/>
      <c r="E23" s="12"/>
      <c r="F23" s="12"/>
      <c r="G23" s="15"/>
    </row>
    <row r="24" spans="1:7" s="7" customFormat="1" ht="49.8" customHeight="1" x14ac:dyDescent="0.3">
      <c r="A24" s="36" t="s">
        <v>93</v>
      </c>
      <c r="B24" s="40">
        <v>11059690</v>
      </c>
      <c r="C24" s="40"/>
      <c r="D24" s="40"/>
      <c r="E24" s="40"/>
      <c r="F24" s="40"/>
      <c r="G24" s="40">
        <f t="shared" ref="G24:G48" si="1">SUM(B24:F24)</f>
        <v>11059690</v>
      </c>
    </row>
    <row r="25" spans="1:7" s="7" customFormat="1" ht="78.599999999999994" customHeight="1" x14ac:dyDescent="0.3">
      <c r="A25" s="36" t="s">
        <v>94</v>
      </c>
      <c r="B25" s="40">
        <v>11034986</v>
      </c>
      <c r="C25" s="40"/>
      <c r="D25" s="40"/>
      <c r="E25" s="40"/>
      <c r="F25" s="40"/>
      <c r="G25" s="40">
        <f t="shared" si="1"/>
        <v>11034986</v>
      </c>
    </row>
    <row r="26" spans="1:7" s="7" customFormat="1" ht="75.599999999999994" customHeight="1" x14ac:dyDescent="0.3">
      <c r="A26" s="36" t="s">
        <v>77</v>
      </c>
      <c r="B26" s="40">
        <v>18407639</v>
      </c>
      <c r="C26" s="40"/>
      <c r="D26" s="40"/>
      <c r="E26" s="40"/>
      <c r="F26" s="40"/>
      <c r="G26" s="40">
        <f t="shared" si="1"/>
        <v>18407639</v>
      </c>
    </row>
    <row r="27" spans="1:7" s="7" customFormat="1" ht="100.8" customHeight="1" x14ac:dyDescent="0.3">
      <c r="A27" s="36" t="s">
        <v>78</v>
      </c>
      <c r="B27" s="40">
        <v>7573258</v>
      </c>
      <c r="C27" s="40"/>
      <c r="D27" s="40"/>
      <c r="E27" s="40"/>
      <c r="F27" s="40"/>
      <c r="G27" s="40">
        <f t="shared" si="1"/>
        <v>7573258</v>
      </c>
    </row>
    <row r="28" spans="1:7" s="7" customFormat="1" ht="28.8" x14ac:dyDescent="0.3">
      <c r="A28" s="36" t="s">
        <v>76</v>
      </c>
      <c r="B28" s="40">
        <v>19992000</v>
      </c>
      <c r="C28" s="36">
        <v>19992000</v>
      </c>
      <c r="D28" s="36">
        <v>9996000</v>
      </c>
      <c r="E28" s="36"/>
      <c r="F28" s="36"/>
      <c r="G28" s="40">
        <f>SUM(B28:F28)</f>
        <v>49980000</v>
      </c>
    </row>
    <row r="29" spans="1:7" s="7" customFormat="1" ht="117" customHeight="1" x14ac:dyDescent="0.3">
      <c r="A29" s="93" t="s">
        <v>95</v>
      </c>
      <c r="B29" s="40">
        <v>2249100</v>
      </c>
      <c r="C29" s="40">
        <v>2998800</v>
      </c>
      <c r="D29" s="40">
        <v>2249100</v>
      </c>
      <c r="E29" s="40"/>
      <c r="F29" s="40"/>
      <c r="G29" s="40">
        <f>SUM(B29:F29)</f>
        <v>7497000</v>
      </c>
    </row>
    <row r="30" spans="1:7" s="7" customFormat="1" ht="97.8" customHeight="1" x14ac:dyDescent="0.3">
      <c r="A30" s="94" t="s">
        <v>96</v>
      </c>
      <c r="B30" s="95">
        <v>2793051</v>
      </c>
      <c r="C30" s="95">
        <v>4655085</v>
      </c>
      <c r="D30" s="95">
        <v>1862034</v>
      </c>
      <c r="E30" s="96"/>
      <c r="F30" s="96"/>
      <c r="G30" s="95">
        <v>9310170</v>
      </c>
    </row>
    <row r="31" spans="1:7" s="7" customFormat="1" ht="97.8" customHeight="1" x14ac:dyDescent="0.3">
      <c r="A31" s="94" t="s">
        <v>81</v>
      </c>
      <c r="B31" s="95">
        <v>1033429</v>
      </c>
      <c r="C31" s="95">
        <v>1722381</v>
      </c>
      <c r="D31" s="95">
        <v>688953</v>
      </c>
      <c r="E31" s="96"/>
      <c r="F31" s="96"/>
      <c r="G31" s="95">
        <f>SUM(B31:F31)</f>
        <v>3444763</v>
      </c>
    </row>
    <row r="32" spans="1:7" s="7" customFormat="1" ht="59.4" customHeight="1" x14ac:dyDescent="0.3">
      <c r="A32" s="97" t="s">
        <v>97</v>
      </c>
      <c r="B32" s="98"/>
      <c r="C32" s="98"/>
      <c r="D32" s="99">
        <v>942402</v>
      </c>
      <c r="E32" s="99">
        <v>942402</v>
      </c>
      <c r="F32" s="99">
        <v>942402</v>
      </c>
      <c r="G32" s="100">
        <v>2827206</v>
      </c>
    </row>
    <row r="33" spans="1:7" s="7" customFormat="1" ht="72" x14ac:dyDescent="0.3">
      <c r="A33" s="94" t="s">
        <v>79</v>
      </c>
      <c r="B33" s="101"/>
      <c r="C33" s="101"/>
      <c r="D33" s="101">
        <v>166980</v>
      </c>
      <c r="E33" s="101">
        <v>166980</v>
      </c>
      <c r="F33" s="101">
        <v>166980</v>
      </c>
      <c r="G33" s="101">
        <v>500940</v>
      </c>
    </row>
    <row r="34" spans="1:7" s="7" customFormat="1" ht="73.8" customHeight="1" x14ac:dyDescent="0.3">
      <c r="A34" s="94" t="s">
        <v>102</v>
      </c>
      <c r="B34" s="101"/>
      <c r="C34" s="101"/>
      <c r="D34" s="101">
        <v>186203</v>
      </c>
      <c r="E34" s="101">
        <v>186203</v>
      </c>
      <c r="F34" s="101">
        <v>186203</v>
      </c>
      <c r="G34" s="101">
        <v>558609</v>
      </c>
    </row>
    <row r="35" spans="1:7" s="7" customFormat="1" ht="28.8" x14ac:dyDescent="0.3">
      <c r="A35" s="102" t="s">
        <v>55</v>
      </c>
      <c r="B35" s="103">
        <v>5000000</v>
      </c>
      <c r="C35" s="102"/>
      <c r="D35" s="102"/>
      <c r="E35" s="102"/>
      <c r="F35" s="102"/>
      <c r="G35" s="103">
        <f>SUM(B35:F35)</f>
        <v>5000000</v>
      </c>
    </row>
    <row r="36" spans="1:7" s="7" customFormat="1" ht="43.2" x14ac:dyDescent="0.3">
      <c r="A36" s="36" t="s">
        <v>56</v>
      </c>
      <c r="B36" s="40"/>
      <c r="C36" s="36"/>
      <c r="D36" s="36">
        <v>148000</v>
      </c>
      <c r="E36" s="36">
        <v>148000</v>
      </c>
      <c r="F36" s="36">
        <v>148000</v>
      </c>
      <c r="G36" s="40">
        <f>SUM(B36:F36)</f>
        <v>444000</v>
      </c>
    </row>
    <row r="37" spans="1:7" s="7" customFormat="1" x14ac:dyDescent="0.3">
      <c r="A37" s="53" t="s">
        <v>12</v>
      </c>
      <c r="B37" s="67">
        <f t="shared" ref="B37:G37" si="2">SUM(B24:B36)</f>
        <v>79143153</v>
      </c>
      <c r="C37" s="67">
        <f t="shared" si="2"/>
        <v>29368266</v>
      </c>
      <c r="D37" s="67">
        <f t="shared" si="2"/>
        <v>16239672</v>
      </c>
      <c r="E37" s="67">
        <f t="shared" si="2"/>
        <v>1443585</v>
      </c>
      <c r="F37" s="67">
        <f t="shared" si="2"/>
        <v>1443585</v>
      </c>
      <c r="G37" s="67">
        <f t="shared" si="2"/>
        <v>127638261</v>
      </c>
    </row>
    <row r="38" spans="1:7" s="7" customFormat="1" x14ac:dyDescent="0.3">
      <c r="A38" s="14" t="s">
        <v>28</v>
      </c>
      <c r="B38" s="13" t="s">
        <v>22</v>
      </c>
      <c r="C38" s="12"/>
      <c r="D38" s="12"/>
      <c r="E38" s="12"/>
      <c r="F38" s="12"/>
      <c r="G38" s="15"/>
    </row>
    <row r="39" spans="1:7" s="7" customFormat="1" ht="28.8" x14ac:dyDescent="0.3">
      <c r="A39" s="46" t="s">
        <v>37</v>
      </c>
      <c r="B39" s="40">
        <v>2630757</v>
      </c>
      <c r="C39" s="40"/>
      <c r="D39" s="40"/>
      <c r="E39" s="40"/>
      <c r="F39" s="40"/>
      <c r="G39" s="40">
        <f>SUM(B39:F39)</f>
        <v>2630757</v>
      </c>
    </row>
    <row r="40" spans="1:7" s="7" customFormat="1" ht="28.8" x14ac:dyDescent="0.3">
      <c r="A40" s="46" t="s">
        <v>98</v>
      </c>
      <c r="B40" s="39"/>
      <c r="C40" s="38"/>
      <c r="D40" s="39">
        <v>1906423</v>
      </c>
      <c r="E40" s="39">
        <v>1906423</v>
      </c>
      <c r="F40" s="39">
        <v>1906423</v>
      </c>
      <c r="G40" s="39">
        <f>SUM(B40:F40)</f>
        <v>5719269</v>
      </c>
    </row>
    <row r="41" spans="1:7" s="7" customFormat="1" x14ac:dyDescent="0.3">
      <c r="A41" s="46" t="s">
        <v>59</v>
      </c>
      <c r="B41" s="39"/>
      <c r="C41" s="38"/>
      <c r="D41" s="39">
        <v>1098423</v>
      </c>
      <c r="E41" s="39">
        <v>1098423</v>
      </c>
      <c r="F41" s="39">
        <v>1098423</v>
      </c>
      <c r="G41" s="39">
        <f>SUM(B41:F41)</f>
        <v>3295269</v>
      </c>
    </row>
    <row r="42" spans="1:7" s="7" customFormat="1" x14ac:dyDescent="0.3">
      <c r="A42" s="46" t="s">
        <v>60</v>
      </c>
      <c r="B42" s="40"/>
      <c r="C42" s="40"/>
      <c r="D42" s="40">
        <v>38149</v>
      </c>
      <c r="E42" s="40">
        <v>38149</v>
      </c>
      <c r="F42" s="40">
        <v>38149</v>
      </c>
      <c r="G42" s="40">
        <f t="shared" ref="G42" si="3">SUM(B42:F42)</f>
        <v>114447</v>
      </c>
    </row>
    <row r="43" spans="1:7" s="7" customFormat="1" x14ac:dyDescent="0.3">
      <c r="A43" s="46" t="s">
        <v>61</v>
      </c>
      <c r="B43" s="47"/>
      <c r="C43" s="47"/>
      <c r="D43" s="40">
        <v>30781</v>
      </c>
      <c r="E43" s="40">
        <v>30781</v>
      </c>
      <c r="F43" s="40">
        <v>30781</v>
      </c>
      <c r="G43" s="40">
        <f>SUM(D43:F43)</f>
        <v>92343</v>
      </c>
    </row>
    <row r="44" spans="1:7" s="7" customFormat="1" x14ac:dyDescent="0.3">
      <c r="A44" s="46" t="s">
        <v>62</v>
      </c>
      <c r="B44" s="47"/>
      <c r="C44" s="47"/>
      <c r="D44" s="40">
        <v>761699</v>
      </c>
      <c r="E44" s="40">
        <v>761699</v>
      </c>
      <c r="F44" s="40">
        <v>761699</v>
      </c>
      <c r="G44" s="40">
        <f>SUM(D44:F44)</f>
        <v>2285097</v>
      </c>
    </row>
    <row r="45" spans="1:7" s="7" customFormat="1" x14ac:dyDescent="0.3">
      <c r="A45" s="46" t="s">
        <v>63</v>
      </c>
      <c r="B45" s="47"/>
      <c r="C45" s="47"/>
      <c r="D45" s="40">
        <f>507375/2</f>
        <v>253687.5</v>
      </c>
      <c r="E45" s="40">
        <f t="shared" ref="E45:F45" si="4">507375/2</f>
        <v>253687.5</v>
      </c>
      <c r="F45" s="40">
        <f t="shared" si="4"/>
        <v>253687.5</v>
      </c>
      <c r="G45" s="40">
        <f>SUM(D45:F45)</f>
        <v>761062.5</v>
      </c>
    </row>
    <row r="46" spans="1:7" s="7" customFormat="1" x14ac:dyDescent="0.3">
      <c r="A46" s="46" t="s">
        <v>64</v>
      </c>
      <c r="B46" s="40"/>
      <c r="C46" s="40"/>
      <c r="D46" s="40">
        <v>133520</v>
      </c>
      <c r="E46" s="40">
        <v>133520</v>
      </c>
      <c r="F46" s="40">
        <v>133520</v>
      </c>
      <c r="G46" s="40">
        <f t="shared" ref="G46" si="5">SUM(D46:F46)</f>
        <v>400560</v>
      </c>
    </row>
    <row r="47" spans="1:7" s="7" customFormat="1" x14ac:dyDescent="0.3">
      <c r="A47" s="53" t="s">
        <v>13</v>
      </c>
      <c r="B47" s="67">
        <f t="shared" ref="B47:G47" si="6">SUM(B39:B46)</f>
        <v>2630757</v>
      </c>
      <c r="C47" s="67">
        <f t="shared" si="6"/>
        <v>0</v>
      </c>
      <c r="D47" s="67">
        <f t="shared" si="6"/>
        <v>4222682.5</v>
      </c>
      <c r="E47" s="67">
        <f t="shared" si="6"/>
        <v>4222682.5</v>
      </c>
      <c r="F47" s="67">
        <f t="shared" si="6"/>
        <v>4222682.5</v>
      </c>
      <c r="G47" s="67">
        <f t="shared" si="6"/>
        <v>15298804.5</v>
      </c>
    </row>
    <row r="48" spans="1:7" s="7" customFormat="1" x14ac:dyDescent="0.3">
      <c r="A48" s="53" t="s">
        <v>14</v>
      </c>
      <c r="B48" s="67">
        <f>SUM(B47,B37,B22,B20,B16,B14,B11)</f>
        <v>81995310</v>
      </c>
      <c r="C48" s="67">
        <f>SUM(C47,C37,C22,C20,C16,C14,C11)</f>
        <v>32925736</v>
      </c>
      <c r="D48" s="67">
        <f>SUM(D47,D37,D22,D20,D16,D14,D11)</f>
        <v>20706448.5</v>
      </c>
      <c r="E48" s="67">
        <f>SUM(E47,E37,E22,E20,E16,E14,E11)</f>
        <v>5922567.5</v>
      </c>
      <c r="F48" s="67">
        <f>SUM(F47,F37,F22,F20,F16,F14,F11)</f>
        <v>5935379.5</v>
      </c>
      <c r="G48" s="67">
        <f t="shared" si="1"/>
        <v>147485441.5</v>
      </c>
    </row>
    <row r="49" spans="1:7" s="7" customFormat="1" x14ac:dyDescent="0.3">
      <c r="A49" s="16" t="s">
        <v>29</v>
      </c>
      <c r="B49" s="48"/>
      <c r="C49" s="17"/>
      <c r="D49" s="17"/>
      <c r="E49" s="17"/>
      <c r="F49" s="17"/>
      <c r="G49" s="17" t="s">
        <v>15</v>
      </c>
    </row>
    <row r="50" spans="1:7" s="7" customFormat="1" x14ac:dyDescent="0.3">
      <c r="A50" s="46" t="s">
        <v>41</v>
      </c>
      <c r="B50" s="37">
        <f>SUM(B14+B11)+75000</f>
        <v>296400</v>
      </c>
      <c r="C50" s="39">
        <f>SUM(C11+C14)</f>
        <v>232470</v>
      </c>
      <c r="D50" s="39">
        <f>SUM(D14+D11)</f>
        <v>244094</v>
      </c>
      <c r="E50" s="39">
        <f>SUM(E14+E11)</f>
        <v>256300</v>
      </c>
      <c r="F50" s="39">
        <f>SUM(F14+F11)</f>
        <v>269112</v>
      </c>
      <c r="G50" s="37">
        <f>SUM(B50:F50)</f>
        <v>1298376</v>
      </c>
    </row>
    <row r="51" spans="1:7" s="7" customFormat="1" x14ac:dyDescent="0.3">
      <c r="A51" s="34" t="s">
        <v>67</v>
      </c>
      <c r="B51" s="37">
        <f>SUM(B50*10%)</f>
        <v>29640</v>
      </c>
      <c r="C51" s="39">
        <f>SUM(C50*10%)</f>
        <v>23247</v>
      </c>
      <c r="D51" s="39">
        <f>SUM(D50*15%)</f>
        <v>36614.1</v>
      </c>
      <c r="E51" s="39">
        <f>SUM(E50*15%)</f>
        <v>38445</v>
      </c>
      <c r="F51" s="39">
        <f>SUM(F50*15%)</f>
        <v>40366.799999999996</v>
      </c>
      <c r="G51" s="37">
        <f t="shared" ref="G51:G52" si="7">SUM(B51:F51)</f>
        <v>168312.9</v>
      </c>
    </row>
    <row r="52" spans="1:7" s="7" customFormat="1" ht="15" thickBot="1" x14ac:dyDescent="0.35">
      <c r="A52" s="53" t="s">
        <v>16</v>
      </c>
      <c r="B52" s="70">
        <f>SUM(B51)</f>
        <v>29640</v>
      </c>
      <c r="C52" s="70">
        <f t="shared" ref="C52" si="8">SUM(C50:C51)</f>
        <v>255717</v>
      </c>
      <c r="D52" s="70">
        <f>SUM(D51)</f>
        <v>36614.1</v>
      </c>
      <c r="E52" s="70">
        <f>SUM(E51)</f>
        <v>38445</v>
      </c>
      <c r="F52" s="70">
        <f>SUM(F51)</f>
        <v>40366.799999999996</v>
      </c>
      <c r="G52" s="70">
        <f t="shared" si="7"/>
        <v>400782.89999999997</v>
      </c>
    </row>
    <row r="53" spans="1:7" s="4" customFormat="1" ht="15" thickBot="1" x14ac:dyDescent="0.35">
      <c r="A53" s="18" t="s">
        <v>69</v>
      </c>
      <c r="B53" s="42">
        <f t="shared" ref="B53:G53" si="9">SUM(B52,B48)</f>
        <v>82024950</v>
      </c>
      <c r="C53" s="42">
        <f t="shared" si="9"/>
        <v>33181453</v>
      </c>
      <c r="D53" s="42">
        <f t="shared" si="9"/>
        <v>20743062.600000001</v>
      </c>
      <c r="E53" s="42">
        <f t="shared" si="9"/>
        <v>5961012.5</v>
      </c>
      <c r="F53" s="42">
        <f t="shared" si="9"/>
        <v>5975746.2999999998</v>
      </c>
      <c r="G53" s="42">
        <f t="shared" si="9"/>
        <v>147886224.40000001</v>
      </c>
    </row>
  </sheetData>
  <mergeCells count="1">
    <mergeCell ref="A5:G5"/>
  </mergeCells>
  <pageMargins left="1" right="1" top="1" bottom="1" header="0.5" footer="0.5"/>
  <pageSetup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A5:AM30"/>
  <sheetViews>
    <sheetView showGridLines="0" zoomScale="85" zoomScaleNormal="85" workbookViewId="0">
      <pane xSplit="1" ySplit="6" topLeftCell="B13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A24" sqref="A24"/>
    </sheetView>
  </sheetViews>
  <sheetFormatPr defaultColWidth="9.109375" defaultRowHeight="14.4" x14ac:dyDescent="0.3"/>
  <cols>
    <col min="1" max="1" width="45.5546875" style="6" customWidth="1"/>
    <col min="2" max="2" width="12.6640625" style="9" customWidth="1"/>
    <col min="3" max="3" width="12.5546875" style="3" customWidth="1"/>
    <col min="4" max="5" width="12.44140625" style="6" customWidth="1"/>
    <col min="6" max="6" width="12.5546875" style="3" customWidth="1"/>
    <col min="7" max="7" width="13.5546875" style="6" customWidth="1"/>
    <col min="8" max="8" width="10.109375" style="6" customWidth="1"/>
    <col min="9" max="16384" width="9.109375" style="6"/>
  </cols>
  <sheetData>
    <row r="5" spans="1:39" x14ac:dyDescent="0.3">
      <c r="A5" s="111" t="s">
        <v>83</v>
      </c>
      <c r="B5" s="112"/>
      <c r="C5" s="112"/>
      <c r="D5" s="112"/>
      <c r="E5" s="112"/>
      <c r="F5" s="112"/>
      <c r="G5" s="11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1:39" x14ac:dyDescent="0.3">
      <c r="A6" s="20" t="s">
        <v>0</v>
      </c>
      <c r="B6" s="20" t="s">
        <v>1</v>
      </c>
      <c r="C6" s="21" t="s">
        <v>2</v>
      </c>
      <c r="D6" s="21" t="s">
        <v>3</v>
      </c>
      <c r="E6" s="21" t="s">
        <v>4</v>
      </c>
      <c r="F6" s="22" t="s">
        <v>5</v>
      </c>
      <c r="G6" s="23" t="s">
        <v>6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39" s="8" customFormat="1" x14ac:dyDescent="0.3">
      <c r="A7" s="49" t="s">
        <v>21</v>
      </c>
      <c r="B7" s="50" t="s">
        <v>22</v>
      </c>
      <c r="C7" s="50" t="s">
        <v>22</v>
      </c>
      <c r="D7" s="50" t="s">
        <v>22</v>
      </c>
      <c r="E7" s="50"/>
      <c r="F7" s="50" t="s">
        <v>22</v>
      </c>
      <c r="G7" s="51" t="s">
        <v>22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39" s="7" customFormat="1" x14ac:dyDescent="0.3">
      <c r="A8" s="46" t="s">
        <v>40</v>
      </c>
      <c r="B8" s="40">
        <v>45000</v>
      </c>
      <c r="C8" s="40">
        <v>47250</v>
      </c>
      <c r="D8" s="40">
        <v>49613</v>
      </c>
      <c r="E8" s="40">
        <v>52093</v>
      </c>
      <c r="F8" s="40">
        <v>54698</v>
      </c>
      <c r="G8" s="40">
        <f>SUM(B8:F8)</f>
        <v>248654</v>
      </c>
    </row>
    <row r="9" spans="1:39" s="7" customFormat="1" x14ac:dyDescent="0.3">
      <c r="A9" s="53" t="s">
        <v>7</v>
      </c>
      <c r="B9" s="55">
        <f t="shared" ref="B9:G9" si="0">SUM(B8:B8)</f>
        <v>45000</v>
      </c>
      <c r="C9" s="55">
        <f t="shared" si="0"/>
        <v>47250</v>
      </c>
      <c r="D9" s="55">
        <f t="shared" si="0"/>
        <v>49613</v>
      </c>
      <c r="E9" s="55">
        <f t="shared" si="0"/>
        <v>52093</v>
      </c>
      <c r="F9" s="55">
        <f t="shared" si="0"/>
        <v>54698</v>
      </c>
      <c r="G9" s="55">
        <f t="shared" si="0"/>
        <v>248654</v>
      </c>
    </row>
    <row r="10" spans="1:39" s="7" customFormat="1" x14ac:dyDescent="0.3">
      <c r="A10" s="50" t="s">
        <v>23</v>
      </c>
      <c r="B10" s="50" t="s">
        <v>22</v>
      </c>
      <c r="C10" s="50"/>
      <c r="D10" s="50"/>
      <c r="E10" s="50"/>
      <c r="F10" s="50"/>
      <c r="G10" s="51" t="s">
        <v>22</v>
      </c>
    </row>
    <row r="11" spans="1:39" s="7" customFormat="1" x14ac:dyDescent="0.3">
      <c r="A11" s="46" t="s">
        <v>34</v>
      </c>
      <c r="B11" s="40">
        <v>15750</v>
      </c>
      <c r="C11" s="40">
        <v>16538</v>
      </c>
      <c r="D11" s="40">
        <v>17365</v>
      </c>
      <c r="E11" s="40">
        <v>18233</v>
      </c>
      <c r="F11" s="40">
        <v>19144</v>
      </c>
      <c r="G11" s="40">
        <f>SUM(B11:F11)</f>
        <v>87030</v>
      </c>
    </row>
    <row r="12" spans="1:39" s="7" customFormat="1" x14ac:dyDescent="0.3">
      <c r="A12" s="53" t="s">
        <v>8</v>
      </c>
      <c r="B12" s="55">
        <f t="shared" ref="B12:G12" si="1">SUM(B11:B11)</f>
        <v>15750</v>
      </c>
      <c r="C12" s="55">
        <f t="shared" si="1"/>
        <v>16538</v>
      </c>
      <c r="D12" s="55">
        <f t="shared" si="1"/>
        <v>17365</v>
      </c>
      <c r="E12" s="55">
        <f t="shared" si="1"/>
        <v>18233</v>
      </c>
      <c r="F12" s="55">
        <f t="shared" si="1"/>
        <v>19144</v>
      </c>
      <c r="G12" s="55">
        <f t="shared" si="1"/>
        <v>87030</v>
      </c>
    </row>
    <row r="13" spans="1:39" s="7" customFormat="1" x14ac:dyDescent="0.3">
      <c r="A13" s="50" t="s">
        <v>24</v>
      </c>
      <c r="B13" s="50" t="s">
        <v>22</v>
      </c>
      <c r="C13" s="50"/>
      <c r="D13" s="50"/>
      <c r="E13" s="50"/>
      <c r="F13" s="50"/>
      <c r="G13" s="51" t="s">
        <v>22</v>
      </c>
    </row>
    <row r="14" spans="1:39" s="7" customFormat="1" x14ac:dyDescent="0.3">
      <c r="A14" s="53" t="s">
        <v>9</v>
      </c>
      <c r="B14" s="55">
        <v>0</v>
      </c>
      <c r="C14" s="55">
        <v>0</v>
      </c>
      <c r="D14" s="55">
        <v>0</v>
      </c>
      <c r="E14" s="55">
        <v>0</v>
      </c>
      <c r="F14" s="55">
        <v>0</v>
      </c>
      <c r="G14" s="55">
        <v>0</v>
      </c>
    </row>
    <row r="15" spans="1:39" s="7" customFormat="1" x14ac:dyDescent="0.3">
      <c r="A15" s="50" t="s">
        <v>25</v>
      </c>
      <c r="B15" s="54"/>
      <c r="C15" s="50"/>
      <c r="D15" s="50"/>
      <c r="E15" s="50"/>
      <c r="F15" s="50"/>
      <c r="G15" s="54" t="s">
        <v>15</v>
      </c>
    </row>
    <row r="16" spans="1:39" s="7" customFormat="1" ht="43.2" x14ac:dyDescent="0.3">
      <c r="A16" s="36" t="s">
        <v>99</v>
      </c>
      <c r="B16" s="40"/>
      <c r="C16" s="36"/>
      <c r="D16" s="39">
        <v>1731510</v>
      </c>
      <c r="E16" s="39">
        <v>1761510</v>
      </c>
      <c r="F16" s="39">
        <v>1731510</v>
      </c>
      <c r="G16" s="40">
        <f>SUM(B16:F16)</f>
        <v>5224530</v>
      </c>
    </row>
    <row r="17" spans="1:7" s="7" customFormat="1" x14ac:dyDescent="0.3">
      <c r="A17" s="53" t="s">
        <v>10</v>
      </c>
      <c r="B17" s="56">
        <f>SUM(B16:B16)</f>
        <v>0</v>
      </c>
      <c r="C17" s="56">
        <f>SUM(C16:C16)</f>
        <v>0</v>
      </c>
      <c r="D17" s="56">
        <f>SUM(D16:D16)</f>
        <v>1731510</v>
      </c>
      <c r="E17" s="56">
        <f>SUM(E16:E16)</f>
        <v>1761510</v>
      </c>
      <c r="F17" s="56">
        <f>SUM(F16:F16)</f>
        <v>1731510</v>
      </c>
      <c r="G17" s="55">
        <f>SUM(B17:F17)</f>
        <v>5224530</v>
      </c>
    </row>
    <row r="18" spans="1:7" s="7" customFormat="1" x14ac:dyDescent="0.3">
      <c r="A18" s="50" t="s">
        <v>26</v>
      </c>
      <c r="B18" s="50" t="s">
        <v>22</v>
      </c>
      <c r="C18" s="50"/>
      <c r="D18" s="50"/>
      <c r="E18" s="50"/>
      <c r="F18" s="50"/>
      <c r="G18" s="54"/>
    </row>
    <row r="19" spans="1:7" s="7" customFormat="1" x14ac:dyDescent="0.3">
      <c r="A19" s="52" t="s">
        <v>58</v>
      </c>
      <c r="B19" s="54">
        <v>1000</v>
      </c>
      <c r="C19" s="54">
        <v>250</v>
      </c>
      <c r="D19" s="54">
        <v>250</v>
      </c>
      <c r="E19" s="54">
        <v>250</v>
      </c>
      <c r="F19" s="54">
        <v>250</v>
      </c>
      <c r="G19" s="54">
        <f>SUM(B19:F19)</f>
        <v>2000</v>
      </c>
    </row>
    <row r="20" spans="1:7" s="7" customFormat="1" x14ac:dyDescent="0.3">
      <c r="A20" s="53" t="s">
        <v>11</v>
      </c>
      <c r="B20" s="55">
        <f>SUM(B19:B19)</f>
        <v>1000</v>
      </c>
      <c r="C20" s="55">
        <f>SUM(C19:C19)</f>
        <v>250</v>
      </c>
      <c r="D20" s="55">
        <f>SUM(D19:D19)</f>
        <v>250</v>
      </c>
      <c r="E20" s="55">
        <f>SUM(E19:E19)</f>
        <v>250</v>
      </c>
      <c r="F20" s="55">
        <f>SUM(F19:F19)</f>
        <v>250</v>
      </c>
      <c r="G20" s="55">
        <f>SUM(B20:F20)</f>
        <v>2000</v>
      </c>
    </row>
    <row r="21" spans="1:7" s="7" customFormat="1" x14ac:dyDescent="0.3">
      <c r="A21" s="50" t="s">
        <v>27</v>
      </c>
      <c r="B21" s="50" t="s">
        <v>22</v>
      </c>
      <c r="C21" s="50"/>
      <c r="D21" s="50"/>
      <c r="E21" s="50"/>
      <c r="F21" s="50"/>
      <c r="G21" s="54"/>
    </row>
    <row r="22" spans="1:7" s="7" customFormat="1" x14ac:dyDescent="0.3">
      <c r="A22" s="53" t="s">
        <v>12</v>
      </c>
      <c r="B22" s="55">
        <v>0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</row>
    <row r="23" spans="1:7" s="7" customFormat="1" x14ac:dyDescent="0.3">
      <c r="A23" s="50" t="s">
        <v>28</v>
      </c>
      <c r="B23" s="50" t="s">
        <v>22</v>
      </c>
      <c r="C23" s="50"/>
      <c r="D23" s="50"/>
      <c r="E23" s="50"/>
      <c r="F23" s="50"/>
      <c r="G23" s="54"/>
    </row>
    <row r="24" spans="1:7" s="7" customFormat="1" ht="28.8" x14ac:dyDescent="0.3">
      <c r="A24" s="36" t="s">
        <v>100</v>
      </c>
      <c r="B24" s="40">
        <v>500000</v>
      </c>
      <c r="C24" s="40">
        <v>500000</v>
      </c>
      <c r="D24" s="40">
        <v>500000</v>
      </c>
      <c r="E24" s="40">
        <v>500000</v>
      </c>
      <c r="F24" s="40">
        <v>500000</v>
      </c>
      <c r="G24" s="40">
        <f t="shared" ref="G24:G29" si="2">SUM(B24:F24)</f>
        <v>2500000</v>
      </c>
    </row>
    <row r="25" spans="1:7" s="7" customFormat="1" x14ac:dyDescent="0.3">
      <c r="A25" s="53" t="s">
        <v>13</v>
      </c>
      <c r="B25" s="67">
        <f>SUM(B24:B24)</f>
        <v>500000</v>
      </c>
      <c r="C25" s="67">
        <f>SUM(C24:C24)</f>
        <v>500000</v>
      </c>
      <c r="D25" s="67">
        <f>SUM(D24:D24)</f>
        <v>500000</v>
      </c>
      <c r="E25" s="67">
        <f>SUM(E24:E24)</f>
        <v>500000</v>
      </c>
      <c r="F25" s="67">
        <f>SUM(F24:F24)</f>
        <v>500000</v>
      </c>
      <c r="G25" s="67">
        <f t="shared" si="2"/>
        <v>2500000</v>
      </c>
    </row>
    <row r="26" spans="1:7" s="7" customFormat="1" x14ac:dyDescent="0.3">
      <c r="A26" s="53" t="s">
        <v>14</v>
      </c>
      <c r="B26" s="67">
        <f>SUM(B25,B22,B20,B17,B14,B12,B9)</f>
        <v>561750</v>
      </c>
      <c r="C26" s="67">
        <f>SUM(C25,C22,C20,C17,C14,C12,C9)</f>
        <v>564038</v>
      </c>
      <c r="D26" s="67">
        <f>SUM(D25,D22,D20,D17,D14,D12,D9)</f>
        <v>2298738</v>
      </c>
      <c r="E26" s="67">
        <f>SUM(E25,E22,E20,E17,E14,E12,E9)</f>
        <v>2332086</v>
      </c>
      <c r="F26" s="67">
        <f>SUM(F25,F22,F20,F17,F14,F12,F9)</f>
        <v>2305602</v>
      </c>
      <c r="G26" s="67">
        <f t="shared" si="2"/>
        <v>8062214</v>
      </c>
    </row>
    <row r="27" spans="1:7" s="7" customFormat="1" x14ac:dyDescent="0.3">
      <c r="A27" s="16" t="s">
        <v>41</v>
      </c>
      <c r="B27" s="57">
        <f>SUM(25000+B12+B9+B20)</f>
        <v>86750</v>
      </c>
      <c r="C27" s="57">
        <f>SUM(C12+C9+C20)</f>
        <v>64038</v>
      </c>
      <c r="D27" s="57">
        <f>SUM(D12+D9+D20)</f>
        <v>67228</v>
      </c>
      <c r="E27" s="57">
        <f>SUM(E12+E9+E20)</f>
        <v>70576</v>
      </c>
      <c r="F27" s="57">
        <f>SUM(F12+F9+F20)</f>
        <v>74092</v>
      </c>
      <c r="G27" s="57">
        <f t="shared" si="2"/>
        <v>362684</v>
      </c>
    </row>
    <row r="28" spans="1:7" s="7" customFormat="1" x14ac:dyDescent="0.3">
      <c r="A28" s="46" t="s">
        <v>42</v>
      </c>
      <c r="B28" s="37">
        <f>SUM(B27*10%)</f>
        <v>8675</v>
      </c>
      <c r="C28" s="39">
        <f>SUM(C27*10%)</f>
        <v>6403.8</v>
      </c>
      <c r="D28" s="39">
        <f>SUM(D27*15%)</f>
        <v>10084.199999999999</v>
      </c>
      <c r="E28" s="39">
        <f>SUM(E27*15%)</f>
        <v>10586.4</v>
      </c>
      <c r="F28" s="39">
        <v>11112</v>
      </c>
      <c r="G28" s="37">
        <f t="shared" si="2"/>
        <v>46861.4</v>
      </c>
    </row>
    <row r="29" spans="1:7" s="7" customFormat="1" ht="15" thickBot="1" x14ac:dyDescent="0.35">
      <c r="A29" s="68" t="s">
        <v>16</v>
      </c>
      <c r="B29" s="67">
        <f>SUM(B28:B28)</f>
        <v>8675</v>
      </c>
      <c r="C29" s="67">
        <f>SUM(C28:C28)</f>
        <v>6403.8</v>
      </c>
      <c r="D29" s="67">
        <f>SUM(D28:D28)</f>
        <v>10084.199999999999</v>
      </c>
      <c r="E29" s="67">
        <f>SUM(E28:E28)</f>
        <v>10586.4</v>
      </c>
      <c r="F29" s="67">
        <f>SUM(F28:F28)</f>
        <v>11112</v>
      </c>
      <c r="G29" s="67">
        <f t="shared" si="2"/>
        <v>46861.4</v>
      </c>
    </row>
    <row r="30" spans="1:7" s="4" customFormat="1" ht="15" thickBot="1" x14ac:dyDescent="0.35">
      <c r="A30" s="18" t="s">
        <v>69</v>
      </c>
      <c r="B30" s="42">
        <f t="shared" ref="B30:G30" si="3">SUM(B29,B26)</f>
        <v>570425</v>
      </c>
      <c r="C30" s="42">
        <f t="shared" si="3"/>
        <v>570441.80000000005</v>
      </c>
      <c r="D30" s="42">
        <f t="shared" si="3"/>
        <v>2308822.2000000002</v>
      </c>
      <c r="E30" s="42">
        <f t="shared" si="3"/>
        <v>2342672.4</v>
      </c>
      <c r="F30" s="42">
        <f t="shared" si="3"/>
        <v>2316714</v>
      </c>
      <c r="G30" s="42">
        <f t="shared" si="3"/>
        <v>8109075.4000000004</v>
      </c>
    </row>
  </sheetData>
  <mergeCells count="1">
    <mergeCell ref="A5:G5"/>
  </mergeCells>
  <pageMargins left="1" right="1" top="1" bottom="1" header="0.5" footer="0.5"/>
  <pageSetup scale="71" fitToHeight="0" orientation="landscape" r:id="rId1"/>
  <ignoredErrors>
    <ignoredError sqref="G24 G19 G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A5:AU38"/>
  <sheetViews>
    <sheetView showGridLines="0" zoomScale="85" zoomScaleNormal="85" workbookViewId="0">
      <pane xSplit="1" ySplit="6" topLeftCell="B10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O24" sqref="O24:O25"/>
    </sheetView>
  </sheetViews>
  <sheetFormatPr defaultColWidth="9.109375" defaultRowHeight="14.4" x14ac:dyDescent="0.3"/>
  <cols>
    <col min="1" max="1" width="33.21875" style="58" customWidth="1"/>
    <col min="2" max="2" width="12.6640625" style="9" customWidth="1"/>
    <col min="3" max="3" width="12.44140625" style="3" customWidth="1"/>
    <col min="4" max="4" width="12.88671875" style="6" customWidth="1"/>
    <col min="5" max="5" width="12.44140625" style="6" customWidth="1"/>
    <col min="6" max="6" width="12.6640625" style="3" customWidth="1"/>
    <col min="7" max="7" width="12.6640625" style="6" bestFit="1" customWidth="1"/>
    <col min="8" max="8" width="10.109375" style="6" customWidth="1"/>
    <col min="9" max="9" width="9.109375" style="6"/>
    <col min="10" max="10" width="10.33203125" style="6" bestFit="1" customWidth="1"/>
    <col min="11" max="16384" width="9.109375" style="6"/>
  </cols>
  <sheetData>
    <row r="5" spans="1:47" x14ac:dyDescent="0.3">
      <c r="A5" s="117" t="s">
        <v>84</v>
      </c>
      <c r="B5" s="117"/>
      <c r="C5" s="117"/>
      <c r="D5" s="117"/>
      <c r="E5" s="117"/>
      <c r="F5" s="117"/>
      <c r="G5" s="118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</row>
    <row r="6" spans="1:47" x14ac:dyDescent="0.3">
      <c r="A6" s="20" t="s">
        <v>0</v>
      </c>
      <c r="B6" s="20" t="s">
        <v>1</v>
      </c>
      <c r="C6" s="21" t="s">
        <v>2</v>
      </c>
      <c r="D6" s="21" t="s">
        <v>3</v>
      </c>
      <c r="E6" s="21" t="s">
        <v>4</v>
      </c>
      <c r="F6" s="22" t="s">
        <v>5</v>
      </c>
      <c r="G6" s="23" t="s">
        <v>6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</row>
    <row r="7" spans="1:47" s="8" customFormat="1" x14ac:dyDescent="0.3">
      <c r="A7" s="59" t="s">
        <v>21</v>
      </c>
      <c r="B7" s="75" t="s">
        <v>22</v>
      </c>
      <c r="C7" s="75" t="s">
        <v>22</v>
      </c>
      <c r="D7" s="75" t="s">
        <v>22</v>
      </c>
      <c r="E7" s="75"/>
      <c r="F7" s="75" t="s">
        <v>22</v>
      </c>
      <c r="G7" s="76" t="s">
        <v>22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</row>
    <row r="8" spans="1:47" s="7" customFormat="1" ht="27.6" customHeight="1" x14ac:dyDescent="0.3">
      <c r="A8" s="60" t="s">
        <v>87</v>
      </c>
      <c r="B8" s="82">
        <v>71869</v>
      </c>
      <c r="C8" s="83">
        <v>74025</v>
      </c>
      <c r="D8" s="83">
        <v>76246</v>
      </c>
      <c r="E8" s="83">
        <v>78535</v>
      </c>
      <c r="F8" s="84">
        <v>80892</v>
      </c>
      <c r="G8" s="39">
        <f>SUM(B8:F8)</f>
        <v>381567</v>
      </c>
    </row>
    <row r="9" spans="1:47" s="7" customFormat="1" ht="18" customHeight="1" x14ac:dyDescent="0.3">
      <c r="A9" s="60" t="s">
        <v>88</v>
      </c>
      <c r="B9" s="82">
        <v>118750</v>
      </c>
      <c r="C9" s="83">
        <v>122313</v>
      </c>
      <c r="D9" s="83">
        <v>125982</v>
      </c>
      <c r="E9" s="83">
        <v>129761</v>
      </c>
      <c r="F9" s="84">
        <v>133654</v>
      </c>
      <c r="G9" s="39">
        <f>SUM(B9:F9)</f>
        <v>630460</v>
      </c>
    </row>
    <row r="10" spans="1:47" s="7" customFormat="1" ht="14.4" customHeight="1" x14ac:dyDescent="0.3">
      <c r="A10" s="60" t="s">
        <v>86</v>
      </c>
      <c r="B10" s="39">
        <v>90000</v>
      </c>
      <c r="C10" s="39">
        <v>90000</v>
      </c>
      <c r="D10" s="39">
        <v>90000</v>
      </c>
      <c r="E10" s="39">
        <v>90000</v>
      </c>
      <c r="F10" s="39">
        <v>90000</v>
      </c>
      <c r="G10" s="39">
        <f>SUM(B10:F10)</f>
        <v>450000</v>
      </c>
    </row>
    <row r="11" spans="1:47" s="7" customFormat="1" x14ac:dyDescent="0.3">
      <c r="A11" s="68" t="s">
        <v>7</v>
      </c>
      <c r="B11" s="70">
        <f t="shared" ref="B11:G11" si="0">SUM(B8:B10)</f>
        <v>280619</v>
      </c>
      <c r="C11" s="70">
        <f t="shared" si="0"/>
        <v>286338</v>
      </c>
      <c r="D11" s="70">
        <f t="shared" si="0"/>
        <v>292228</v>
      </c>
      <c r="E11" s="70">
        <f t="shared" si="0"/>
        <v>298296</v>
      </c>
      <c r="F11" s="70">
        <f t="shared" si="0"/>
        <v>304546</v>
      </c>
      <c r="G11" s="70">
        <f t="shared" si="0"/>
        <v>1462027</v>
      </c>
    </row>
    <row r="12" spans="1:47" s="7" customFormat="1" x14ac:dyDescent="0.3">
      <c r="A12" s="14" t="s">
        <v>23</v>
      </c>
      <c r="B12" s="37" t="s">
        <v>22</v>
      </c>
      <c r="C12" s="39"/>
      <c r="D12" s="39"/>
      <c r="E12" s="39"/>
      <c r="F12" s="39"/>
      <c r="G12" s="77" t="s">
        <v>22</v>
      </c>
    </row>
    <row r="13" spans="1:47" s="7" customFormat="1" x14ac:dyDescent="0.3">
      <c r="A13" s="61" t="s">
        <v>43</v>
      </c>
      <c r="B13" s="37">
        <v>22998</v>
      </c>
      <c r="C13" s="37">
        <v>23688</v>
      </c>
      <c r="D13" s="37">
        <v>24399</v>
      </c>
      <c r="E13" s="37">
        <v>25131</v>
      </c>
      <c r="F13" s="37">
        <v>25885</v>
      </c>
      <c r="G13" s="37">
        <f>SUM(B13:F13)</f>
        <v>122101</v>
      </c>
    </row>
    <row r="14" spans="1:47" s="7" customFormat="1" x14ac:dyDescent="0.3">
      <c r="A14" s="61" t="s">
        <v>44</v>
      </c>
      <c r="B14" s="37">
        <v>4175</v>
      </c>
      <c r="C14" s="37">
        <v>4246</v>
      </c>
      <c r="D14" s="37">
        <v>4320</v>
      </c>
      <c r="E14" s="37">
        <v>4395</v>
      </c>
      <c r="F14" s="37">
        <v>4473</v>
      </c>
      <c r="G14" s="37">
        <f>SUM(B14:F14)</f>
        <v>21609</v>
      </c>
    </row>
    <row r="15" spans="1:47" s="7" customFormat="1" x14ac:dyDescent="0.3">
      <c r="A15" s="68" t="s">
        <v>8</v>
      </c>
      <c r="B15" s="70">
        <f t="shared" ref="B15:G15" si="1">SUM(B13:B14)</f>
        <v>27173</v>
      </c>
      <c r="C15" s="70">
        <f t="shared" si="1"/>
        <v>27934</v>
      </c>
      <c r="D15" s="70">
        <f t="shared" si="1"/>
        <v>28719</v>
      </c>
      <c r="E15" s="70">
        <f t="shared" si="1"/>
        <v>29526</v>
      </c>
      <c r="F15" s="70">
        <f t="shared" si="1"/>
        <v>30358</v>
      </c>
      <c r="G15" s="70">
        <f t="shared" si="1"/>
        <v>143710</v>
      </c>
      <c r="J15" s="71"/>
    </row>
    <row r="16" spans="1:47" s="7" customFormat="1" x14ac:dyDescent="0.3">
      <c r="A16" s="14" t="s">
        <v>24</v>
      </c>
      <c r="B16" s="37" t="s">
        <v>22</v>
      </c>
      <c r="C16" s="39"/>
      <c r="D16" s="39"/>
      <c r="E16" s="39"/>
      <c r="F16" s="39"/>
      <c r="G16" s="77" t="s">
        <v>22</v>
      </c>
    </row>
    <row r="17" spans="1:7" s="7" customFormat="1" ht="28.8" x14ac:dyDescent="0.3">
      <c r="A17" s="60" t="s">
        <v>46</v>
      </c>
      <c r="B17" s="78">
        <v>8264</v>
      </c>
      <c r="C17" s="78">
        <v>8264</v>
      </c>
      <c r="D17" s="78">
        <v>8264</v>
      </c>
      <c r="E17" s="78">
        <v>8264</v>
      </c>
      <c r="F17" s="78">
        <v>8264</v>
      </c>
      <c r="G17" s="37">
        <f>SUM(B17:F17)</f>
        <v>41320</v>
      </c>
    </row>
    <row r="18" spans="1:7" s="7" customFormat="1" x14ac:dyDescent="0.3">
      <c r="A18" s="60" t="s">
        <v>47</v>
      </c>
      <c r="B18" s="37">
        <v>3262</v>
      </c>
      <c r="C18" s="37">
        <v>3262</v>
      </c>
      <c r="D18" s="37">
        <v>3262</v>
      </c>
      <c r="E18" s="37">
        <v>3262</v>
      </c>
      <c r="F18" s="37">
        <v>3262</v>
      </c>
      <c r="G18" s="37">
        <f>SUM(B18:F18)</f>
        <v>16310</v>
      </c>
    </row>
    <row r="19" spans="1:7" s="7" customFormat="1" ht="28.8" x14ac:dyDescent="0.3">
      <c r="A19" s="61" t="s">
        <v>48</v>
      </c>
      <c r="B19" s="37">
        <v>3238</v>
      </c>
      <c r="C19" s="37">
        <v>3238</v>
      </c>
      <c r="D19" s="37">
        <v>3238</v>
      </c>
      <c r="E19" s="37">
        <v>3238</v>
      </c>
      <c r="F19" s="37">
        <v>3238</v>
      </c>
      <c r="G19" s="37">
        <f>SUM(B19:F19)</f>
        <v>16190</v>
      </c>
    </row>
    <row r="20" spans="1:7" s="7" customFormat="1" x14ac:dyDescent="0.3">
      <c r="A20" s="68" t="s">
        <v>9</v>
      </c>
      <c r="B20" s="70">
        <f>SUM(B17:B19)</f>
        <v>14764</v>
      </c>
      <c r="C20" s="70">
        <f>SUM(C17:C19)</f>
        <v>14764</v>
      </c>
      <c r="D20" s="70">
        <f>SUM(D17:D19)</f>
        <v>14764</v>
      </c>
      <c r="E20" s="70">
        <f>SUM(E17:E19)</f>
        <v>14764</v>
      </c>
      <c r="F20" s="70">
        <f>SUM(F17:F19)</f>
        <v>14764</v>
      </c>
      <c r="G20" s="70">
        <f>SUM(B20:F20)</f>
        <v>73820</v>
      </c>
    </row>
    <row r="21" spans="1:7" s="7" customFormat="1" x14ac:dyDescent="0.3">
      <c r="A21" s="14" t="s">
        <v>25</v>
      </c>
      <c r="B21" s="37"/>
      <c r="C21" s="39"/>
      <c r="D21" s="39"/>
      <c r="E21" s="39"/>
      <c r="F21" s="39"/>
      <c r="G21" s="37" t="s">
        <v>15</v>
      </c>
    </row>
    <row r="22" spans="1:7" s="7" customFormat="1" ht="59.4" customHeight="1" x14ac:dyDescent="0.3">
      <c r="A22" s="60" t="s">
        <v>45</v>
      </c>
      <c r="B22" s="39">
        <v>222500</v>
      </c>
      <c r="C22" s="39">
        <v>50000</v>
      </c>
      <c r="D22" s="39">
        <v>0</v>
      </c>
      <c r="E22" s="39">
        <v>0</v>
      </c>
      <c r="F22" s="39">
        <v>0</v>
      </c>
      <c r="G22" s="39">
        <f>SUM(B22:F22)</f>
        <v>272500</v>
      </c>
    </row>
    <row r="23" spans="1:7" s="7" customFormat="1" x14ac:dyDescent="0.3">
      <c r="A23" s="68" t="s">
        <v>10</v>
      </c>
      <c r="B23" s="79">
        <f>SUM(B22:B22)</f>
        <v>222500</v>
      </c>
      <c r="C23" s="79">
        <f>SUM(C22:C22)</f>
        <v>50000</v>
      </c>
      <c r="D23" s="79">
        <f>SUM(D22:D22)</f>
        <v>0</v>
      </c>
      <c r="E23" s="79">
        <f>SUM(E22:E22)</f>
        <v>0</v>
      </c>
      <c r="F23" s="79">
        <f>SUM(F22:F22)</f>
        <v>0</v>
      </c>
      <c r="G23" s="70">
        <f>SUM(B23:F23)</f>
        <v>272500</v>
      </c>
    </row>
    <row r="24" spans="1:7" s="7" customFormat="1" x14ac:dyDescent="0.3">
      <c r="A24" s="14" t="s">
        <v>26</v>
      </c>
      <c r="B24" s="74"/>
      <c r="C24" s="74"/>
      <c r="D24" s="74"/>
      <c r="E24" s="74"/>
      <c r="F24" s="74"/>
      <c r="G24" s="37"/>
    </row>
    <row r="25" spans="1:7" s="7" customFormat="1" x14ac:dyDescent="0.3">
      <c r="A25" s="60" t="s">
        <v>49</v>
      </c>
      <c r="B25" s="37">
        <v>14000</v>
      </c>
      <c r="C25" s="39">
        <v>10500</v>
      </c>
      <c r="D25" s="39">
        <v>10500</v>
      </c>
      <c r="E25" s="39">
        <v>10200</v>
      </c>
      <c r="F25" s="39">
        <v>9587</v>
      </c>
      <c r="G25" s="37">
        <f>SUM(B25:F25)</f>
        <v>54787</v>
      </c>
    </row>
    <row r="26" spans="1:7" s="7" customFormat="1" x14ac:dyDescent="0.3">
      <c r="A26" s="68" t="s">
        <v>11</v>
      </c>
      <c r="B26" s="70">
        <f>SUM(B25:B25)</f>
        <v>14000</v>
      </c>
      <c r="C26" s="70">
        <f>SUM(C25:C25)</f>
        <v>10500</v>
      </c>
      <c r="D26" s="70">
        <f>SUM(D25:D25)</f>
        <v>10500</v>
      </c>
      <c r="E26" s="70">
        <f>SUM(E25:E25)</f>
        <v>10200</v>
      </c>
      <c r="F26" s="70">
        <f>SUM(F25:F25)</f>
        <v>9587</v>
      </c>
      <c r="G26" s="70">
        <f>SUM(B26:F26)</f>
        <v>54787</v>
      </c>
    </row>
    <row r="27" spans="1:7" s="7" customFormat="1" x14ac:dyDescent="0.3">
      <c r="A27" s="14" t="s">
        <v>27</v>
      </c>
      <c r="B27" s="37" t="s">
        <v>22</v>
      </c>
      <c r="C27" s="39"/>
      <c r="D27" s="39"/>
      <c r="E27" s="39"/>
      <c r="F27" s="39"/>
      <c r="G27" s="37"/>
    </row>
    <row r="28" spans="1:7" s="7" customFormat="1" x14ac:dyDescent="0.3">
      <c r="A28" s="11" t="s">
        <v>30</v>
      </c>
      <c r="B28" s="64">
        <v>0</v>
      </c>
      <c r="C28" s="64">
        <v>0</v>
      </c>
      <c r="D28" s="64">
        <v>0</v>
      </c>
      <c r="E28" s="64">
        <v>0</v>
      </c>
      <c r="F28" s="64">
        <v>0</v>
      </c>
      <c r="G28" s="64">
        <v>0</v>
      </c>
    </row>
    <row r="29" spans="1:7" s="7" customFormat="1" x14ac:dyDescent="0.3">
      <c r="A29" s="14" t="s">
        <v>31</v>
      </c>
      <c r="B29" s="37" t="s">
        <v>22</v>
      </c>
      <c r="C29" s="39"/>
      <c r="D29" s="39"/>
      <c r="E29" s="39"/>
      <c r="F29" s="39"/>
      <c r="G29" s="37"/>
    </row>
    <row r="30" spans="1:7" s="7" customFormat="1" x14ac:dyDescent="0.3">
      <c r="A30" s="60" t="s">
        <v>50</v>
      </c>
      <c r="B30" s="37">
        <v>2000</v>
      </c>
      <c r="C30" s="37">
        <v>2000</v>
      </c>
      <c r="D30" s="37">
        <v>2000</v>
      </c>
      <c r="E30" s="37">
        <v>2000</v>
      </c>
      <c r="F30" s="37">
        <v>2000</v>
      </c>
      <c r="G30" s="37">
        <f t="shared" ref="G30:G37" si="2">SUM(B30:F30)</f>
        <v>10000</v>
      </c>
    </row>
    <row r="31" spans="1:7" s="7" customFormat="1" ht="28.8" x14ac:dyDescent="0.3">
      <c r="A31" s="60" t="s">
        <v>90</v>
      </c>
      <c r="B31" s="37">
        <v>10000</v>
      </c>
      <c r="C31" s="37">
        <v>10000</v>
      </c>
      <c r="D31" s="37">
        <v>10000</v>
      </c>
      <c r="E31" s="37">
        <v>10000</v>
      </c>
      <c r="F31" s="37">
        <v>10000</v>
      </c>
      <c r="G31" s="37">
        <f>SUM(B31:F31)</f>
        <v>50000</v>
      </c>
    </row>
    <row r="32" spans="1:7" s="7" customFormat="1" x14ac:dyDescent="0.3">
      <c r="A32" s="60" t="s">
        <v>51</v>
      </c>
      <c r="B32" s="37">
        <v>49547</v>
      </c>
      <c r="C32" s="37">
        <v>52024</v>
      </c>
      <c r="D32" s="37">
        <v>54625</v>
      </c>
      <c r="E32" s="37">
        <v>57356</v>
      </c>
      <c r="F32" s="37">
        <v>60224</v>
      </c>
      <c r="G32" s="37">
        <f t="shared" si="2"/>
        <v>273776</v>
      </c>
    </row>
    <row r="33" spans="1:7" s="7" customFormat="1" x14ac:dyDescent="0.3">
      <c r="A33" s="68" t="s">
        <v>13</v>
      </c>
      <c r="B33" s="70">
        <f>SUM(B30:B32)</f>
        <v>61547</v>
      </c>
      <c r="C33" s="70">
        <f>SUM(C30:C32)</f>
        <v>64024</v>
      </c>
      <c r="D33" s="70">
        <f>SUM(D30:D32)</f>
        <v>66625</v>
      </c>
      <c r="E33" s="70">
        <f>SUM(E30:E32)</f>
        <v>69356</v>
      </c>
      <c r="F33" s="70">
        <f>SUM(F30:F32)</f>
        <v>72224</v>
      </c>
      <c r="G33" s="70">
        <f t="shared" si="2"/>
        <v>333776</v>
      </c>
    </row>
    <row r="34" spans="1:7" s="7" customFormat="1" x14ac:dyDescent="0.3">
      <c r="A34" s="68" t="s">
        <v>14</v>
      </c>
      <c r="B34" s="70">
        <f>SUM(B33,B28,B26,B23,B20,B15,B11)</f>
        <v>620603</v>
      </c>
      <c r="C34" s="70">
        <f>SUM(C33,C28,C26,C23,C20,C15,C11)</f>
        <v>453560</v>
      </c>
      <c r="D34" s="70">
        <f>SUM(D33,D28,D26,D23,D20,D15,D11)</f>
        <v>412836</v>
      </c>
      <c r="E34" s="70">
        <f>SUM(E33,E28,E26,E23,E20,E15,E11)</f>
        <v>422142</v>
      </c>
      <c r="F34" s="70">
        <f>SUM(F33,F28,F26,F23,F20,F15,F11)</f>
        <v>431479</v>
      </c>
      <c r="G34" s="70">
        <f t="shared" si="2"/>
        <v>2340620</v>
      </c>
    </row>
    <row r="35" spans="1:7" s="7" customFormat="1" x14ac:dyDescent="0.3">
      <c r="A35" s="62" t="s">
        <v>89</v>
      </c>
      <c r="B35" s="80">
        <v>338556</v>
      </c>
      <c r="C35" s="80">
        <v>341536</v>
      </c>
      <c r="D35" s="80">
        <v>348211</v>
      </c>
      <c r="E35" s="80">
        <v>354786</v>
      </c>
      <c r="F35" s="80">
        <v>361255</v>
      </c>
      <c r="G35" s="80">
        <f t="shared" si="2"/>
        <v>1744344</v>
      </c>
    </row>
    <row r="36" spans="1:7" s="7" customFormat="1" ht="17.399999999999999" customHeight="1" x14ac:dyDescent="0.3">
      <c r="A36" s="60" t="s">
        <v>53</v>
      </c>
      <c r="B36" s="37">
        <v>128313</v>
      </c>
      <c r="C36" s="39">
        <v>129863</v>
      </c>
      <c r="D36" s="39">
        <v>133334</v>
      </c>
      <c r="E36" s="39">
        <v>136753</v>
      </c>
      <c r="F36" s="39">
        <v>140118</v>
      </c>
      <c r="G36" s="37">
        <f t="shared" si="2"/>
        <v>668381</v>
      </c>
    </row>
    <row r="37" spans="1:7" s="7" customFormat="1" ht="15" thickBot="1" x14ac:dyDescent="0.35">
      <c r="A37" s="68" t="s">
        <v>16</v>
      </c>
      <c r="B37" s="70">
        <v>176049</v>
      </c>
      <c r="C37" s="70">
        <v>177599</v>
      </c>
      <c r="D37" s="70">
        <v>181070</v>
      </c>
      <c r="E37" s="70">
        <v>184489</v>
      </c>
      <c r="F37" s="70">
        <v>187853</v>
      </c>
      <c r="G37" s="70">
        <f t="shared" si="2"/>
        <v>907060</v>
      </c>
    </row>
    <row r="38" spans="1:7" s="4" customFormat="1" ht="15" thickBot="1" x14ac:dyDescent="0.35">
      <c r="A38" s="18" t="str">
        <f>+'Seminole County'!A33</f>
        <v>TOTAL BUDGET</v>
      </c>
      <c r="B38" s="81">
        <f t="shared" ref="B38:G38" si="3">SUM(B37,B34)</f>
        <v>796652</v>
      </c>
      <c r="C38" s="81">
        <f t="shared" si="3"/>
        <v>631159</v>
      </c>
      <c r="D38" s="81">
        <f t="shared" si="3"/>
        <v>593906</v>
      </c>
      <c r="E38" s="81">
        <f t="shared" si="3"/>
        <v>606631</v>
      </c>
      <c r="F38" s="81">
        <f t="shared" si="3"/>
        <v>619332</v>
      </c>
      <c r="G38" s="81">
        <f t="shared" si="3"/>
        <v>3247680</v>
      </c>
    </row>
  </sheetData>
  <mergeCells count="1">
    <mergeCell ref="A5:G5"/>
  </mergeCells>
  <pageMargins left="1" right="1" top="1" bottom="1" header="0.5" footer="0.5"/>
  <pageSetup fitToHeight="0" orientation="landscape" r:id="rId1"/>
  <ignoredErrors>
    <ignoredError sqref="G19 G32 G30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Consolidated Budget</vt:lpstr>
      <vt:lpstr>Seminole County</vt:lpstr>
      <vt:lpstr>Biosolids Facility</vt:lpstr>
      <vt:lpstr>Landfill Geomembrane</vt:lpstr>
      <vt:lpstr>UCF Evaluation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2024-03-28T20:04:58Z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