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 defaultThemeVersion="166925"/>
  <xr:revisionPtr revIDLastSave="0" documentId="13_ncr:1_{488A251B-F69B-49F5-A47F-AD48FDF41A83}" xr6:coauthVersionLast="47" xr6:coauthVersionMax="47" xr10:uidLastSave="{00000000-0000-0000-0000-000000000000}"/>
  <workbookProtection lockStructure="1"/>
  <bookViews>
    <workbookView xWindow="-108" yWindow="-108" windowWidth="23256" windowHeight="12576" tabRatio="979" xr2:uid="{AAC398A2-E95D-4231-A920-55B8B1C73F3F}"/>
  </bookViews>
  <sheets>
    <sheet name="Consolidated Budget" sheetId="30" r:id="rId1"/>
    <sheet name="1 Silicon Valley Clean Energy" sheetId="40" r:id="rId2"/>
    <sheet name="2 San Jose" sheetId="16" r:id="rId3"/>
    <sheet name="3 Sunnyvale" sheetId="28" r:id="rId4"/>
    <sheet name="4 Morgan Hill" sheetId="27" r:id="rId5"/>
    <sheet name="5 Mountain View" sheetId="29" r:id="rId6"/>
    <sheet name="6 Cupertino" sheetId="31" r:id="rId7"/>
    <sheet name="7 SPUR" sheetId="47" r:id="rId8"/>
    <sheet name="8 ProspectSV" sheetId="37" r:id="rId9"/>
  </sheets>
  <definedNames>
    <definedName name="_xlnm._FilterDatabase" localSheetId="1" hidden="1">'1 Silicon Valley Clean Energy'!#REF!</definedName>
    <definedName name="_xlnm._FilterDatabase" localSheetId="2" hidden="1">'2 San Jose'!#REF!</definedName>
    <definedName name="_xlnm._FilterDatabase" localSheetId="3" hidden="1">'3 Sunnyvale'!#REF!</definedName>
    <definedName name="_xlnm._FilterDatabase" localSheetId="4" hidden="1">'4 Morgan Hill'!#REF!</definedName>
    <definedName name="_xlnm._FilterDatabase" localSheetId="5" hidden="1">'5 Mountain View'!#REF!</definedName>
    <definedName name="_xlnm._FilterDatabase" localSheetId="6" hidden="1">'6 Cupertino'!#REF!</definedName>
    <definedName name="_xlnm._FilterDatabase" localSheetId="7" hidden="1">'7 SPUR'!#REF!</definedName>
    <definedName name="_xlnm._FilterDatabase" localSheetId="8" hidden="1">'8 ProspectSV'!#REF!</definedName>
    <definedName name="_xlnm._FilterDatabase" localSheetId="0" hidden="1">'Consolidated Budget'!#REF!</definedName>
    <definedName name="_xlnm.Print_Area" localSheetId="4">'4 Morgan Hill'!$B$2:$J$63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4" i="29" l="1"/>
  <c r="J61" i="37"/>
  <c r="D61" i="37"/>
  <c r="D56" i="37"/>
  <c r="E47" i="37"/>
  <c r="J47" i="37" s="1"/>
  <c r="F47" i="37"/>
  <c r="G47" i="37"/>
  <c r="H47" i="37"/>
  <c r="J55" i="37"/>
  <c r="D47" i="37"/>
  <c r="J20" i="37"/>
  <c r="E20" i="37"/>
  <c r="F20" i="37"/>
  <c r="G20" i="37"/>
  <c r="H20" i="37"/>
  <c r="D20" i="37"/>
  <c r="E15" i="37"/>
  <c r="F15" i="37"/>
  <c r="G15" i="37"/>
  <c r="H15" i="37"/>
  <c r="D15" i="37"/>
  <c r="J15" i="37" s="1"/>
  <c r="J8" i="37"/>
  <c r="J44" i="47"/>
  <c r="E44" i="47"/>
  <c r="F44" i="47"/>
  <c r="G44" i="47"/>
  <c r="H44" i="47"/>
  <c r="D44" i="47"/>
  <c r="J39" i="47"/>
  <c r="E39" i="47"/>
  <c r="F39" i="47"/>
  <c r="G39" i="47"/>
  <c r="H39" i="47"/>
  <c r="D39" i="47"/>
  <c r="J33" i="47"/>
  <c r="H33" i="47"/>
  <c r="J26" i="47"/>
  <c r="D26" i="47"/>
  <c r="J21" i="47"/>
  <c r="D21" i="47"/>
  <c r="E17" i="47"/>
  <c r="J17" i="47" s="1"/>
  <c r="F17" i="47"/>
  <c r="G17" i="47"/>
  <c r="H17" i="47"/>
  <c r="D17" i="47"/>
  <c r="D57" i="31"/>
  <c r="D59" i="31"/>
  <c r="J59" i="31"/>
  <c r="F54" i="31"/>
  <c r="E54" i="31"/>
  <c r="G54" i="31"/>
  <c r="H54" i="31"/>
  <c r="D54" i="31"/>
  <c r="J53" i="31"/>
  <c r="F53" i="31"/>
  <c r="J35" i="31"/>
  <c r="F35" i="31"/>
  <c r="H21" i="31"/>
  <c r="J21" i="31"/>
  <c r="E21" i="31"/>
  <c r="F21" i="31"/>
  <c r="G21" i="31"/>
  <c r="D21" i="31"/>
  <c r="J14" i="31"/>
  <c r="E14" i="31"/>
  <c r="F14" i="31"/>
  <c r="G14" i="31"/>
  <c r="H14" i="31"/>
  <c r="D14" i="31"/>
  <c r="E14" i="29"/>
  <c r="F14" i="29"/>
  <c r="G14" i="29"/>
  <c r="H14" i="29"/>
  <c r="D14" i="29"/>
  <c r="J14" i="29" s="1"/>
  <c r="J10" i="29"/>
  <c r="E10" i="29"/>
  <c r="F10" i="29"/>
  <c r="G10" i="29"/>
  <c r="H10" i="29"/>
  <c r="D10" i="29"/>
  <c r="J61" i="27"/>
  <c r="D61" i="27"/>
  <c r="J56" i="27"/>
  <c r="J55" i="27"/>
  <c r="E55" i="27"/>
  <c r="D55" i="27"/>
  <c r="J48" i="27"/>
  <c r="E48" i="27"/>
  <c r="D48" i="27"/>
  <c r="J38" i="27"/>
  <c r="J34" i="27"/>
  <c r="E34" i="27"/>
  <c r="J16" i="27"/>
  <c r="G16" i="27"/>
  <c r="H16" i="27"/>
  <c r="J11" i="27"/>
  <c r="H11" i="27"/>
  <c r="D11" i="27"/>
  <c r="J46" i="27"/>
  <c r="J40" i="27"/>
  <c r="E38" i="27"/>
  <c r="D34" i="27"/>
  <c r="E16" i="27"/>
  <c r="F16" i="27"/>
  <c r="D16" i="27"/>
  <c r="E11" i="27"/>
  <c r="F11" i="27"/>
  <c r="G11" i="27"/>
  <c r="H61" i="28"/>
  <c r="G61" i="28"/>
  <c r="F61" i="28"/>
  <c r="E61" i="28"/>
  <c r="D61" i="28"/>
  <c r="H56" i="28"/>
  <c r="G56" i="28"/>
  <c r="F56" i="28"/>
  <c r="E56" i="28"/>
  <c r="D56" i="28"/>
  <c r="E47" i="28"/>
  <c r="F47" i="28"/>
  <c r="G47" i="28"/>
  <c r="H47" i="28"/>
  <c r="D47" i="28"/>
  <c r="E37" i="28"/>
  <c r="F37" i="28"/>
  <c r="G37" i="28"/>
  <c r="H37" i="28"/>
  <c r="D37" i="28"/>
  <c r="E33" i="28"/>
  <c r="F33" i="28"/>
  <c r="G33" i="28"/>
  <c r="H33" i="28"/>
  <c r="D33" i="28"/>
  <c r="E18" i="28"/>
  <c r="F18" i="28"/>
  <c r="G18" i="28"/>
  <c r="H18" i="28"/>
  <c r="D18" i="28"/>
  <c r="E13" i="28"/>
  <c r="F13" i="28"/>
  <c r="G13" i="28"/>
  <c r="H13" i="28"/>
  <c r="D13" i="28"/>
  <c r="M109" i="16"/>
  <c r="K109" i="16"/>
  <c r="I109" i="16"/>
  <c r="G109" i="16"/>
  <c r="E109" i="16"/>
  <c r="E107" i="16"/>
  <c r="G107" i="16"/>
  <c r="I107" i="16"/>
  <c r="K107" i="16"/>
  <c r="M107" i="16"/>
  <c r="M87" i="16"/>
  <c r="M86" i="16"/>
  <c r="M81" i="16"/>
  <c r="O59" i="16"/>
  <c r="O60" i="16"/>
  <c r="O61" i="16"/>
  <c r="K81" i="16"/>
  <c r="I81" i="16"/>
  <c r="G81" i="16"/>
  <c r="E81" i="16"/>
  <c r="M62" i="16"/>
  <c r="M61" i="16"/>
  <c r="M60" i="16"/>
  <c r="M59" i="16"/>
  <c r="O63" i="16"/>
  <c r="M63" i="16"/>
  <c r="O57" i="16"/>
  <c r="M57" i="16"/>
  <c r="K57" i="16"/>
  <c r="I57" i="16"/>
  <c r="G57" i="16"/>
  <c r="E57" i="16"/>
  <c r="M44" i="16"/>
  <c r="K44" i="16"/>
  <c r="I44" i="16"/>
  <c r="G44" i="16"/>
  <c r="E44" i="16"/>
  <c r="M25" i="16"/>
  <c r="K25" i="16"/>
  <c r="I25" i="16"/>
  <c r="G25" i="16"/>
  <c r="E25" i="16"/>
  <c r="J8" i="40"/>
  <c r="D22" i="30"/>
  <c r="J13" i="40"/>
  <c r="H55" i="40"/>
  <c r="D29" i="47"/>
  <c r="H26" i="47"/>
  <c r="G26" i="47"/>
  <c r="F26" i="47"/>
  <c r="E26" i="47"/>
  <c r="J54" i="31" l="1"/>
  <c r="J33" i="28"/>
  <c r="O44" i="16"/>
  <c r="O25" i="16"/>
  <c r="E33" i="29"/>
  <c r="E13" i="40"/>
  <c r="F13" i="40"/>
  <c r="G13" i="40"/>
  <c r="H13" i="40"/>
  <c r="D13" i="40"/>
  <c r="F33" i="29" l="1"/>
  <c r="G33" i="29" l="1"/>
  <c r="H33" i="29" s="1"/>
  <c r="O56" i="16"/>
  <c r="J33" i="29" l="1"/>
  <c r="O14" i="16"/>
  <c r="O13" i="16"/>
  <c r="O12" i="16"/>
  <c r="O107" i="16" l="1"/>
  <c r="K86" i="16"/>
  <c r="I86" i="16"/>
  <c r="G86" i="16"/>
  <c r="E86" i="16"/>
  <c r="E16" i="40"/>
  <c r="D16" i="40"/>
  <c r="E11" i="40"/>
  <c r="D11" i="40"/>
  <c r="M77" i="16"/>
  <c r="M76" i="16"/>
  <c r="O76" i="16" s="1"/>
  <c r="M75" i="16"/>
  <c r="O75" i="16" s="1"/>
  <c r="M74" i="16"/>
  <c r="M73" i="16"/>
  <c r="K78" i="16"/>
  <c r="K76" i="16"/>
  <c r="K74" i="16"/>
  <c r="K73" i="16"/>
  <c r="M78" i="16"/>
  <c r="E63" i="16"/>
  <c r="G63" i="16"/>
  <c r="I63" i="16"/>
  <c r="K63" i="16"/>
  <c r="O74" i="16"/>
  <c r="O77" i="16"/>
  <c r="O79" i="16"/>
  <c r="E72" i="16"/>
  <c r="G72" i="16" s="1"/>
  <c r="I72" i="16" s="1"/>
  <c r="K72" i="16" s="1"/>
  <c r="M72" i="16" s="1"/>
  <c r="E71" i="16"/>
  <c r="G71" i="16" s="1"/>
  <c r="I71" i="16" s="1"/>
  <c r="K71" i="16" s="1"/>
  <c r="M71" i="16" s="1"/>
  <c r="E70" i="16"/>
  <c r="G70" i="16" s="1"/>
  <c r="I70" i="16" s="1"/>
  <c r="K70" i="16" s="1"/>
  <c r="M70" i="16" s="1"/>
  <c r="E69" i="16"/>
  <c r="G69" i="16" s="1"/>
  <c r="I69" i="16" s="1"/>
  <c r="K69" i="16" s="1"/>
  <c r="M69" i="16" s="1"/>
  <c r="E68" i="16"/>
  <c r="G68" i="16" s="1"/>
  <c r="I68" i="16" s="1"/>
  <c r="K68" i="16" s="1"/>
  <c r="M68" i="16" s="1"/>
  <c r="E67" i="16"/>
  <c r="G67" i="16" s="1"/>
  <c r="I67" i="16" s="1"/>
  <c r="K67" i="16" s="1"/>
  <c r="M67" i="16" s="1"/>
  <c r="O81" i="16" l="1"/>
  <c r="O78" i="16"/>
  <c r="J23" i="37" l="1"/>
  <c r="J24" i="37"/>
  <c r="J25" i="37"/>
  <c r="J26" i="37"/>
  <c r="J27" i="37"/>
  <c r="J28" i="37"/>
  <c r="J29" i="37"/>
  <c r="J30" i="37"/>
  <c r="H17" i="29"/>
  <c r="G17" i="29"/>
  <c r="F17" i="29"/>
  <c r="E17" i="29"/>
  <c r="D17" i="29"/>
  <c r="J16" i="29"/>
  <c r="J17" i="29" s="1"/>
  <c r="J31" i="47"/>
  <c r="J41" i="47"/>
  <c r="J42" i="47"/>
  <c r="J49" i="37"/>
  <c r="J42" i="37"/>
  <c r="J45" i="37"/>
  <c r="J8" i="29"/>
  <c r="J22" i="29"/>
  <c r="F34" i="29"/>
  <c r="G34" i="29"/>
  <c r="H34" i="29"/>
  <c r="J12" i="47"/>
  <c r="E9" i="37" l="1"/>
  <c r="E10" i="37"/>
  <c r="F10" i="37" s="1"/>
  <c r="E12" i="37"/>
  <c r="F12" i="37" s="1"/>
  <c r="E13" i="37"/>
  <c r="F13" i="37" s="1"/>
  <c r="G13" i="37" s="1"/>
  <c r="J9" i="47"/>
  <c r="J10" i="47"/>
  <c r="J11" i="47"/>
  <c r="J13" i="47"/>
  <c r="J14" i="47"/>
  <c r="J15" i="47"/>
  <c r="J16" i="47"/>
  <c r="J8" i="47"/>
  <c r="J44" i="37"/>
  <c r="J46" i="37"/>
  <c r="J41" i="37"/>
  <c r="E14" i="37"/>
  <c r="F14" i="37" s="1"/>
  <c r="G14" i="37" s="1"/>
  <c r="H14" i="37" s="1"/>
  <c r="J11" i="37"/>
  <c r="D56" i="27"/>
  <c r="J47" i="28"/>
  <c r="J37" i="28"/>
  <c r="J35" i="28"/>
  <c r="J30" i="28"/>
  <c r="J31" i="28"/>
  <c r="J29" i="28"/>
  <c r="J28" i="28"/>
  <c r="J27" i="28"/>
  <c r="J26" i="28"/>
  <c r="J25" i="28"/>
  <c r="J24" i="28"/>
  <c r="J23" i="28"/>
  <c r="J9" i="28"/>
  <c r="J10" i="28"/>
  <c r="J11" i="28"/>
  <c r="J12" i="28"/>
  <c r="J8" i="28"/>
  <c r="E59" i="28"/>
  <c r="F59" i="28"/>
  <c r="G59" i="28"/>
  <c r="H59" i="28"/>
  <c r="D59" i="28"/>
  <c r="E53" i="40"/>
  <c r="F53" i="40"/>
  <c r="G53" i="40"/>
  <c r="H53" i="40"/>
  <c r="D53" i="40"/>
  <c r="F8" i="40"/>
  <c r="G8" i="40" s="1"/>
  <c r="H8" i="40" s="1"/>
  <c r="E8" i="40"/>
  <c r="J59" i="28" l="1"/>
  <c r="H13" i="37"/>
  <c r="J9" i="37"/>
  <c r="D59" i="37"/>
  <c r="J10" i="37"/>
  <c r="J43" i="37"/>
  <c r="J12" i="37"/>
  <c r="J14" i="37"/>
  <c r="D17" i="37"/>
  <c r="J13" i="37" l="1"/>
  <c r="E27" i="16" l="1"/>
  <c r="E59" i="37" l="1"/>
  <c r="E17" i="37"/>
  <c r="F59" i="37"/>
  <c r="F17" i="37"/>
  <c r="M43" i="16"/>
  <c r="M42" i="16"/>
  <c r="M41" i="16"/>
  <c r="M40" i="16"/>
  <c r="M39" i="16"/>
  <c r="M38" i="16"/>
  <c r="M37" i="16"/>
  <c r="M36" i="16"/>
  <c r="M35" i="16"/>
  <c r="M34" i="16"/>
  <c r="M33" i="16"/>
  <c r="M32" i="16"/>
  <c r="M31" i="16"/>
  <c r="M30" i="16"/>
  <c r="M29" i="16"/>
  <c r="M28" i="16"/>
  <c r="M27" i="16"/>
  <c r="K43" i="16"/>
  <c r="K42" i="16"/>
  <c r="K41" i="16"/>
  <c r="K40" i="16"/>
  <c r="K39" i="16"/>
  <c r="K38" i="16"/>
  <c r="K37" i="16"/>
  <c r="K36" i="16"/>
  <c r="K35" i="16"/>
  <c r="K34" i="16"/>
  <c r="K33" i="16"/>
  <c r="K32" i="16"/>
  <c r="K31" i="16"/>
  <c r="K30" i="16"/>
  <c r="K29" i="16"/>
  <c r="K28" i="16"/>
  <c r="K27" i="16"/>
  <c r="I43" i="16"/>
  <c r="I42" i="16"/>
  <c r="I41" i="16"/>
  <c r="I40" i="16"/>
  <c r="I39" i="16"/>
  <c r="I38" i="16"/>
  <c r="I37" i="16"/>
  <c r="I36" i="16"/>
  <c r="I35" i="16"/>
  <c r="I34" i="16"/>
  <c r="I33" i="16"/>
  <c r="I32" i="16"/>
  <c r="I31" i="16"/>
  <c r="I30" i="16"/>
  <c r="I29" i="16"/>
  <c r="I28" i="16"/>
  <c r="I27" i="16"/>
  <c r="G43" i="16"/>
  <c r="G42" i="16"/>
  <c r="G41" i="16"/>
  <c r="G40" i="16"/>
  <c r="G39" i="16"/>
  <c r="G38" i="16"/>
  <c r="G37" i="16"/>
  <c r="G36" i="16"/>
  <c r="G35" i="16"/>
  <c r="G34" i="16"/>
  <c r="G33" i="16"/>
  <c r="G32" i="16"/>
  <c r="G31" i="16"/>
  <c r="G30" i="16"/>
  <c r="G29" i="16"/>
  <c r="G28" i="16"/>
  <c r="G27" i="16"/>
  <c r="E43" i="16"/>
  <c r="E42" i="16"/>
  <c r="E41" i="16"/>
  <c r="E39" i="16"/>
  <c r="E38" i="16"/>
  <c r="E37" i="16"/>
  <c r="E36" i="16"/>
  <c r="E35" i="16"/>
  <c r="E34" i="16"/>
  <c r="E33" i="16"/>
  <c r="E32" i="16"/>
  <c r="E31" i="16"/>
  <c r="E30" i="16"/>
  <c r="E29" i="16"/>
  <c r="E28" i="16"/>
  <c r="E40" i="16"/>
  <c r="G90" i="16"/>
  <c r="I90" i="16"/>
  <c r="K90" i="16"/>
  <c r="M90" i="16"/>
  <c r="G91" i="16"/>
  <c r="I91" i="16"/>
  <c r="K91" i="16"/>
  <c r="M91" i="16"/>
  <c r="G92" i="16"/>
  <c r="I92" i="16"/>
  <c r="K92" i="16"/>
  <c r="M92" i="16"/>
  <c r="G93" i="16"/>
  <c r="I93" i="16"/>
  <c r="K93" i="16"/>
  <c r="M93" i="16"/>
  <c r="G94" i="16"/>
  <c r="I94" i="16"/>
  <c r="K94" i="16"/>
  <c r="M94" i="16"/>
  <c r="G95" i="16"/>
  <c r="I95" i="16"/>
  <c r="K95" i="16"/>
  <c r="M95" i="16"/>
  <c r="G96" i="16"/>
  <c r="I96" i="16"/>
  <c r="K96" i="16"/>
  <c r="M96" i="16"/>
  <c r="G97" i="16"/>
  <c r="I97" i="16"/>
  <c r="K97" i="16"/>
  <c r="M97" i="16"/>
  <c r="G98" i="16"/>
  <c r="I98" i="16"/>
  <c r="K98" i="16"/>
  <c r="M98" i="16"/>
  <c r="G99" i="16"/>
  <c r="I99" i="16"/>
  <c r="K99" i="16"/>
  <c r="M99" i="16"/>
  <c r="G100" i="16"/>
  <c r="I100" i="16"/>
  <c r="K100" i="16"/>
  <c r="M100" i="16"/>
  <c r="G101" i="16"/>
  <c r="I101" i="16"/>
  <c r="K101" i="16"/>
  <c r="M101" i="16"/>
  <c r="G102" i="16"/>
  <c r="I102" i="16"/>
  <c r="K102" i="16"/>
  <c r="M102" i="16"/>
  <c r="G103" i="16"/>
  <c r="I103" i="16"/>
  <c r="K103" i="16"/>
  <c r="M103" i="16"/>
  <c r="G104" i="16"/>
  <c r="I104" i="16"/>
  <c r="K104" i="16"/>
  <c r="M104" i="16"/>
  <c r="G105" i="16"/>
  <c r="I105" i="16"/>
  <c r="K105" i="16"/>
  <c r="M105" i="16"/>
  <c r="G106" i="16"/>
  <c r="I106" i="16"/>
  <c r="K106" i="16"/>
  <c r="M106" i="16"/>
  <c r="E106" i="16"/>
  <c r="E105" i="16"/>
  <c r="E91" i="16"/>
  <c r="E92" i="16"/>
  <c r="E93" i="16"/>
  <c r="E94" i="16"/>
  <c r="E95" i="16"/>
  <c r="E96" i="16"/>
  <c r="E97" i="16"/>
  <c r="E98" i="16"/>
  <c r="E99" i="16"/>
  <c r="E100" i="16"/>
  <c r="E101" i="16"/>
  <c r="E102" i="16"/>
  <c r="E103" i="16"/>
  <c r="E104" i="16"/>
  <c r="E90" i="16"/>
  <c r="O89" i="16"/>
  <c r="O45" i="16"/>
  <c r="O46" i="16"/>
  <c r="O48" i="16"/>
  <c r="O49" i="16"/>
  <c r="O50" i="16"/>
  <c r="O51" i="16"/>
  <c r="O52" i="16"/>
  <c r="O53" i="16"/>
  <c r="O54" i="16"/>
  <c r="O55" i="16"/>
  <c r="O58" i="16"/>
  <c r="O62" i="16"/>
  <c r="O64" i="16"/>
  <c r="O65" i="16"/>
  <c r="O66" i="16"/>
  <c r="O67" i="16"/>
  <c r="O68" i="16"/>
  <c r="O69" i="16"/>
  <c r="O70" i="16"/>
  <c r="O71" i="16"/>
  <c r="O72" i="16"/>
  <c r="O73" i="16"/>
  <c r="O80" i="16"/>
  <c r="O82" i="16"/>
  <c r="O83" i="16"/>
  <c r="O84" i="16"/>
  <c r="O85" i="16"/>
  <c r="O9" i="16"/>
  <c r="O10" i="16"/>
  <c r="O11" i="16"/>
  <c r="O15" i="16"/>
  <c r="O16" i="16"/>
  <c r="O17" i="16"/>
  <c r="O18" i="16"/>
  <c r="O19" i="16"/>
  <c r="O20" i="16"/>
  <c r="O21" i="16"/>
  <c r="O22" i="16"/>
  <c r="O23" i="16"/>
  <c r="O24" i="16"/>
  <c r="O8" i="16"/>
  <c r="J13" i="28"/>
  <c r="J42" i="28"/>
  <c r="E16" i="28"/>
  <c r="E15" i="28"/>
  <c r="F16" i="28"/>
  <c r="G16" i="28"/>
  <c r="H16" i="28"/>
  <c r="E48" i="47"/>
  <c r="F48" i="47"/>
  <c r="G48" i="47"/>
  <c r="H48" i="47"/>
  <c r="D8" i="28"/>
  <c r="D16" i="28" s="1"/>
  <c r="E28" i="28"/>
  <c r="F23" i="28"/>
  <c r="E23" i="28"/>
  <c r="F39" i="28"/>
  <c r="E39" i="28"/>
  <c r="H48" i="29"/>
  <c r="G48" i="29"/>
  <c r="F48" i="29"/>
  <c r="E48" i="29"/>
  <c r="D48" i="29"/>
  <c r="J48" i="29" s="1"/>
  <c r="J46" i="29"/>
  <c r="J45" i="29"/>
  <c r="J18" i="31"/>
  <c r="J17" i="31"/>
  <c r="H19" i="47"/>
  <c r="H21" i="47" s="1"/>
  <c r="G19" i="47"/>
  <c r="G21" i="47" s="1"/>
  <c r="G45" i="47" s="1"/>
  <c r="F19" i="47"/>
  <c r="F21" i="47" s="1"/>
  <c r="F45" i="47" s="1"/>
  <c r="E19" i="47"/>
  <c r="E21" i="47" s="1"/>
  <c r="E45" i="47" s="1"/>
  <c r="J38" i="47"/>
  <c r="J37" i="47"/>
  <c r="J36" i="47"/>
  <c r="J35" i="47"/>
  <c r="G33" i="47"/>
  <c r="F33" i="47"/>
  <c r="E33" i="47"/>
  <c r="D33" i="47"/>
  <c r="H29" i="47"/>
  <c r="G29" i="47"/>
  <c r="F29" i="47"/>
  <c r="E29" i="47"/>
  <c r="J29" i="47"/>
  <c r="J28" i="47"/>
  <c r="J20" i="47"/>
  <c r="E23" i="29"/>
  <c r="H25" i="29"/>
  <c r="J25" i="29" s="1"/>
  <c r="H24" i="29"/>
  <c r="J24" i="29" s="1"/>
  <c r="H21" i="29"/>
  <c r="J21" i="29" s="1"/>
  <c r="H20" i="29"/>
  <c r="J20" i="29" s="1"/>
  <c r="H19" i="29"/>
  <c r="J26" i="29"/>
  <c r="H15" i="28"/>
  <c r="J30" i="27"/>
  <c r="J31" i="27"/>
  <c r="J32" i="27"/>
  <c r="J33" i="27"/>
  <c r="J29" i="27"/>
  <c r="F15" i="28"/>
  <c r="G15" i="28"/>
  <c r="J23" i="29" l="1"/>
  <c r="E27" i="29"/>
  <c r="H27" i="29"/>
  <c r="O32" i="16"/>
  <c r="O102" i="16"/>
  <c r="O37" i="16"/>
  <c r="O41" i="16"/>
  <c r="O40" i="16"/>
  <c r="O33" i="16"/>
  <c r="O35" i="16"/>
  <c r="O30" i="16"/>
  <c r="O96" i="16"/>
  <c r="O105" i="16"/>
  <c r="O97" i="16"/>
  <c r="H59" i="37"/>
  <c r="H17" i="37"/>
  <c r="G59" i="37"/>
  <c r="G17" i="37"/>
  <c r="J61" i="28"/>
  <c r="O100" i="16"/>
  <c r="O39" i="16"/>
  <c r="O101" i="16"/>
  <c r="O103" i="16"/>
  <c r="O104" i="16"/>
  <c r="O98" i="16"/>
  <c r="O34" i="16"/>
  <c r="O99" i="16"/>
  <c r="O31" i="16"/>
  <c r="O29" i="16"/>
  <c r="O93" i="16"/>
  <c r="O92" i="16"/>
  <c r="O91" i="16"/>
  <c r="O43" i="16"/>
  <c r="O27" i="16"/>
  <c r="O38" i="16"/>
  <c r="O42" i="16"/>
  <c r="O36" i="16"/>
  <c r="O28" i="16"/>
  <c r="O95" i="16"/>
  <c r="O94" i="16"/>
  <c r="O90" i="16"/>
  <c r="O106" i="16"/>
  <c r="J39" i="28"/>
  <c r="D48" i="47"/>
  <c r="J48" i="47" s="1"/>
  <c r="D19" i="47"/>
  <c r="J15" i="28"/>
  <c r="J16" i="31"/>
  <c r="J11" i="31"/>
  <c r="J10" i="31"/>
  <c r="H57" i="31"/>
  <c r="G57" i="31"/>
  <c r="F57" i="31"/>
  <c r="J9" i="31"/>
  <c r="E57" i="31"/>
  <c r="J8" i="31"/>
  <c r="H50" i="47"/>
  <c r="G50" i="47"/>
  <c r="F50" i="47"/>
  <c r="E50" i="47"/>
  <c r="E52" i="47"/>
  <c r="H45" i="47"/>
  <c r="H52" i="47" s="1"/>
  <c r="D45" i="47" l="1"/>
  <c r="J45" i="47" s="1"/>
  <c r="J17" i="37"/>
  <c r="G52" i="47"/>
  <c r="F52" i="47"/>
  <c r="D50" i="47"/>
  <c r="J28" i="27"/>
  <c r="J25" i="27"/>
  <c r="J26" i="27"/>
  <c r="J27" i="27"/>
  <c r="J22" i="27"/>
  <c r="J23" i="27"/>
  <c r="J24" i="27"/>
  <c r="J43" i="27"/>
  <c r="J44" i="27"/>
  <c r="J45" i="27"/>
  <c r="J47" i="27"/>
  <c r="D52" i="47" l="1"/>
  <c r="J50" i="47"/>
  <c r="G55" i="40"/>
  <c r="F55" i="40"/>
  <c r="E55" i="40"/>
  <c r="D55" i="40"/>
  <c r="J54" i="40"/>
  <c r="J53" i="40"/>
  <c r="H49" i="40"/>
  <c r="G49" i="40"/>
  <c r="F49" i="40"/>
  <c r="E49" i="40"/>
  <c r="D49" i="40"/>
  <c r="J48" i="40"/>
  <c r="J47" i="40"/>
  <c r="J46" i="40"/>
  <c r="J45" i="40"/>
  <c r="J44" i="40"/>
  <c r="J43" i="40"/>
  <c r="H41" i="40"/>
  <c r="G41" i="40"/>
  <c r="F41" i="40"/>
  <c r="E41" i="40"/>
  <c r="D41" i="40"/>
  <c r="J41" i="40" s="1"/>
  <c r="J40" i="40"/>
  <c r="J39" i="40"/>
  <c r="J38" i="40"/>
  <c r="J37" i="40"/>
  <c r="H35" i="40"/>
  <c r="G35" i="40"/>
  <c r="F35" i="40"/>
  <c r="E35" i="40"/>
  <c r="D35" i="40"/>
  <c r="J35" i="40" s="1"/>
  <c r="J34" i="40"/>
  <c r="J33" i="40"/>
  <c r="H31" i="40"/>
  <c r="G31" i="40"/>
  <c r="F31" i="40"/>
  <c r="E31" i="40"/>
  <c r="D31" i="40"/>
  <c r="J31" i="40" s="1"/>
  <c r="J30" i="40"/>
  <c r="J29" i="40"/>
  <c r="H27" i="40"/>
  <c r="G27" i="40"/>
  <c r="F27" i="40"/>
  <c r="E27" i="40"/>
  <c r="D27" i="40"/>
  <c r="J27" i="40" s="1"/>
  <c r="J26" i="40"/>
  <c r="J25" i="40"/>
  <c r="J24" i="40"/>
  <c r="J23" i="40"/>
  <c r="J22" i="40"/>
  <c r="J21" i="40"/>
  <c r="J20" i="40"/>
  <c r="J19" i="40"/>
  <c r="J18" i="40"/>
  <c r="H16" i="40"/>
  <c r="G16" i="40"/>
  <c r="F16" i="40"/>
  <c r="J15" i="40"/>
  <c r="J14" i="40"/>
  <c r="J16" i="40"/>
  <c r="H11" i="40"/>
  <c r="G11" i="40"/>
  <c r="F11" i="40"/>
  <c r="J10" i="40"/>
  <c r="J9" i="40"/>
  <c r="J11" i="40"/>
  <c r="H61" i="37"/>
  <c r="G61" i="37"/>
  <c r="F61" i="37"/>
  <c r="E61" i="37"/>
  <c r="J60" i="37"/>
  <c r="J59" i="37"/>
  <c r="H55" i="37"/>
  <c r="G55" i="37"/>
  <c r="F55" i="37"/>
  <c r="E55" i="37"/>
  <c r="D55" i="37"/>
  <c r="J54" i="37"/>
  <c r="J53" i="37"/>
  <c r="J52" i="37"/>
  <c r="J51" i="37"/>
  <c r="J50" i="37"/>
  <c r="H39" i="37"/>
  <c r="G39" i="37"/>
  <c r="F39" i="37"/>
  <c r="E39" i="37"/>
  <c r="D39" i="37"/>
  <c r="J38" i="37"/>
  <c r="J37" i="37"/>
  <c r="H35" i="37"/>
  <c r="G35" i="37"/>
  <c r="F35" i="37"/>
  <c r="E35" i="37"/>
  <c r="D35" i="37"/>
  <c r="J34" i="37"/>
  <c r="J33" i="37"/>
  <c r="H31" i="37"/>
  <c r="G31" i="37"/>
  <c r="F31" i="37"/>
  <c r="E31" i="37"/>
  <c r="D31" i="37"/>
  <c r="J22" i="37"/>
  <c r="J19" i="37"/>
  <c r="J18" i="37"/>
  <c r="J52" i="47" l="1"/>
  <c r="D28" i="30" s="1"/>
  <c r="H56" i="37"/>
  <c r="H63" i="37" s="1"/>
  <c r="J55" i="40"/>
  <c r="G56" i="37"/>
  <c r="J35" i="37"/>
  <c r="J31" i="37"/>
  <c r="F56" i="37"/>
  <c r="F63" i="37" s="1"/>
  <c r="E56" i="37"/>
  <c r="J56" i="37" s="1"/>
  <c r="J39" i="37"/>
  <c r="E50" i="40"/>
  <c r="E57" i="40" s="1"/>
  <c r="F50" i="40"/>
  <c r="F57" i="40" s="1"/>
  <c r="G50" i="40"/>
  <c r="G57" i="40" s="1"/>
  <c r="J49" i="40"/>
  <c r="D50" i="40"/>
  <c r="D57" i="40" s="1"/>
  <c r="H50" i="40"/>
  <c r="H57" i="40" s="1"/>
  <c r="G63" i="37" l="1"/>
  <c r="J63" i="37"/>
  <c r="D29" i="30" s="1"/>
  <c r="E63" i="37"/>
  <c r="J50" i="40"/>
  <c r="J57" i="40" s="1"/>
  <c r="D63" i="37"/>
  <c r="J41" i="27" l="1"/>
  <c r="J42" i="27"/>
  <c r="H59" i="31"/>
  <c r="G59" i="31"/>
  <c r="F59" i="31"/>
  <c r="E59" i="31"/>
  <c r="E15" i="30" s="1"/>
  <c r="J58" i="31"/>
  <c r="J57" i="31"/>
  <c r="H53" i="31"/>
  <c r="G53" i="31"/>
  <c r="E53" i="31"/>
  <c r="D53" i="31"/>
  <c r="J52" i="31"/>
  <c r="J51" i="31"/>
  <c r="J50" i="31"/>
  <c r="J49" i="31"/>
  <c r="J48" i="31"/>
  <c r="H45" i="31"/>
  <c r="G45" i="31"/>
  <c r="F45" i="31"/>
  <c r="E45" i="31"/>
  <c r="D45" i="31"/>
  <c r="D11" i="30" s="1"/>
  <c r="J44" i="31"/>
  <c r="J43" i="31"/>
  <c r="J42" i="31"/>
  <c r="H39" i="31"/>
  <c r="G39" i="31"/>
  <c r="F39" i="31"/>
  <c r="E39" i="31"/>
  <c r="D39" i="31"/>
  <c r="J39" i="31" s="1"/>
  <c r="J38" i="31"/>
  <c r="J37" i="31"/>
  <c r="H35" i="31"/>
  <c r="G35" i="31"/>
  <c r="E35" i="31"/>
  <c r="D35" i="31"/>
  <c r="H24" i="31"/>
  <c r="G24" i="31"/>
  <c r="F24" i="31"/>
  <c r="E24" i="31"/>
  <c r="D24" i="31"/>
  <c r="J24" i="31" s="1"/>
  <c r="J23" i="31"/>
  <c r="J20" i="31"/>
  <c r="J19" i="31"/>
  <c r="J13" i="31"/>
  <c r="J12" i="31"/>
  <c r="J47" i="29"/>
  <c r="H42" i="29"/>
  <c r="G42" i="29"/>
  <c r="F42" i="29"/>
  <c r="E42" i="29"/>
  <c r="D42" i="29"/>
  <c r="J41" i="29"/>
  <c r="J40" i="29"/>
  <c r="J39" i="29"/>
  <c r="J38" i="29"/>
  <c r="J37" i="29"/>
  <c r="J36" i="29"/>
  <c r="E34" i="29"/>
  <c r="J34" i="29" s="1"/>
  <c r="H31" i="29"/>
  <c r="G31" i="29"/>
  <c r="F31" i="29"/>
  <c r="F10" i="30" s="1"/>
  <c r="E31" i="29"/>
  <c r="D31" i="29"/>
  <c r="D10" i="30" s="1"/>
  <c r="J30" i="29"/>
  <c r="J29" i="29"/>
  <c r="G27" i="29"/>
  <c r="F27" i="29"/>
  <c r="D27" i="29"/>
  <c r="J19" i="29"/>
  <c r="J13" i="29"/>
  <c r="J12" i="29"/>
  <c r="G6" i="30"/>
  <c r="F6" i="30"/>
  <c r="E6" i="30"/>
  <c r="D6" i="30"/>
  <c r="J9" i="29"/>
  <c r="J60" i="28"/>
  <c r="H55" i="28"/>
  <c r="G55" i="28"/>
  <c r="F55" i="28"/>
  <c r="E55" i="28"/>
  <c r="D55" i="28"/>
  <c r="J54" i="28"/>
  <c r="J53" i="28"/>
  <c r="J52" i="28"/>
  <c r="J51" i="28"/>
  <c r="J50" i="28"/>
  <c r="J49" i="28"/>
  <c r="J46" i="28"/>
  <c r="J41" i="28"/>
  <c r="J36" i="28"/>
  <c r="H21" i="28"/>
  <c r="G21" i="28"/>
  <c r="F21" i="28"/>
  <c r="E21" i="28"/>
  <c r="D21" i="28"/>
  <c r="J20" i="28"/>
  <c r="J17" i="28"/>
  <c r="J16" i="28"/>
  <c r="J18" i="28" s="1"/>
  <c r="H61" i="27"/>
  <c r="G61" i="27"/>
  <c r="F61" i="27"/>
  <c r="E61" i="27"/>
  <c r="J60" i="27"/>
  <c r="J59" i="27"/>
  <c r="H55" i="27"/>
  <c r="G55" i="27"/>
  <c r="F55" i="27"/>
  <c r="J54" i="27"/>
  <c r="J53" i="27"/>
  <c r="J52" i="27"/>
  <c r="J51" i="27"/>
  <c r="J50" i="27"/>
  <c r="H48" i="27"/>
  <c r="G48" i="27"/>
  <c r="F48" i="27"/>
  <c r="H38" i="27"/>
  <c r="G38" i="27"/>
  <c r="F38" i="27"/>
  <c r="D38" i="27"/>
  <c r="J37" i="27"/>
  <c r="J36" i="27"/>
  <c r="H34" i="27"/>
  <c r="G34" i="27"/>
  <c r="F34" i="27"/>
  <c r="J21" i="27"/>
  <c r="H19" i="27"/>
  <c r="G19" i="27"/>
  <c r="F19" i="27"/>
  <c r="E19" i="27"/>
  <c r="D19" i="27"/>
  <c r="J18" i="27"/>
  <c r="J15" i="27"/>
  <c r="J14" i="27"/>
  <c r="J10" i="27"/>
  <c r="J9" i="27"/>
  <c r="J8" i="27"/>
  <c r="F15" i="30"/>
  <c r="G15" i="30"/>
  <c r="H15" i="30"/>
  <c r="D15" i="30"/>
  <c r="F12" i="30"/>
  <c r="G12" i="30"/>
  <c r="F11" i="30"/>
  <c r="G11" i="30"/>
  <c r="H11" i="30"/>
  <c r="E10" i="30"/>
  <c r="G10" i="30"/>
  <c r="H10" i="30"/>
  <c r="E9" i="30"/>
  <c r="F9" i="30"/>
  <c r="G9" i="30"/>
  <c r="H9" i="30"/>
  <c r="D9" i="30"/>
  <c r="G47" i="16"/>
  <c r="E8" i="30" s="1"/>
  <c r="I47" i="16"/>
  <c r="F8" i="30" s="1"/>
  <c r="K47" i="16"/>
  <c r="G8" i="30" s="1"/>
  <c r="M47" i="16"/>
  <c r="H8" i="30" s="1"/>
  <c r="E47" i="16"/>
  <c r="D8" i="30" s="1"/>
  <c r="H7" i="30"/>
  <c r="D7" i="30"/>
  <c r="J27" i="29" l="1"/>
  <c r="D43" i="29"/>
  <c r="D50" i="29" s="1"/>
  <c r="E12" i="30"/>
  <c r="J8" i="30"/>
  <c r="E11" i="30"/>
  <c r="J10" i="30"/>
  <c r="J15" i="30"/>
  <c r="J11" i="30"/>
  <c r="J9" i="30"/>
  <c r="E43" i="29"/>
  <c r="E50" i="29" s="1"/>
  <c r="F43" i="29"/>
  <c r="F50" i="29" s="1"/>
  <c r="G43" i="29"/>
  <c r="H43" i="29"/>
  <c r="H50" i="29" s="1"/>
  <c r="H12" i="30"/>
  <c r="D12" i="30"/>
  <c r="D13" i="30" s="1"/>
  <c r="E87" i="16"/>
  <c r="H6" i="30"/>
  <c r="J6" i="30" s="1"/>
  <c r="G7" i="30"/>
  <c r="G13" i="30" s="1"/>
  <c r="F7" i="30"/>
  <c r="F13" i="30" s="1"/>
  <c r="E7" i="30"/>
  <c r="J31" i="29"/>
  <c r="H63" i="28"/>
  <c r="O47" i="16"/>
  <c r="O86" i="16"/>
  <c r="J19" i="27"/>
  <c r="H56" i="27"/>
  <c r="H63" i="27" s="1"/>
  <c r="J13" i="27"/>
  <c r="G56" i="27"/>
  <c r="G63" i="27" s="1"/>
  <c r="D63" i="27"/>
  <c r="J21" i="28"/>
  <c r="D63" i="28"/>
  <c r="G63" i="28"/>
  <c r="H61" i="31"/>
  <c r="J45" i="31"/>
  <c r="F61" i="31"/>
  <c r="G61" i="31"/>
  <c r="D61" i="31"/>
  <c r="E61" i="31"/>
  <c r="E56" i="27"/>
  <c r="F56" i="27"/>
  <c r="F63" i="27" s="1"/>
  <c r="J42" i="29"/>
  <c r="J55" i="28"/>
  <c r="G87" i="16"/>
  <c r="K87" i="16"/>
  <c r="I87" i="16"/>
  <c r="E13" i="30" l="1"/>
  <c r="E17" i="30" s="1"/>
  <c r="J43" i="29"/>
  <c r="J50" i="29" s="1"/>
  <c r="D26" i="30" s="1"/>
  <c r="D30" i="30" s="1"/>
  <c r="J12" i="30"/>
  <c r="E63" i="27"/>
  <c r="J63" i="27"/>
  <c r="D25" i="30" s="1"/>
  <c r="O109" i="16"/>
  <c r="D23" i="30" s="1"/>
  <c r="O87" i="16"/>
  <c r="J7" i="30"/>
  <c r="H13" i="30"/>
  <c r="J13" i="30" s="1"/>
  <c r="G50" i="29"/>
  <c r="D17" i="30"/>
  <c r="J56" i="28"/>
  <c r="J63" i="28" s="1"/>
  <c r="D24" i="30" s="1"/>
  <c r="E63" i="28"/>
  <c r="F17" i="30"/>
  <c r="G17" i="30"/>
  <c r="F63" i="28"/>
  <c r="J61" i="31" l="1"/>
  <c r="D27" i="30" s="1"/>
  <c r="H17" i="30"/>
  <c r="J17" i="30"/>
  <c r="E22" i="30" l="1"/>
  <c r="E27" i="30" l="1"/>
  <c r="E24" i="30"/>
  <c r="E26" i="30"/>
  <c r="E28" i="30"/>
  <c r="E29" i="30"/>
  <c r="E25" i="30"/>
  <c r="E23" i="30"/>
  <c r="E30" i="30" l="1"/>
</calcChain>
</file>

<file path=xl/sharedStrings.xml><?xml version="1.0" encoding="utf-8"?>
<sst xmlns="http://schemas.openxmlformats.org/spreadsheetml/2006/main" count="664" uniqueCount="273">
  <si>
    <t>Consolidated Budget Table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</si>
  <si>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</si>
  <si>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</si>
  <si>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</si>
  <si>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</si>
  <si>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</si>
  <si>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</si>
  <si>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</si>
  <si>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</si>
  <si>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</si>
  <si>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</si>
  <si>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</si>
  <si>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</si>
  <si>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</si>
  <si>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</si>
  <si>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</si>
  <si>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</si>
  <si>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</si>
  <si>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</si>
  <si>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</si>
  <si>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</si>
  <si>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</si>
  <si>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</si>
  <si>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</si>
  <si>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</si>
  <si>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</si>
  <si>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</si>
  <si>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Total</t>
  </si>
  <si>
    <t>PFRIP Total</t>
  </si>
  <si>
    <t>Detailed Budget Table</t>
  </si>
  <si>
    <t>Personnel</t>
  </si>
  <si>
    <t> </t>
  </si>
  <si>
    <t>Senior Grants Administrator 1 FTE, 5% annual increase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</si>
  <si>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</si>
  <si>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</si>
  <si>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</si>
  <si>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</si>
  <si>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</si>
  <si>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</si>
  <si>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</si>
  <si>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>Indirect Costs (0.05 Personnel)</t>
  </si>
  <si>
    <t>City of San Jose Portfolio Budget</t>
  </si>
  <si>
    <t>YEAR 1 Hours</t>
  </si>
  <si>
    <t>YEAR 1 Total</t>
  </si>
  <si>
    <t>YEAR 2 Hours</t>
  </si>
  <si>
    <t>YEAR 2 Total</t>
  </si>
  <si>
    <t>YEAR 3 Hours</t>
  </si>
  <si>
    <t>YEAR 3 Total</t>
  </si>
  <si>
    <t>YEAR 4 Hours</t>
  </si>
  <si>
    <t>YEAR 5 Hours</t>
  </si>
  <si>
    <t>Personnel (Hrs per Year)</t>
  </si>
  <si>
    <t>Associate Engineer Hourly Rate; 5% increase per year</t>
  </si>
  <si>
    <t>Engineer 1/2 Hourly Rate; 5% increase per year</t>
  </si>
  <si>
    <t>Senior Construction Manager Hourly Rate; 5% increase per year</t>
  </si>
  <si>
    <t>CFAS Division Manager Hourly Rate; 5% increase per year</t>
  </si>
  <si>
    <t>Building Inspector Combination Certified, Senior (x2); Hourly Rate; 5% increase per year</t>
  </si>
  <si>
    <t>Fire Prevention Inspector Hourly Rate; 5% increase per year</t>
  </si>
  <si>
    <t>Hazardous Materials Inspector, Senior Hourly Rate; 5% increase per year</t>
  </si>
  <si>
    <t>Senior Electrician; Hourly Rate; 5% increase per year</t>
  </si>
  <si>
    <t>Plumber; Hourly Rate; 5% increase per year</t>
  </si>
  <si>
    <t>Senior Construction Manager; Hourly Rate; 5% increase per year</t>
  </si>
  <si>
    <t>Program Manager; Hourly Rate; 5% increase per year</t>
  </si>
  <si>
    <t>Supervising Environmental Services Specialist; Hourly Rate; 5% increase per year</t>
  </si>
  <si>
    <t>Associate Environmental Services Specialist; Hourly Rate; 5% increase per year</t>
  </si>
  <si>
    <t>Analyst; Hourly Rate; 5% increase per year</t>
  </si>
  <si>
    <t>Senior Analyst; Hourly Rate; 5% increase per year</t>
  </si>
  <si>
    <t>Program Manager Office of Economic &amp; Cultural Affairs; Hourly Rate; 5% increase per year</t>
  </si>
  <si>
    <t>Traffic Control Officer; Hourly Rate; 5% increase per year</t>
  </si>
  <si>
    <t xml:space="preserve"> Fringe Benefits </t>
  </si>
  <si>
    <t>Associate Engineer; .72</t>
  </si>
  <si>
    <t>Engineer 1/2; .71</t>
  </si>
  <si>
    <t xml:space="preserve">Senior Construction Manager; .84 </t>
  </si>
  <si>
    <t>Division Manager; .74</t>
  </si>
  <si>
    <t>Building Inspector Combination Certified, Senior; .5</t>
  </si>
  <si>
    <t>Fire Prevention Inspector; .5</t>
  </si>
  <si>
    <t>Hazardous Materials Inspector; .5 Senior</t>
  </si>
  <si>
    <t>Senior Electrician; .79</t>
  </si>
  <si>
    <t>Plumber; .69</t>
  </si>
  <si>
    <t>Senior Construction Manager; .84</t>
  </si>
  <si>
    <t>Program Manager; .75</t>
  </si>
  <si>
    <t>Supervising Environmental Services Specialist; .62</t>
  </si>
  <si>
    <t>Associate Environmental Services Specialist, .65</t>
  </si>
  <si>
    <t>Analyst, 0.72</t>
  </si>
  <si>
    <t>Senior Analyst, 0.76</t>
  </si>
  <si>
    <t>Program Manager Office of Economic &amp; Cultural Affairs, 0.75</t>
  </si>
  <si>
    <t>Traffic Control Officer; 0.75</t>
  </si>
  <si>
    <t>RCC: 200 kW Solar System, 800 kWh BESS with Microgrid Controller</t>
  </si>
  <si>
    <t>HHPZ: 200 kW Solar System, 1200 kWh BESS with Microgrid Controller</t>
  </si>
  <si>
    <t>FS32: 75 kW Solar System, 176 kWh BESS with Microgrid Controller</t>
  </si>
  <si>
    <t>FS23: 75 kW Solar System, 176 kWh BESS with Microgrid Controller</t>
  </si>
  <si>
    <t>FS36: 75 kW Solar System, 176 kWh BESS with Microgrid Controller</t>
  </si>
  <si>
    <t>EOC: 880kWh and 660kWh with Microgrid Controller</t>
  </si>
  <si>
    <t>EOC: 60 Level 2 EV Chargers</t>
  </si>
  <si>
    <t>Heat Pump Hot Water Heaters (100 total, Year 1 Cost $1806 + 5% Inflation; Annually 22, 24, 24, 24, 6)</t>
  </si>
  <si>
    <t>Microgrid/EVSE Planning Design, and Permitting Support (3 @ $250,000)</t>
  </si>
  <si>
    <t>Microgrid/EVSE Construction (6 Total)</t>
  </si>
  <si>
    <t>Associate Engineer; 0.6296</t>
  </si>
  <si>
    <t>Engineer 1/2; 0.6296</t>
  </si>
  <si>
    <t>Senior Construction Manager; 0.6296</t>
  </si>
  <si>
    <t>Division Manager; 0.6296</t>
  </si>
  <si>
    <t>Building Inspector Combination Certified, Senior; 0.6296</t>
  </si>
  <si>
    <t>Fire Prevention Inspector; 0.6296</t>
  </si>
  <si>
    <t>Hazardous Materials Inspector; Senior; 0.6296</t>
  </si>
  <si>
    <t>Senior Electrician; 0.6296</t>
  </si>
  <si>
    <t>Plumber; 0.6296</t>
  </si>
  <si>
    <t>Program Manager; 0.6296</t>
  </si>
  <si>
    <t>Supervising Environmental Services Specialist; 0.6296</t>
  </si>
  <si>
    <t>Associate Environmental Services Specialist, 0.6296</t>
  </si>
  <si>
    <t>Analyst, 0.6296</t>
  </si>
  <si>
    <t>Senior Analyst, 0.6296</t>
  </si>
  <si>
    <t>Program Manager Office of Economic &amp; Cultural Affairs, 0.6296</t>
  </si>
  <si>
    <t>Traffic Control Officer; 0.2906</t>
  </si>
  <si>
    <t>City of Sunnyvale Portfolio Budget</t>
  </si>
  <si>
    <t xml:space="preserve">Environmental Engineering Coordinator @ $133,974/yr, .15 FTE Yrs 1 &amp; 5, .10 FTE Yrs 2-4, with 5% salary increase </t>
  </si>
  <si>
    <t xml:space="preserve">Environmental Programs Manager @ $146,940/yr, .02 FTE Yrs 1-4, .08 FTE Yr 5 with 5% salary increase </t>
  </si>
  <si>
    <t>Senior Engineer @ $177,727/yr, 0.02 FTE Yr 1, .05 FTE Yrs 2-4, with 5% salary increase - Design Manager</t>
  </si>
  <si>
    <t>Assistant City Engineer for Construction @ $186,613/yr, 0.02 FTE each year with 5% salary increase - Constr. Manager</t>
  </si>
  <si>
    <t>Facilities Manager @ $148,272/yr, 0.05 FTE each year with 5% salary increase - Facilities Staff</t>
  </si>
  <si>
    <t>Full-time Employees @ 40% of salary</t>
  </si>
  <si>
    <t>Full-time Employees @ 38% of salary</t>
  </si>
  <si>
    <t>Fire Station 2 - (4) EV Fire Truck Charging Stations @ $25,000 each</t>
  </si>
  <si>
    <t>Fire Station 2 - (12 units) Electric Packaged Heat Pump HVAC w/Optimizer @ $47,937 each</t>
  </si>
  <si>
    <t>Fire Station 2 - (2) 80 gal Electric Heat Pump Water Heater @ $6,789 each</t>
  </si>
  <si>
    <t>Fire Station 2- Community engagement - digital dashboard sign in front of building or in lobby</t>
  </si>
  <si>
    <t>Fire Station 2 - 75 kW Solar System, 176 kWh BESS with Microgrid Controller</t>
  </si>
  <si>
    <t>Cleanwater Center Admin Building - 114 kW Solar System</t>
  </si>
  <si>
    <t>Cleanwater Center - (1) 500-gallon Electric HVAC Heat Pump  @ $215,000 each</t>
  </si>
  <si>
    <t>Cleanwater Center - (3) Electric HVAC heating units @$3,700 each</t>
  </si>
  <si>
    <t>Cleanwater Center - (1) Electric Heat Pump Water Heater (large) @ $14,000 each</t>
  </si>
  <si>
    <t>Fire Station 2 - (2) Electric 30" Built-in Induction Cooktop @ $2,500</t>
  </si>
  <si>
    <t xml:space="preserve">Fire Station 2 - Construction Management contract </t>
  </si>
  <si>
    <t xml:space="preserve">Fire Station 2 - Planning and Design </t>
  </si>
  <si>
    <t>Fire Station 2 - EV Infrastructure Upgrades</t>
  </si>
  <si>
    <t>Cleanwater Center - Electrical Infrastructure Upgrades</t>
  </si>
  <si>
    <t>Federal Approved Indirect Costs (6.77% negotiated rate for Sunnyvale)</t>
  </si>
  <si>
    <t>City of Morgan Hill Portfolio Budget</t>
  </si>
  <si>
    <t>Senior Project Manager @ 25%</t>
  </si>
  <si>
    <t>Environmental Services Administrator @ 15%</t>
  </si>
  <si>
    <t>15-ton Packaged Heat Pump AC Unit</t>
  </si>
  <si>
    <t>35-ton Packaged Heat Pump AC Unit</t>
  </si>
  <si>
    <t>HHW Coil foir MAU-1</t>
  </si>
  <si>
    <t>60-ton Air Source Heat Pumps (3)</t>
  </si>
  <si>
    <t>180gpm HHW Pumps (2)</t>
  </si>
  <si>
    <t>HHW Storage Tank</t>
  </si>
  <si>
    <t>HHW Expansion Tank</t>
  </si>
  <si>
    <t>HHW Air Separator</t>
  </si>
  <si>
    <t>Boilers at 750,000 BTUH (2)</t>
  </si>
  <si>
    <t>Commercial Induction Cooktop with 6 Burners</t>
  </si>
  <si>
    <t>Electric Convection Ovens (2-3)</t>
  </si>
  <si>
    <t>Batteries for Microgrid</t>
  </si>
  <si>
    <t>Freestanding Commercial Electric Grill</t>
  </si>
  <si>
    <t>Demolition Services</t>
  </si>
  <si>
    <t>Piping Work</t>
  </si>
  <si>
    <t>Sheet Metal and Duct Work</t>
  </si>
  <si>
    <t>Crane and Rigging Services</t>
  </si>
  <si>
    <t>Controls</t>
  </si>
  <si>
    <t>Commissioning Services</t>
  </si>
  <si>
    <t>Electrician</t>
  </si>
  <si>
    <t>Professional Egineering Services</t>
  </si>
  <si>
    <t>State Taxes</t>
  </si>
  <si>
    <t>One year Warranty</t>
  </si>
  <si>
    <t>Clean Energy Community Art at Rec Center</t>
  </si>
  <si>
    <t>Electric Vehicle Charger Unit Plan Quote + 6%</t>
  </si>
  <si>
    <t>Federal Approved Indirect Costs</t>
  </si>
  <si>
    <t>City of Mountain View Portfolio Budget</t>
  </si>
  <si>
    <t>YEAR 1 (2025)</t>
  </si>
  <si>
    <t>YEAR 2 (2026)</t>
  </si>
  <si>
    <t>YEAR 3 (2027)</t>
  </si>
  <si>
    <t>YEAR 4 (2028)</t>
  </si>
  <si>
    <t>YEAR 5 (2029)</t>
  </si>
  <si>
    <t>Principal Project Manager @ 4%FTE with 5% annual cost increase</t>
  </si>
  <si>
    <t>Senior Civil Engineer with  @ 19%FTE with 5% annual cost increase</t>
  </si>
  <si>
    <t>Principal Project Manager with 5% annual cost increase</t>
  </si>
  <si>
    <t>Senior Civil Engineer with 5% annual cost increase</t>
  </si>
  <si>
    <t>Mountain View Sports Pavilion Solar PV (191.5 kW DC)</t>
  </si>
  <si>
    <t xml:space="preserve">Mountain View Sports Pavilion Battery Storage (1 MW / 2.5 MWh of energy storage in a microgrid configuration) </t>
  </si>
  <si>
    <t>Mountain View Sports Pavilion Heat Pump HVAC (2 x 28 ton, 2 x 27.5 ton, 2 x 25.5 ton units replaced)</t>
  </si>
  <si>
    <t xml:space="preserve">Mountain View Sports Pavilion Structural Upgrades </t>
  </si>
  <si>
    <t>Mountain View Sports Pavilion Service and Infrastructure Upgrades to Enable Energy Improvements (1600A service and switchgear configured for microgrid)</t>
  </si>
  <si>
    <t>Whisman Sports Center Solar PV  (66.7 kW)</t>
  </si>
  <si>
    <t>Whisman Sports Center Battery Storage (100 kW / 250 kWh energy storage) and Infrastructure Adjustments to Enable Energy Improvements</t>
  </si>
  <si>
    <t xml:space="preserve"> Contractual (labor)</t>
  </si>
  <si>
    <t>Project Design, Engineering, and Permitting with 5% annual cost increase</t>
  </si>
  <si>
    <t>TOTAL CONTRACTUAL</t>
  </si>
  <si>
    <t>Other</t>
  </si>
  <si>
    <t>Federal Approved Indirect Costs (de minimis 10% of salary)</t>
  </si>
  <si>
    <t>City of Cupertino Portfolio Budget</t>
  </si>
  <si>
    <t>Assistant Director of Public Works</t>
  </si>
  <si>
    <t>Public Works Supervisor (Facilities)</t>
  </si>
  <si>
    <t>Maintenance Lead</t>
  </si>
  <si>
    <t>Environmental Programs &amp; Sustainability Manager</t>
  </si>
  <si>
    <t>Facilities Supervisor</t>
  </si>
  <si>
    <t>Central Cooling installation</t>
  </si>
  <si>
    <t>Decentralized Cooling</t>
  </si>
  <si>
    <t>Domestic HPWH Units Installation Support</t>
  </si>
  <si>
    <t>Exhaust Air</t>
  </si>
  <si>
    <t>Heat Generation</t>
  </si>
  <si>
    <t>Heat Air Distirbution</t>
  </si>
  <si>
    <t>Electrical Service</t>
  </si>
  <si>
    <t xml:space="preserve">     Power Distirbution</t>
  </si>
  <si>
    <t>Federal Approved Indirect Costs (de minimis 10% of staff)</t>
  </si>
  <si>
    <t>Policy Director</t>
  </si>
  <si>
    <t>2 Policy Managers</t>
  </si>
  <si>
    <t>Policy Senior Manager</t>
  </si>
  <si>
    <t>Chief Policy Officer</t>
  </si>
  <si>
    <t>Public Engagement Director</t>
  </si>
  <si>
    <t>Public Engagement Manager</t>
  </si>
  <si>
    <t>Communications Director</t>
  </si>
  <si>
    <t>Chief Financial Officer</t>
  </si>
  <si>
    <t>Accountant</t>
  </si>
  <si>
    <t>17% of personnel time</t>
  </si>
  <si>
    <t>Conference travel</t>
  </si>
  <si>
    <t>Local Travel</t>
  </si>
  <si>
    <t xml:space="preserve">     Food and other supplies for 3 community events</t>
  </si>
  <si>
    <t>Language Translation Services</t>
  </si>
  <si>
    <t>Interns (4)</t>
  </si>
  <si>
    <t xml:space="preserve">Communications &amp; graphic design </t>
  </si>
  <si>
    <t>GHG Perforamance Consultant (Full Contract Value)</t>
  </si>
  <si>
    <t>Community supports for participation</t>
  </si>
  <si>
    <t>Printing and copying of public event materials</t>
  </si>
  <si>
    <t>Overhead at 10% (of personnel costs)</t>
  </si>
  <si>
    <t>Personnel, includes 5% annual increase</t>
  </si>
  <si>
    <t>Project Roadmap Development</t>
  </si>
  <si>
    <t>Develop Electrification / Resilience Project Assessments  (13 projects @ $10,000 each)</t>
  </si>
  <si>
    <t>Develop MEP Conceptual Design Bid Package (9 Sets of Bridging Documents @ $10,000 each)</t>
  </si>
  <si>
    <t>Develop Standard RFP to avoid unqualified contractors being involved</t>
  </si>
  <si>
    <t>Review Design and Construction Docs, Assist Project Teams (13 Projects @ $10,000 each)</t>
  </si>
  <si>
    <t>Post-Project Evaluation &amp; Reporting, Meetings, Presentations</t>
  </si>
  <si>
    <t>Work Force Development</t>
  </si>
  <si>
    <t xml:space="preserve"> Fringe Benefits (0.5 Personnel)</t>
  </si>
  <si>
    <t xml:space="preserve"> Contractual  Enginnering Support (Electrical/NetZero and MEP, 2 Contracts Total)</t>
  </si>
  <si>
    <t>Develop Electrification / Resilience Project Assessments  (13 projects @ $25,000)</t>
  </si>
  <si>
    <t>Develop MEP Conceptual Design Bid Package (9 Sets of Bridging Documents @ $25,000)</t>
  </si>
  <si>
    <t>Review Design and Construction Docs, Assist Project Teams (13 Projects @ $25,000)</t>
  </si>
  <si>
    <t>Training Stipends for Qualifying Individuals</t>
  </si>
  <si>
    <t>Indirect Costs (1.28 Personnel)</t>
  </si>
  <si>
    <t>Count</t>
  </si>
  <si>
    <t>Price</t>
  </si>
  <si>
    <t>Website Translation Services (Spanish, Vietnamese, Chinese, $100 per 1000 characters, with 5% annual increase)</t>
  </si>
  <si>
    <t>Social Media Translation Services (Spanish, Vietnamese, Chinese, per 60 characters, with 5% annual increase)</t>
  </si>
  <si>
    <t>Live Translation Services (Spanish, $210 Hourly Rate, min 2 Hours; with 5% annual increase)</t>
  </si>
  <si>
    <t>Live Translation Services (Vietnamese, $350 Hourly Rate, min 2 Hours;with 5% annual increase)</t>
  </si>
  <si>
    <t>Live Translation Services  (Chinese, $350 Hourly Rate, min 2 Hours;with 5% annual increase)</t>
  </si>
  <si>
    <t>Presentation Translation Services (Spanish, Vietnamese, Chinese, $100 per 2000 characters)</t>
  </si>
  <si>
    <t>Event Production Services</t>
  </si>
  <si>
    <t>Curatorial and Project Management Services</t>
  </si>
  <si>
    <t>PR, Design and Media Ad Agency</t>
  </si>
  <si>
    <t>Electrical Services</t>
  </si>
  <si>
    <t>Artwork Preparator and Fabrication</t>
  </si>
  <si>
    <t>Staging and Audio-Visual</t>
  </si>
  <si>
    <t>DOT tow zone</t>
  </si>
  <si>
    <t>DOT safety equipment (e.g. cones, Signage, barriers, and stands)</t>
  </si>
  <si>
    <t>Street Closure Permit</t>
  </si>
  <si>
    <t>Santa Clara Event Fee Health Dept</t>
  </si>
  <si>
    <t>Musical Performance Fees</t>
  </si>
  <si>
    <t>Cleaning and Damage Deposit (refundable)</t>
  </si>
  <si>
    <t>Portable Generator</t>
  </si>
  <si>
    <t>2 Security guards 10 hours</t>
  </si>
  <si>
    <t>Artist Fees $10,000 per artist @ 4 artists</t>
  </si>
  <si>
    <t xml:space="preserve"> Prospect Silicon Valley (Building Design Performance &amp; Workforce Development)</t>
  </si>
  <si>
    <t>San Jose Portfolio Project (6 microgrids, EVSE, 100 HPHWs, 1 Website, 5 Translated Community Meetings &amp; Social Media Postings, &amp; Climate Art Fair)</t>
  </si>
  <si>
    <t>Sunnyvale Portfolio Project (2 microgrids, HVAC Heat Pumps, HPWH, EVSE, Induction Cook Tops)</t>
  </si>
  <si>
    <t>Cupertino Portfolio Project (Heat Pump HVAC &amp; HPHW)</t>
  </si>
  <si>
    <t>Morgan Hill Portfolio Project (Electric Boilers &amp; Pool Heater, Heat Pump HVAC, Electric Kitchen, and EVSE)</t>
  </si>
  <si>
    <t>Mountain View Portfolio Project (2 microgrids)</t>
  </si>
  <si>
    <t>Silicon Valley Clean Energy (Grant Administration)</t>
  </si>
  <si>
    <t>Silicon Valley Clean Energy - Lead Reporting and Administrative Budget</t>
  </si>
  <si>
    <t>SPUR - Countywide Community Engagement, Equity Analysis, and GHG Performance Budget</t>
  </si>
  <si>
    <t>Building Design Standards Performance and Workforce Development Budget</t>
  </si>
  <si>
    <t>SPUR (Community Engagement, Equity, &amp; GHG Performance Assessments)</t>
  </si>
  <si>
    <t xml:space="preserve"> Fringe Benefits (.2942)</t>
  </si>
  <si>
    <t xml:space="preserve">     Interpretive Signage</t>
  </si>
  <si>
    <t>Public Facilities Resiliency Implementation Project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</si>
</sst>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"/>
    <numFmt numFmtId="166" formatCode="_([$$-409]* #,##0_);_([$$-409]* \(#,##0\);_([$$-409]* &quot;-&quot;??_);_(@_)"/>
    <numFmt numFmtId="167" formatCode="&quot;$&quot;#,##0.0_);[Red]\(&quot;$&quot;#,##0.0\)"/>
    <numFmt numFmtId="168" formatCode="_([$$-409]* #,##0.00_);_([$$-409]* \(#,##0.00\);_([$$-409]* &quot;-&quot;??_);_(@_)"/>
    <numFmt numFmtId="169" formatCode="&quot;$&quot;#,##0.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</font>
    <font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73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3" fillId="0" borderId="0" xfId="0" applyFont="1"/>
    <xf numFmtId="0" fontId="0" fillId="0" borderId="0" xfId="0" applyAlignment="1">
      <alignment vertical="top"/>
    </xf>
    <xf numFmtId="0" fontId="5" fillId="0" borderId="0" xfId="0" applyFont="1"/>
    <xf numFmtId="0" fontId="5" fillId="0" borderId="1" xfId="0" applyFont="1" applyBorder="1"/>
    <xf numFmtId="0" fontId="5" fillId="4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6" fontId="5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2" fillId="0" borderId="1" xfId="0" applyFont="1" applyBorder="1"/>
    <xf numFmtId="0" fontId="7" fillId="0" borderId="9" xfId="0" applyFont="1" applyBorder="1" applyAlignment="1">
      <alignment wrapText="1"/>
    </xf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6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5" fillId="0" borderId="1" xfId="0" applyFont="1" applyBorder="1" applyAlignment="1">
      <alignment horizontal="left" wrapText="1" indent="2"/>
    </xf>
    <xf numFmtId="0" fontId="9" fillId="0" borderId="0" xfId="0" applyFont="1"/>
    <xf numFmtId="6" fontId="5" fillId="0" borderId="0" xfId="0" applyNumberFormat="1" applyFont="1"/>
    <xf numFmtId="0" fontId="8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7" fillId="6" borderId="11" xfId="0" applyFont="1" applyFill="1" applyBorder="1" applyAlignment="1">
      <alignment wrapText="1"/>
    </xf>
    <xf numFmtId="0" fontId="7" fillId="6" borderId="12" xfId="0" applyFont="1" applyFill="1" applyBorder="1" applyAlignment="1">
      <alignment wrapText="1"/>
    </xf>
    <xf numFmtId="0" fontId="7" fillId="6" borderId="13" xfId="0" applyFont="1" applyFill="1" applyBorder="1" applyAlignment="1">
      <alignment wrapText="1"/>
    </xf>
    <xf numFmtId="0" fontId="7" fillId="6" borderId="7" xfId="0" applyFont="1" applyFill="1" applyBorder="1" applyAlignment="1">
      <alignment wrapText="1"/>
    </xf>
    <xf numFmtId="0" fontId="7" fillId="6" borderId="3" xfId="0" applyFont="1" applyFill="1" applyBorder="1"/>
    <xf numFmtId="0" fontId="8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7" fillId="3" borderId="11" xfId="0" applyFont="1" applyFill="1" applyBorder="1" applyAlignment="1">
      <alignment wrapText="1"/>
    </xf>
    <xf numFmtId="0" fontId="7" fillId="3" borderId="12" xfId="0" applyFont="1" applyFill="1" applyBorder="1" applyAlignment="1">
      <alignment wrapText="1"/>
    </xf>
    <xf numFmtId="0" fontId="7" fillId="3" borderId="13" xfId="0" applyFont="1" applyFill="1" applyBorder="1" applyAlignment="1">
      <alignment wrapText="1"/>
    </xf>
    <xf numFmtId="0" fontId="7" fillId="3" borderId="7" xfId="0" applyFont="1" applyFill="1" applyBorder="1" applyAlignment="1">
      <alignment wrapText="1"/>
    </xf>
    <xf numFmtId="0" fontId="5" fillId="7" borderId="1" xfId="0" applyFont="1" applyFill="1" applyBorder="1" applyAlignment="1">
      <alignment wrapText="1"/>
    </xf>
    <xf numFmtId="0" fontId="7" fillId="3" borderId="15" xfId="0" applyFont="1" applyFill="1" applyBorder="1" applyAlignment="1">
      <alignment wrapText="1"/>
    </xf>
    <xf numFmtId="6" fontId="5" fillId="4" borderId="1" xfId="0" applyNumberFormat="1" applyFont="1" applyFill="1" applyBorder="1" applyAlignment="1">
      <alignment wrapText="1"/>
    </xf>
    <xf numFmtId="0" fontId="10" fillId="0" borderId="0" xfId="0" applyFont="1"/>
    <xf numFmtId="0" fontId="7" fillId="0" borderId="16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7" fillId="3" borderId="1" xfId="0" applyFont="1" applyFill="1" applyBorder="1"/>
    <xf numFmtId="0" fontId="2" fillId="0" borderId="2" xfId="0" applyFont="1" applyBorder="1" applyAlignment="1">
      <alignment vertical="top" wrapText="1"/>
    </xf>
    <xf numFmtId="0" fontId="2" fillId="0" borderId="5" xfId="0" applyFont="1" applyBorder="1" applyAlignment="1">
      <alignment vertical="top"/>
    </xf>
    <xf numFmtId="0" fontId="5" fillId="4" borderId="3" xfId="0" applyFont="1" applyFill="1" applyBorder="1" applyAlignment="1">
      <alignment wrapText="1"/>
    </xf>
    <xf numFmtId="0" fontId="7" fillId="0" borderId="1" xfId="0" applyFont="1" applyBorder="1"/>
    <xf numFmtId="165" fontId="5" fillId="0" borderId="1" xfId="0" applyNumberFormat="1" applyFont="1" applyBorder="1" applyAlignment="1">
      <alignment wrapText="1"/>
    </xf>
    <xf numFmtId="6" fontId="11" fillId="0" borderId="0" xfId="0" applyNumberFormat="1" applyFont="1"/>
    <xf numFmtId="0" fontId="11" fillId="0" borderId="0" xfId="0" applyFont="1"/>
    <xf numFmtId="4" fontId="1" fillId="5" borderId="7" xfId="0" applyNumberFormat="1" applyFont="1" applyFill="1" applyBorder="1" applyAlignment="1">
      <alignment wrapText="1"/>
    </xf>
    <xf numFmtId="4" fontId="11" fillId="0" borderId="1" xfId="0" applyNumberFormat="1" applyFont="1" applyBorder="1" applyAlignment="1">
      <alignment wrapText="1"/>
    </xf>
    <xf numFmtId="4" fontId="11" fillId="0" borderId="1" xfId="0" applyNumberFormat="1" applyFont="1" applyBorder="1"/>
    <xf numFmtId="4" fontId="12" fillId="0" borderId="10" xfId="0" applyNumberFormat="1" applyFont="1" applyBorder="1" applyAlignment="1">
      <alignment wrapText="1"/>
    </xf>
    <xf numFmtId="0" fontId="11" fillId="0" borderId="1" xfId="0" applyFont="1" applyBorder="1" applyAlignment="1">
      <alignment horizontal="left" wrapText="1" indent="2"/>
    </xf>
    <xf numFmtId="0" fontId="2" fillId="9" borderId="1" xfId="0" applyFont="1" applyFill="1" applyBorder="1" applyAlignment="1">
      <alignment vertical="top"/>
    </xf>
    <xf numFmtId="0" fontId="11" fillId="0" borderId="5" xfId="0" applyFont="1" applyBorder="1" applyAlignment="1">
      <alignment vertical="top"/>
    </xf>
    <xf numFmtId="0" fontId="11" fillId="0" borderId="3" xfId="0" applyFont="1" applyBorder="1" applyAlignment="1">
      <alignment vertical="top"/>
    </xf>
    <xf numFmtId="0" fontId="11" fillId="4" borderId="1" xfId="0" applyFont="1" applyFill="1" applyBorder="1" applyAlignment="1">
      <alignment wrapText="1"/>
    </xf>
    <xf numFmtId="0" fontId="11" fillId="0" borderId="0" xfId="0" applyFont="1" applyAlignment="1">
      <alignment vertical="top"/>
    </xf>
    <xf numFmtId="0" fontId="12" fillId="0" borderId="9" xfId="0" applyFont="1" applyBorder="1" applyAlignment="1">
      <alignment wrapText="1"/>
    </xf>
    <xf numFmtId="0" fontId="12" fillId="0" borderId="0" xfId="0" applyFont="1"/>
    <xf numFmtId="0" fontId="12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0" fillId="0" borderId="5" xfId="0" applyFill="1" applyBorder="1" applyAlignment="1">
      <alignment vertical="top"/>
    </xf>
    <xf numFmtId="0" fontId="5" fillId="0" borderId="1" xfId="0" applyFont="1" applyFill="1" applyBorder="1" applyAlignment="1">
      <alignment horizontal="left" wrapText="1" indent="2"/>
    </xf>
    <xf numFmtId="0" fontId="0" fillId="0" borderId="0" xfId="0" applyFill="1"/>
    <xf numFmtId="0" fontId="5" fillId="0" borderId="19" xfId="0" applyFont="1" applyBorder="1"/>
    <xf numFmtId="0" fontId="11" fillId="0" borderId="1" xfId="0" applyFont="1" applyBorder="1"/>
    <xf numFmtId="6" fontId="11" fillId="0" borderId="1" xfId="0" applyNumberFormat="1" applyFont="1" applyBorder="1" applyAlignment="1">
      <alignment wrapText="1"/>
    </xf>
    <xf numFmtId="6" fontId="11" fillId="4" borderId="1" xfId="0" applyNumberFormat="1" applyFont="1" applyFill="1" applyBorder="1" applyAlignment="1">
      <alignment wrapText="1"/>
    </xf>
    <xf numFmtId="0" fontId="13" fillId="0" borderId="0" xfId="0" applyFont="1"/>
    <xf numFmtId="164" fontId="11" fillId="0" borderId="0" xfId="1" applyNumberFormat="1" applyFont="1" applyBorder="1"/>
    <xf numFmtId="0" fontId="14" fillId="5" borderId="8" xfId="0" applyFont="1" applyFill="1" applyBorder="1"/>
    <xf numFmtId="0" fontId="12" fillId="5" borderId="7" xfId="0" applyFont="1" applyFill="1" applyBorder="1" applyAlignment="1">
      <alignment wrapText="1"/>
    </xf>
    <xf numFmtId="0" fontId="12" fillId="5" borderId="6" xfId="0" applyFont="1" applyFill="1" applyBorder="1" applyAlignment="1">
      <alignment wrapText="1"/>
    </xf>
    <xf numFmtId="0" fontId="12" fillId="6" borderId="11" xfId="0" applyFont="1" applyFill="1" applyBorder="1" applyAlignment="1">
      <alignment wrapText="1"/>
    </xf>
    <xf numFmtId="0" fontId="12" fillId="6" borderId="12" xfId="0" applyFont="1" applyFill="1" applyBorder="1" applyAlignment="1">
      <alignment wrapText="1"/>
    </xf>
    <xf numFmtId="0" fontId="12" fillId="6" borderId="13" xfId="0" applyFont="1" applyFill="1" applyBorder="1" applyAlignment="1">
      <alignment wrapText="1"/>
    </xf>
    <xf numFmtId="0" fontId="12" fillId="6" borderId="7" xfId="0" applyFont="1" applyFill="1" applyBorder="1" applyAlignment="1">
      <alignment wrapText="1"/>
    </xf>
    <xf numFmtId="0" fontId="12" fillId="6" borderId="3" xfId="0" applyFont="1" applyFill="1" applyBorder="1"/>
    <xf numFmtId="0" fontId="12" fillId="0" borderId="2" xfId="0" applyFont="1" applyBorder="1" applyAlignment="1">
      <alignment vertical="top"/>
    </xf>
    <xf numFmtId="0" fontId="12" fillId="0" borderId="1" xfId="0" applyFont="1" applyBorder="1" applyAlignment="1">
      <alignment vertical="top"/>
    </xf>
    <xf numFmtId="0" fontId="12" fillId="0" borderId="2" xfId="0" applyFont="1" applyBorder="1" applyAlignment="1">
      <alignment vertical="top" wrapText="1"/>
    </xf>
    <xf numFmtId="0" fontId="12" fillId="0" borderId="1" xfId="0" applyFont="1" applyBorder="1"/>
    <xf numFmtId="8" fontId="11" fillId="0" borderId="1" xfId="0" applyNumberFormat="1" applyFont="1" applyBorder="1" applyAlignment="1">
      <alignment wrapText="1"/>
    </xf>
    <xf numFmtId="0" fontId="11" fillId="0" borderId="1" xfId="0" applyFont="1" applyBorder="1" applyAlignment="1">
      <alignment horizontal="left" wrapText="1" indent="4"/>
    </xf>
    <xf numFmtId="6" fontId="11" fillId="4" borderId="4" xfId="0" applyNumberFormat="1" applyFont="1" applyFill="1" applyBorder="1" applyAlignment="1">
      <alignment wrapText="1"/>
    </xf>
    <xf numFmtId="6" fontId="12" fillId="0" borderId="10" xfId="0" applyNumberFormat="1" applyFont="1" applyBorder="1" applyAlignment="1">
      <alignment wrapText="1"/>
    </xf>
    <xf numFmtId="0" fontId="0" fillId="0" borderId="0" xfId="0" applyFont="1"/>
    <xf numFmtId="0" fontId="15" fillId="0" borderId="0" xfId="0" applyFont="1"/>
    <xf numFmtId="0" fontId="15" fillId="0" borderId="1" xfId="0" applyFont="1" applyBorder="1" applyAlignment="1">
      <alignment wrapText="1"/>
    </xf>
    <xf numFmtId="0" fontId="15" fillId="0" borderId="22" xfId="0" applyFont="1" applyBorder="1" applyAlignment="1">
      <alignment wrapText="1"/>
    </xf>
    <xf numFmtId="0" fontId="15" fillId="0" borderId="19" xfId="0" applyFont="1" applyBorder="1" applyAlignment="1">
      <alignment wrapText="1"/>
    </xf>
    <xf numFmtId="0" fontId="15" fillId="0" borderId="20" xfId="0" applyFont="1" applyBorder="1" applyAlignment="1">
      <alignment wrapText="1"/>
    </xf>
    <xf numFmtId="0" fontId="15" fillId="0" borderId="19" xfId="0" applyFont="1" applyBorder="1"/>
    <xf numFmtId="0" fontId="15" fillId="0" borderId="4" xfId="0" applyFont="1" applyBorder="1" applyAlignment="1">
      <alignment wrapText="1"/>
    </xf>
    <xf numFmtId="0" fontId="15" fillId="0" borderId="0" xfId="0" applyFont="1" applyBorder="1"/>
    <xf numFmtId="6" fontId="11" fillId="4" borderId="3" xfId="0" applyNumberFormat="1" applyFont="1" applyFill="1" applyBorder="1" applyAlignment="1">
      <alignment wrapText="1"/>
    </xf>
    <xf numFmtId="6" fontId="11" fillId="0" borderId="2" xfId="0" applyNumberFormat="1" applyFont="1" applyBorder="1" applyAlignment="1">
      <alignment wrapText="1"/>
    </xf>
    <xf numFmtId="0" fontId="15" fillId="0" borderId="17" xfId="0" applyFont="1" applyBorder="1" applyAlignment="1">
      <alignment wrapText="1"/>
    </xf>
    <xf numFmtId="0" fontId="15" fillId="0" borderId="6" xfId="0" applyFont="1" applyFill="1" applyBorder="1" applyAlignment="1">
      <alignment wrapText="1"/>
    </xf>
    <xf numFmtId="0" fontId="15" fillId="0" borderId="17" xfId="0" applyFont="1" applyFill="1" applyBorder="1" applyAlignment="1">
      <alignment wrapText="1"/>
    </xf>
    <xf numFmtId="6" fontId="11" fillId="0" borderId="19" xfId="0" applyNumberFormat="1" applyFont="1" applyBorder="1" applyAlignment="1">
      <alignment wrapText="1"/>
    </xf>
    <xf numFmtId="0" fontId="0" fillId="0" borderId="1" xfId="0" applyFont="1" applyBorder="1" applyAlignment="1">
      <alignment vertical="top"/>
    </xf>
    <xf numFmtId="6" fontId="15" fillId="0" borderId="6" xfId="0" applyNumberFormat="1" applyFont="1" applyBorder="1" applyAlignment="1">
      <alignment wrapText="1"/>
    </xf>
    <xf numFmtId="6" fontId="15" fillId="0" borderId="1" xfId="0" applyNumberFormat="1" applyFont="1" applyBorder="1" applyAlignment="1">
      <alignment wrapText="1"/>
    </xf>
    <xf numFmtId="6" fontId="15" fillId="0" borderId="17" xfId="0" applyNumberFormat="1" applyFont="1" applyBorder="1" applyAlignment="1">
      <alignment wrapText="1"/>
    </xf>
    <xf numFmtId="0" fontId="15" fillId="0" borderId="6" xfId="0" applyFont="1" applyBorder="1" applyAlignment="1">
      <alignment wrapText="1"/>
    </xf>
    <xf numFmtId="0" fontId="15" fillId="0" borderId="3" xfId="0" applyFont="1" applyBorder="1" applyAlignment="1">
      <alignment wrapText="1"/>
    </xf>
    <xf numFmtId="6" fontId="15" fillId="0" borderId="22" xfId="0" applyNumberFormat="1" applyFont="1" applyBorder="1" applyAlignment="1">
      <alignment wrapText="1"/>
    </xf>
    <xf numFmtId="0" fontId="15" fillId="0" borderId="21" xfId="0" applyFont="1" applyBorder="1" applyAlignment="1">
      <alignment wrapText="1"/>
    </xf>
    <xf numFmtId="6" fontId="15" fillId="0" borderId="19" xfId="0" applyNumberFormat="1" applyFont="1" applyBorder="1" applyAlignment="1">
      <alignment wrapText="1"/>
    </xf>
    <xf numFmtId="166" fontId="15" fillId="0" borderId="20" xfId="0" applyNumberFormat="1" applyFont="1" applyBorder="1" applyAlignment="1">
      <alignment wrapText="1"/>
    </xf>
    <xf numFmtId="4" fontId="15" fillId="0" borderId="20" xfId="0" applyNumberFormat="1" applyFont="1" applyBorder="1" applyAlignment="1">
      <alignment wrapText="1"/>
    </xf>
    <xf numFmtId="166" fontId="15" fillId="0" borderId="4" xfId="0" applyNumberFormat="1" applyFont="1" applyBorder="1" applyAlignment="1">
      <alignment wrapText="1"/>
    </xf>
    <xf numFmtId="4" fontId="15" fillId="0" borderId="4" xfId="0" applyNumberFormat="1" applyFont="1" applyBorder="1" applyAlignment="1">
      <alignment wrapText="1"/>
    </xf>
    <xf numFmtId="6" fontId="15" fillId="0" borderId="3" xfId="0" applyNumberFormat="1" applyFont="1" applyBorder="1" applyAlignment="1">
      <alignment wrapText="1"/>
    </xf>
    <xf numFmtId="0" fontId="15" fillId="0" borderId="21" xfId="0" applyFont="1" applyFill="1" applyBorder="1" applyAlignment="1">
      <alignment wrapText="1"/>
    </xf>
    <xf numFmtId="0" fontId="15" fillId="0" borderId="1" xfId="0" applyFont="1" applyFill="1" applyBorder="1" applyAlignment="1">
      <alignment wrapText="1"/>
    </xf>
    <xf numFmtId="6" fontId="15" fillId="0" borderId="6" xfId="0" applyNumberFormat="1" applyFont="1" applyFill="1" applyBorder="1" applyAlignment="1">
      <alignment wrapText="1"/>
    </xf>
    <xf numFmtId="6" fontId="15" fillId="0" borderId="24" xfId="0" applyNumberFormat="1" applyFont="1" applyBorder="1" applyAlignment="1">
      <alignment wrapText="1"/>
    </xf>
    <xf numFmtId="0" fontId="15" fillId="0" borderId="3" xfId="0" applyFont="1" applyFill="1" applyBorder="1" applyAlignment="1">
      <alignment wrapText="1"/>
    </xf>
    <xf numFmtId="6" fontId="15" fillId="0" borderId="17" xfId="0" applyNumberFormat="1" applyFont="1" applyFill="1" applyBorder="1" applyAlignment="1">
      <alignment wrapText="1"/>
    </xf>
    <xf numFmtId="167" fontId="11" fillId="0" borderId="1" xfId="0" applyNumberFormat="1" applyFont="1" applyBorder="1" applyAlignment="1">
      <alignment wrapText="1"/>
    </xf>
    <xf numFmtId="0" fontId="11" fillId="0" borderId="9" xfId="0" applyFont="1" applyBorder="1" applyAlignment="1">
      <alignment wrapText="1"/>
    </xf>
    <xf numFmtId="6" fontId="11" fillId="0" borderId="10" xfId="0" applyNumberFormat="1" applyFont="1" applyBorder="1" applyAlignment="1">
      <alignment wrapText="1"/>
    </xf>
    <xf numFmtId="0" fontId="5" fillId="0" borderId="9" xfId="0" applyFont="1" applyBorder="1" applyAlignment="1">
      <alignment wrapText="1"/>
    </xf>
    <xf numFmtId="0" fontId="0" fillId="0" borderId="0" xfId="0" applyFont="1" applyAlignment="1">
      <alignment vertical="top"/>
    </xf>
    <xf numFmtId="164" fontId="4" fillId="0" borderId="0" xfId="1" applyNumberFormat="1" applyFont="1" applyBorder="1"/>
    <xf numFmtId="0" fontId="0" fillId="0" borderId="5" xfId="0" applyFont="1" applyBorder="1" applyAlignment="1">
      <alignment vertical="top"/>
    </xf>
    <xf numFmtId="0" fontId="5" fillId="0" borderId="1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0" fillId="0" borderId="18" xfId="0" applyFont="1" applyBorder="1" applyAlignment="1">
      <alignment vertical="top"/>
    </xf>
    <xf numFmtId="6" fontId="5" fillId="0" borderId="6" xfId="0" applyNumberFormat="1" applyFont="1" applyBorder="1" applyAlignment="1">
      <alignment wrapText="1"/>
    </xf>
    <xf numFmtId="0" fontId="5" fillId="0" borderId="19" xfId="0" applyFont="1" applyBorder="1" applyAlignment="1">
      <alignment horizontal="left" wrapText="1"/>
    </xf>
    <xf numFmtId="165" fontId="5" fillId="0" borderId="20" xfId="0" applyNumberFormat="1" applyFont="1" applyBorder="1"/>
    <xf numFmtId="165" fontId="5" fillId="0" borderId="6" xfId="0" applyNumberFormat="1" applyFont="1" applyBorder="1" applyAlignment="1">
      <alignment wrapText="1"/>
    </xf>
    <xf numFmtId="165" fontId="5" fillId="0" borderId="20" xfId="0" applyNumberFormat="1" applyFont="1" applyBorder="1" applyAlignment="1">
      <alignment wrapText="1"/>
    </xf>
    <xf numFmtId="6" fontId="5" fillId="4" borderId="4" xfId="0" applyNumberFormat="1" applyFont="1" applyFill="1" applyBorder="1" applyAlignment="1">
      <alignment wrapText="1"/>
    </xf>
    <xf numFmtId="0" fontId="0" fillId="0" borderId="3" xfId="0" applyFont="1" applyBorder="1" applyAlignment="1">
      <alignment vertical="top"/>
    </xf>
    <xf numFmtId="6" fontId="7" fillId="0" borderId="10" xfId="0" applyNumberFormat="1" applyFont="1" applyBorder="1" applyAlignment="1">
      <alignment wrapText="1"/>
    </xf>
    <xf numFmtId="3" fontId="11" fillId="0" borderId="1" xfId="0" applyNumberFormat="1" applyFont="1" applyBorder="1" applyAlignment="1">
      <alignment wrapText="1"/>
    </xf>
    <xf numFmtId="0" fontId="11" fillId="0" borderId="18" xfId="0" applyFont="1" applyBorder="1" applyAlignment="1">
      <alignment vertical="top"/>
    </xf>
    <xf numFmtId="0" fontId="11" fillId="0" borderId="19" xfId="0" applyFont="1" applyBorder="1"/>
    <xf numFmtId="8" fontId="15" fillId="8" borderId="1" xfId="0" applyNumberFormat="1" applyFont="1" applyFill="1" applyBorder="1"/>
    <xf numFmtId="8" fontId="15" fillId="8" borderId="6" xfId="0" applyNumberFormat="1" applyFont="1" applyFill="1" applyBorder="1"/>
    <xf numFmtId="2" fontId="11" fillId="0" borderId="0" xfId="0" applyNumberFormat="1" applyFont="1"/>
    <xf numFmtId="8" fontId="15" fillId="8" borderId="3" xfId="0" applyNumberFormat="1" applyFont="1" applyFill="1" applyBorder="1"/>
    <xf numFmtId="8" fontId="15" fillId="8" borderId="17" xfId="0" applyNumberFormat="1" applyFont="1" applyFill="1" applyBorder="1"/>
    <xf numFmtId="0" fontId="11" fillId="4" borderId="3" xfId="0" applyFont="1" applyFill="1" applyBorder="1" applyAlignment="1">
      <alignment wrapText="1"/>
    </xf>
    <xf numFmtId="0" fontId="12" fillId="0" borderId="2" xfId="0" applyFont="1" applyBorder="1" applyAlignment="1">
      <alignment wrapText="1"/>
    </xf>
    <xf numFmtId="0" fontId="12" fillId="0" borderId="8" xfId="0" applyFont="1" applyBorder="1" applyAlignment="1">
      <alignment wrapText="1"/>
    </xf>
    <xf numFmtId="0" fontId="11" fillId="0" borderId="24" xfId="0" applyFont="1" applyBorder="1" applyAlignment="1">
      <alignment wrapText="1"/>
    </xf>
    <xf numFmtId="0" fontId="11" fillId="0" borderId="23" xfId="0" applyFont="1" applyBorder="1"/>
    <xf numFmtId="0" fontId="11" fillId="0" borderId="19" xfId="0" applyFont="1" applyBorder="1" applyAlignment="1">
      <alignment wrapText="1"/>
    </xf>
    <xf numFmtId="167" fontId="11" fillId="0" borderId="0" xfId="0" applyNumberFormat="1" applyFont="1"/>
    <xf numFmtId="0" fontId="11" fillId="0" borderId="3" xfId="0" applyFont="1" applyBorder="1" applyAlignment="1">
      <alignment wrapText="1"/>
    </xf>
    <xf numFmtId="8" fontId="11" fillId="0" borderId="0" xfId="0" applyNumberFormat="1" applyFont="1"/>
    <xf numFmtId="8" fontId="11" fillId="0" borderId="1" xfId="0" applyNumberFormat="1" applyFont="1" applyBorder="1"/>
    <xf numFmtId="6" fontId="11" fillId="4" borderId="2" xfId="0" applyNumberFormat="1" applyFont="1" applyFill="1" applyBorder="1" applyAlignment="1">
      <alignment wrapText="1"/>
    </xf>
    <xf numFmtId="0" fontId="11" fillId="0" borderId="8" xfId="0" applyFont="1" applyBorder="1" applyAlignment="1">
      <alignment horizontal="left" wrapText="1" indent="2"/>
    </xf>
    <xf numFmtId="169" fontId="11" fillId="0" borderId="0" xfId="0" applyNumberFormat="1" applyFont="1" applyAlignment="1">
      <alignment vertical="top"/>
    </xf>
    <xf numFmtId="169" fontId="11" fillId="0" borderId="0" xfId="1" applyNumberFormat="1" applyFont="1" applyBorder="1"/>
    <xf numFmtId="169" fontId="11" fillId="0" borderId="0" xfId="0" applyNumberFormat="1" applyFont="1"/>
    <xf numFmtId="0" fontId="12" fillId="5" borderId="8" xfId="0" applyFont="1" applyFill="1" applyBorder="1"/>
    <xf numFmtId="169" fontId="12" fillId="5" borderId="7" xfId="0" applyNumberFormat="1" applyFont="1" applyFill="1" applyBorder="1" applyAlignment="1">
      <alignment wrapText="1"/>
    </xf>
    <xf numFmtId="0" fontId="12" fillId="6" borderId="26" xfId="0" applyFont="1" applyFill="1" applyBorder="1" applyAlignment="1">
      <alignment wrapText="1"/>
    </xf>
    <xf numFmtId="169" fontId="12" fillId="6" borderId="26" xfId="0" applyNumberFormat="1" applyFont="1" applyFill="1" applyBorder="1" applyAlignment="1">
      <alignment wrapText="1"/>
    </xf>
    <xf numFmtId="169" fontId="12" fillId="6" borderId="27" xfId="0" applyNumberFormat="1" applyFont="1" applyFill="1" applyBorder="1" applyAlignment="1">
      <alignment wrapText="1"/>
    </xf>
    <xf numFmtId="169" fontId="12" fillId="6" borderId="28" xfId="0" applyNumberFormat="1" applyFont="1" applyFill="1" applyBorder="1" applyAlignment="1">
      <alignment wrapText="1"/>
    </xf>
    <xf numFmtId="0" fontId="12" fillId="0" borderId="25" xfId="0" applyFont="1" applyBorder="1" applyAlignment="1">
      <alignment vertical="top"/>
    </xf>
    <xf numFmtId="0" fontId="12" fillId="0" borderId="19" xfId="0" applyFont="1" applyBorder="1" applyAlignment="1">
      <alignment vertical="top"/>
    </xf>
    <xf numFmtId="169" fontId="11" fillId="0" borderId="0" xfId="0" applyNumberFormat="1" applyFont="1" applyAlignment="1">
      <alignment wrapText="1"/>
    </xf>
    <xf numFmtId="0" fontId="12" fillId="0" borderId="18" xfId="0" applyFont="1" applyBorder="1" applyAlignment="1">
      <alignment vertical="top"/>
    </xf>
    <xf numFmtId="0" fontId="11" fillId="0" borderId="20" xfId="0" applyFont="1" applyBorder="1" applyAlignment="1">
      <alignment readingOrder="1"/>
    </xf>
    <xf numFmtId="169" fontId="11" fillId="0" borderId="24" xfId="0" applyNumberFormat="1" applyFont="1" applyBorder="1" applyAlignment="1">
      <alignment wrapText="1"/>
    </xf>
    <xf numFmtId="169" fontId="11" fillId="0" borderId="30" xfId="0" applyNumberFormat="1" applyFont="1" applyBorder="1"/>
    <xf numFmtId="169" fontId="11" fillId="0" borderId="24" xfId="0" applyNumberFormat="1" applyFont="1" applyBorder="1"/>
    <xf numFmtId="0" fontId="11" fillId="0" borderId="29" xfId="0" applyFont="1" applyBorder="1" applyAlignment="1">
      <alignment readingOrder="1"/>
    </xf>
    <xf numFmtId="169" fontId="11" fillId="0" borderId="19" xfId="0" applyNumberFormat="1" applyFont="1" applyBorder="1"/>
    <xf numFmtId="0" fontId="11" fillId="0" borderId="23" xfId="0" applyFont="1" applyBorder="1" applyAlignment="1">
      <alignment readingOrder="1"/>
    </xf>
    <xf numFmtId="169" fontId="11" fillId="8" borderId="20" xfId="0" applyNumberFormat="1" applyFont="1" applyFill="1" applyBorder="1" applyAlignment="1">
      <alignment readingOrder="1"/>
    </xf>
    <xf numFmtId="169" fontId="11" fillId="8" borderId="19" xfId="0" applyNumberFormat="1" applyFont="1" applyFill="1" applyBorder="1" applyAlignment="1">
      <alignment readingOrder="1"/>
    </xf>
    <xf numFmtId="169" fontId="11" fillId="8" borderId="24" xfId="0" applyNumberFormat="1" applyFont="1" applyFill="1" applyBorder="1" applyAlignment="1">
      <alignment readingOrder="1"/>
    </xf>
    <xf numFmtId="169" fontId="11" fillId="0" borderId="31" xfId="0" applyNumberFormat="1" applyFont="1" applyBorder="1"/>
    <xf numFmtId="169" fontId="11" fillId="0" borderId="1" xfId="0" applyNumberFormat="1" applyFont="1" applyBorder="1" applyAlignment="1">
      <alignment wrapText="1"/>
    </xf>
    <xf numFmtId="169" fontId="11" fillId="0" borderId="1" xfId="0" applyNumberFormat="1" applyFont="1" applyBorder="1"/>
    <xf numFmtId="169" fontId="11" fillId="4" borderId="3" xfId="0" applyNumberFormat="1" applyFont="1" applyFill="1" applyBorder="1" applyAlignment="1">
      <alignment wrapText="1"/>
    </xf>
    <xf numFmtId="169" fontId="11" fillId="4" borderId="1" xfId="0" applyNumberFormat="1" applyFont="1" applyFill="1" applyBorder="1" applyAlignment="1">
      <alignment wrapText="1"/>
    </xf>
    <xf numFmtId="169" fontId="11" fillId="0" borderId="6" xfId="0" applyNumberFormat="1" applyFont="1" applyBorder="1" applyAlignment="1">
      <alignment wrapText="1"/>
    </xf>
    <xf numFmtId="0" fontId="11" fillId="0" borderId="3" xfId="0" applyFont="1" applyBorder="1" applyAlignment="1">
      <alignment horizontal="left" wrapText="1" indent="4"/>
    </xf>
    <xf numFmtId="169" fontId="11" fillId="4" borderId="4" xfId="0" applyNumberFormat="1" applyFont="1" applyFill="1" applyBorder="1" applyAlignment="1">
      <alignment wrapText="1"/>
    </xf>
    <xf numFmtId="0" fontId="11" fillId="8" borderId="1" xfId="0" applyFont="1" applyFill="1" applyBorder="1" applyAlignment="1">
      <alignment horizontal="left" wrapText="1" indent="2"/>
    </xf>
    <xf numFmtId="169" fontId="12" fillId="0" borderId="10" xfId="0" applyNumberFormat="1" applyFont="1" applyBorder="1" applyAlignment="1">
      <alignment wrapText="1"/>
    </xf>
    <xf numFmtId="4" fontId="11" fillId="0" borderId="0" xfId="0" applyNumberFormat="1" applyFont="1"/>
    <xf numFmtId="4" fontId="12" fillId="5" borderId="6" xfId="0" applyNumberFormat="1" applyFont="1" applyFill="1" applyBorder="1" applyAlignment="1">
      <alignment wrapText="1"/>
    </xf>
    <xf numFmtId="4" fontId="12" fillId="6" borderId="3" xfId="0" applyNumberFormat="1" applyFont="1" applyFill="1" applyBorder="1"/>
    <xf numFmtId="4" fontId="11" fillId="4" borderId="1" xfId="0" applyNumberFormat="1" applyFont="1" applyFill="1" applyBorder="1" applyAlignment="1">
      <alignment wrapText="1"/>
    </xf>
    <xf numFmtId="6" fontId="11" fillId="0" borderId="1" xfId="1" applyNumberFormat="1" applyFont="1" applyBorder="1" applyAlignment="1">
      <alignment wrapText="1"/>
    </xf>
    <xf numFmtId="0" fontId="12" fillId="0" borderId="5" xfId="0" applyFont="1" applyBorder="1" applyAlignment="1">
      <alignment vertical="top"/>
    </xf>
    <xf numFmtId="6" fontId="11" fillId="0" borderId="1" xfId="0" applyNumberFormat="1" applyFont="1" applyBorder="1"/>
    <xf numFmtId="10" fontId="11" fillId="0" borderId="0" xfId="0" applyNumberFormat="1" applyFont="1"/>
    <xf numFmtId="0" fontId="11" fillId="0" borderId="4" xfId="0" applyFont="1" applyBorder="1"/>
    <xf numFmtId="0" fontId="11" fillId="0" borderId="20" xfId="0" applyFont="1" applyBorder="1"/>
    <xf numFmtId="1" fontId="11" fillId="0" borderId="29" xfId="0" applyNumberFormat="1" applyFont="1" applyBorder="1"/>
    <xf numFmtId="0" fontId="11" fillId="0" borderId="32" xfId="0" applyFont="1" applyBorder="1" applyAlignment="1">
      <alignment wrapText="1"/>
    </xf>
    <xf numFmtId="6" fontId="11" fillId="4" borderId="31" xfId="0" applyNumberFormat="1" applyFont="1" applyFill="1" applyBorder="1" applyAlignment="1">
      <alignment wrapText="1"/>
    </xf>
    <xf numFmtId="6" fontId="11" fillId="4" borderId="19" xfId="0" applyNumberFormat="1" applyFont="1" applyFill="1" applyBorder="1" applyAlignment="1">
      <alignment wrapText="1"/>
    </xf>
    <xf numFmtId="44" fontId="11" fillId="0" borderId="1" xfId="0" applyNumberFormat="1" applyFont="1" applyBorder="1" applyAlignment="1">
      <alignment wrapText="1"/>
    </xf>
    <xf numFmtId="4" fontId="5" fillId="0" borderId="0" xfId="0" applyNumberFormat="1" applyFont="1"/>
    <xf numFmtId="4" fontId="7" fillId="6" borderId="7" xfId="0" applyNumberFormat="1" applyFont="1" applyFill="1" applyBorder="1" applyAlignment="1">
      <alignment wrapText="1"/>
    </xf>
    <xf numFmtId="4" fontId="5" fillId="9" borderId="0" xfId="0" applyNumberFormat="1" applyFont="1" applyFill="1"/>
    <xf numFmtId="4" fontId="11" fillId="0" borderId="0" xfId="0" applyNumberFormat="1" applyFont="1" applyFill="1"/>
    <xf numFmtId="169" fontId="2" fillId="0" borderId="0" xfId="0" applyNumberFormat="1" applyFont="1" applyAlignment="1">
      <alignment vertical="top"/>
    </xf>
    <xf numFmtId="169" fontId="1" fillId="5" borderId="7" xfId="0" applyNumberFormat="1" applyFont="1" applyFill="1" applyBorder="1" applyAlignment="1">
      <alignment wrapText="1"/>
    </xf>
    <xf numFmtId="169" fontId="7" fillId="6" borderId="11" xfId="0" applyNumberFormat="1" applyFont="1" applyFill="1" applyBorder="1" applyAlignment="1">
      <alignment wrapText="1"/>
    </xf>
    <xf numFmtId="169" fontId="7" fillId="9" borderId="1" xfId="0" applyNumberFormat="1" applyFont="1" applyFill="1" applyBorder="1" applyAlignment="1">
      <alignment wrapText="1"/>
    </xf>
    <xf numFmtId="169" fontId="12" fillId="0" borderId="1" xfId="0" applyNumberFormat="1" applyFont="1" applyBorder="1" applyAlignment="1">
      <alignment wrapText="1"/>
    </xf>
    <xf numFmtId="169" fontId="12" fillId="0" borderId="1" xfId="0" applyNumberFormat="1" applyFont="1" applyFill="1" applyBorder="1" applyAlignment="1">
      <alignment wrapText="1"/>
    </xf>
    <xf numFmtId="169" fontId="12" fillId="4" borderId="1" xfId="0" applyNumberFormat="1" applyFont="1" applyFill="1" applyBorder="1" applyAlignment="1">
      <alignment wrapText="1"/>
    </xf>
    <xf numFmtId="169" fontId="12" fillId="4" borderId="4" xfId="0" applyNumberFormat="1" applyFont="1" applyFill="1" applyBorder="1" applyAlignment="1">
      <alignment wrapText="1"/>
    </xf>
    <xf numFmtId="169" fontId="12" fillId="0" borderId="0" xfId="0" applyNumberFormat="1" applyFont="1"/>
    <xf numFmtId="169" fontId="2" fillId="0" borderId="0" xfId="1" applyNumberFormat="1" applyFont="1" applyBorder="1"/>
    <xf numFmtId="169" fontId="4" fillId="0" borderId="1" xfId="1" applyNumberFormat="1" applyFont="1" applyBorder="1"/>
    <xf numFmtId="169" fontId="2" fillId="0" borderId="0" xfId="0" applyNumberFormat="1" applyFont="1"/>
    <xf numFmtId="169" fontId="0" fillId="0" borderId="1" xfId="0" applyNumberFormat="1" applyFont="1" applyBorder="1"/>
    <xf numFmtId="169" fontId="7" fillId="6" borderId="12" xfId="0" applyNumberFormat="1" applyFont="1" applyFill="1" applyBorder="1" applyAlignment="1">
      <alignment wrapText="1"/>
    </xf>
    <xf numFmtId="169" fontId="7" fillId="6" borderId="13" xfId="0" applyNumberFormat="1" applyFont="1" applyFill="1" applyBorder="1" applyAlignment="1">
      <alignment wrapText="1"/>
    </xf>
    <xf numFmtId="169" fontId="1" fillId="5" borderId="6" xfId="0" applyNumberFormat="1" applyFont="1" applyFill="1" applyBorder="1" applyAlignment="1">
      <alignment wrapText="1"/>
    </xf>
    <xf numFmtId="169" fontId="7" fillId="6" borderId="3" xfId="0" applyNumberFormat="1" applyFont="1" applyFill="1" applyBorder="1"/>
    <xf numFmtId="169" fontId="7" fillId="9" borderId="1" xfId="0" applyNumberFormat="1" applyFont="1" applyFill="1" applyBorder="1"/>
    <xf numFmtId="3" fontId="0" fillId="0" borderId="0" xfId="0" applyNumberFormat="1"/>
    <xf numFmtId="3" fontId="1" fillId="5" borderId="7" xfId="0" applyNumberFormat="1" applyFont="1" applyFill="1" applyBorder="1" applyAlignment="1">
      <alignment wrapText="1"/>
    </xf>
    <xf numFmtId="3" fontId="5" fillId="6" borderId="13" xfId="0" applyNumberFormat="1" applyFont="1" applyFill="1" applyBorder="1" applyAlignment="1">
      <alignment wrapText="1"/>
    </xf>
    <xf numFmtId="3" fontId="5" fillId="9" borderId="1" xfId="0" applyNumberFormat="1" applyFont="1" applyFill="1" applyBorder="1" applyAlignment="1">
      <alignment wrapText="1"/>
    </xf>
    <xf numFmtId="3" fontId="11" fillId="0" borderId="1" xfId="0" applyNumberFormat="1" applyFont="1" applyFill="1" applyBorder="1" applyAlignment="1">
      <alignment wrapText="1"/>
    </xf>
    <xf numFmtId="3" fontId="11" fillId="4" borderId="1" xfId="0" applyNumberFormat="1" applyFont="1" applyFill="1" applyBorder="1" applyAlignment="1">
      <alignment wrapText="1"/>
    </xf>
    <xf numFmtId="3" fontId="0" fillId="0" borderId="1" xfId="0" applyNumberFormat="1" applyFont="1" applyBorder="1"/>
    <xf numFmtId="3" fontId="11" fillId="4" borderId="4" xfId="0" applyNumberFormat="1" applyFont="1" applyFill="1" applyBorder="1" applyAlignment="1">
      <alignment wrapText="1"/>
    </xf>
    <xf numFmtId="3" fontId="11" fillId="0" borderId="0" xfId="0" applyNumberFormat="1" applyFont="1"/>
    <xf numFmtId="3" fontId="11" fillId="0" borderId="1" xfId="0" applyNumberFormat="1" applyFont="1" applyBorder="1"/>
    <xf numFmtId="3" fontId="12" fillId="0" borderId="10" xfId="0" applyNumberFormat="1" applyFont="1" applyBorder="1" applyAlignment="1">
      <alignment wrapText="1"/>
    </xf>
    <xf numFmtId="3" fontId="12" fillId="0" borderId="1" xfId="0" applyNumberFormat="1" applyFont="1" applyBorder="1" applyAlignment="1">
      <alignment wrapText="1"/>
    </xf>
    <xf numFmtId="0" fontId="11" fillId="7" borderId="1" xfId="0" applyFont="1" applyFill="1" applyBorder="1" applyAlignment="1">
      <alignment wrapText="1"/>
    </xf>
    <xf numFmtId="0" fontId="11" fillId="8" borderId="0" xfId="0" applyFont="1" applyFill="1"/>
    <xf numFmtId="168" fontId="11" fillId="4" borderId="1" xfId="0" applyNumberFormat="1" applyFont="1" applyFill="1" applyBorder="1" applyAlignment="1">
      <alignment wrapText="1"/>
    </xf>
    <xf numFmtId="6" fontId="12" fillId="0" borderId="14" xfId="0" applyNumberFormat="1" applyFont="1" applyBorder="1" applyAlignment="1">
      <alignment wrapText="1"/>
    </xf>
    <xf numFmtId="6" fontId="12" fillId="0" borderId="1" xfId="0" applyNumberFormat="1" applyFont="1" applyBorder="1" applyAlignment="1">
      <alignment wrapText="1"/>
    </xf>
    <xf numFmtId="6" fontId="11" fillId="7" borderId="1" xfId="0" applyNumberFormat="1" applyFont="1" applyFill="1" applyBorder="1" applyAlignment="1">
      <alignment wrapText="1"/>
    </xf>
    <xf numFmtId="6" fontId="11" fillId="7" borderId="8" xfId="0" applyNumberFormat="1" applyFont="1" applyFill="1" applyBorder="1" applyAlignment="1">
      <alignment wrapText="1"/>
    </xf>
    <xf numFmtId="6" fontId="11" fillId="7" borderId="1" xfId="0" applyNumberFormat="1" applyFont="1" applyFill="1" applyBorder="1" applyAlignment="1">
      <alignment horizontal="left" vertical="top" wrapText="1"/>
    </xf>
    <xf numFmtId="169" fontId="0" fillId="0" borderId="0" xfId="0" applyNumberFormat="1"/>
    <xf numFmtId="169" fontId="16" fillId="0" borderId="0" xfId="0" applyNumberFormat="1" applyFont="1"/>
    <xf numFmtId="0" fontId="0" fillId="0" borderId="0" xfId="0" applyBorder="1"/>
    <xf numFmtId="169" fontId="0" fillId="0" borderId="0" xfId="0" applyNumberFormat="1" applyBorder="1"/>
    <xf numFmtId="0" fontId="11" fillId="0" borderId="0" xfId="0" applyFont="1" applyFill="1"/>
    <xf numFmtId="0" fontId="12" fillId="0" borderId="0" xfId="0" applyFont="1" applyFill="1" applyBorder="1" applyAlignment="1">
      <alignment wrapText="1"/>
    </xf>
    <xf numFmtId="0" fontId="12" fillId="0" borderId="0" xfId="0" applyFont="1" applyFill="1" applyBorder="1"/>
    <xf numFmtId="0" fontId="11" fillId="0" borderId="0" xfId="0" applyFont="1" applyFill="1" applyBorder="1"/>
    <xf numFmtId="6" fontId="11" fillId="0" borderId="0" xfId="0" applyNumberFormat="1" applyFont="1" applyFill="1" applyBorder="1" applyAlignment="1">
      <alignment wrapText="1"/>
    </xf>
    <xf numFmtId="6" fontId="12" fillId="0" borderId="0" xfId="0" applyNumberFormat="1" applyFont="1" applyFill="1" applyBorder="1" applyAlignment="1">
      <alignment wrapText="1"/>
    </xf>
    <xf numFmtId="0" fontId="16" fillId="0" borderId="0" xfId="0" applyFont="1"/>
    <xf numFmtId="44" fontId="11" fillId="4" borderId="1" xfId="0" applyNumberFormat="1" applyFont="1" applyFill="1" applyBorder="1" applyAlignment="1">
      <alignment wrapText="1"/>
    </xf>
    <xf numFmtId="0" fontId="12" fillId="0" borderId="7" xfId="0" applyFont="1" applyFill="1" applyBorder="1" applyAlignment="1">
      <alignment wrapText="1"/>
    </xf>
    <xf numFmtId="6" fontId="11" fillId="0" borderId="0" xfId="0" applyNumberFormat="1" applyFont="1" applyFill="1"/>
    <xf numFmtId="6" fontId="11" fillId="0" borderId="1" xfId="0" applyNumberFormat="1" applyFont="1" applyFill="1" applyBorder="1" applyAlignment="1">
      <alignment wrapText="1"/>
    </xf>
    <xf numFmtId="0" fontId="17" fillId="0" borderId="0" xfId="0" applyFont="1"/>
    <xf numFmtId="9" fontId="11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 wrapText="1"/>
    </xf>
    <xf numFmtId="9" fontId="11" fillId="7" borderId="8" xfId="2" applyFont="1" applyFill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5"/>
  <sheetViews>
    <sheetView showGridLines="0" tabSelected="1" zoomScale="83" zoomScaleNormal="85" workbookViewId="0">
      <selection activeCell="H18" sqref="H18"/>
    </sheetView>
  </sheetViews>
  <sheetFormatPr defaultColWidth="9.33203125" defaultRowHeight="15" customHeight="1" x14ac:dyDescent="0.3"/>
  <cols>
    <col min="1" max="1" width="3.33203125" customWidth="1"/>
    <col min="2" max="2" width="12.33203125" customWidth="1"/>
    <col min="3" max="3" width="68.88671875" bestFit="1" customWidth="1"/>
    <col min="4" max="4" width="12.6640625" style="4" bestFit="1" customWidth="1"/>
    <col min="5" max="5" width="11.6640625" style="2" customWidth="1"/>
    <col min="6" max="6" width="12.33203125" customWidth="1"/>
    <col min="7" max="7" width="11.44140625" customWidth="1"/>
    <col min="8" max="8" width="12" style="2" customWidth="1"/>
    <col min="9" max="9" width="3.5546875" style="5" customWidth="1"/>
    <col min="10" max="10" width="15.5546875" customWidth="1"/>
    <col min="11" max="11" width="10.33203125" customWidth="1"/>
  </cols>
  <sheetData>
    <row r="2" spans="2:39" ht="23.4" x14ac:dyDescent="0.45">
      <c r="B2" s="19" t="s">
        <v>0</v>
      </c>
    </row>
    <row r="3" spans="2:39" ht="15" customHeight="1" x14ac:dyDescent="0.3">
      <c r="B3" s="267" t="s">
        <v>272</v>
      </c>
    </row>
    <row r="4" spans="2:39" ht="18" x14ac:dyDescent="0.35">
      <c r="B4" s="29" t="s">
        <v>1</v>
      </c>
      <c r="C4" s="30"/>
      <c r="D4" s="30"/>
      <c r="E4" s="30"/>
      <c r="F4" s="30"/>
      <c r="G4" s="30"/>
      <c r="H4" s="30"/>
      <c r="I4" s="30"/>
      <c r="J4" s="41"/>
    </row>
    <row r="5" spans="2:39" ht="17.100000000000001" customHeight="1" x14ac:dyDescent="0.3">
      <c r="B5" s="31" t="s">
        <v>2</v>
      </c>
      <c r="C5" s="31" t="s">
        <v>3</v>
      </c>
      <c r="D5" s="31" t="s">
        <v>4</v>
      </c>
      <c r="E5" s="32" t="s">
        <v>5</v>
      </c>
      <c r="F5" s="32" t="s">
        <v>6</v>
      </c>
      <c r="G5" s="32" t="s">
        <v>7</v>
      </c>
      <c r="H5" s="33" t="s">
        <v>8</v>
      </c>
      <c r="I5" s="34"/>
      <c r="J5" s="42" t="s">
        <v>9</v>
      </c>
    </row>
    <row r="6" spans="2:39" s="3" customFormat="1" ht="14.4" x14ac:dyDescent="0.3">
      <c r="B6" s="13" t="s">
        <v>10</v>
      </c>
      <c r="C6" s="244" t="s">
        <v>11</v>
      </c>
      <c r="D6" s="249">
        <f>'1 Silicon Valley Clean Energy'!D11+'2 San Jose'!E25+'3 Sunnyvale'!D13+'4 Morgan Hill'!D11+'5 Mountain View'!D10+'6 Cupertino'!D14+'7 SPUR'!D17+'8 ProspectSV'!D15</f>
        <v>1154236.47</v>
      </c>
      <c r="E6" s="249">
        <f>'1 Silicon Valley Clean Energy'!E11+'2 San Jose'!G25+'3 Sunnyvale'!E13+'4 Morgan Hill'!E11+'5 Mountain View'!E10+'6 Cupertino'!E14+'7 SPUR'!E17+'8 ProspectSV'!E15</f>
        <v>981110.71299999999</v>
      </c>
      <c r="F6" s="249">
        <f>'1 Silicon Valley Clean Energy'!F11+'2 San Jose'!I25+'3 Sunnyvale'!F13+'4 Morgan Hill'!F11+'5 Mountain View'!F10+'6 Cupertino'!F14+'7 SPUR'!F17+'8 ProspectSV'!F15</f>
        <v>1109626.419185</v>
      </c>
      <c r="G6" s="249">
        <f>'1 Silicon Valley Clean Energy'!G11+'2 San Jose'!K25+'3 Sunnyvale'!G13+'4 Morgan Hill'!G11+'5 Mountain View'!G10+'6 Cupertino'!G14+'7 SPUR'!G17+'8 ProspectSV'!G15</f>
        <v>1067385.4010675</v>
      </c>
      <c r="H6" s="249">
        <f>'1 Silicon Valley Clean Energy'!H11+'2 San Jose'!M25+'3 Sunnyvale'!H13+'4 Morgan Hill'!H11+'5 Mountain View'!H10+'6 Cupertino'!H14+'7 SPUR'!H17+'8 ProspectSV'!H15</f>
        <v>873497.7190956251</v>
      </c>
      <c r="I6" s="245"/>
      <c r="J6" s="249">
        <f>SUM(D6:H6)</f>
        <v>5185856.7223481257</v>
      </c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</row>
    <row r="7" spans="2:39" ht="14.4" x14ac:dyDescent="0.3">
      <c r="B7" s="14"/>
      <c r="C7" s="244" t="s">
        <v>12</v>
      </c>
      <c r="D7" s="249">
        <f>'1 Silicon Valley Clean Energy'!D16+'2 San Jose'!E44+'3 Sunnyvale'!D18+'4 Morgan Hill'!D16+'5 Mountain View'!D14+'6 Cupertino'!D21+'7 SPUR'!D21+'8 ProspectSV'!D20</f>
        <v>638091.90403999994</v>
      </c>
      <c r="E7" s="249">
        <f>'1 Silicon Valley Clean Energy'!E16+'2 San Jose'!G44+'3 Sunnyvale'!E18+'4 Morgan Hill'!E16+'5 Mountain View'!E14+'6 Cupertino'!E21+'7 SPUR'!E21+'8 ProspectSV'!E20</f>
        <v>507853.062332</v>
      </c>
      <c r="F7" s="249">
        <f>'1 Silicon Valley Clean Energy'!F16+'2 San Jose'!I44+'3 Sunnyvale'!F18+'4 Morgan Hill'!F16+'5 Mountain View'!F14+'6 Cupertino'!F21+'7 SPUR'!F21+'8 ProspectSV'!F20</f>
        <v>583353.96543330001</v>
      </c>
      <c r="G7" s="249">
        <f>'1 Silicon Valley Clean Energy'!G16+'2 San Jose'!K44+'3 Sunnyvale'!G18+'4 Morgan Hill'!G16+'5 Mountain View'!G14+'6 Cupertino'!G21+'7 SPUR'!G21+'8 ProspectSV'!G20</f>
        <v>571555.73843805492</v>
      </c>
      <c r="H7" s="249">
        <f>'1 Silicon Valley Clean Energy'!H16+'2 San Jose'!M44+'3 Sunnyvale'!H18+'4 Morgan Hill'!H16+'5 Mountain View'!H14+'6 Cupertino'!H21+'7 SPUR'!H21+'8 ProspectSV'!H20</f>
        <v>403076.37130011286</v>
      </c>
      <c r="I7" s="245"/>
      <c r="J7" s="249">
        <f t="shared" ref="J7:J13" si="0">SUM(D7:H7)</f>
        <v>2703931.0415434679</v>
      </c>
    </row>
    <row r="8" spans="2:39" ht="14.4" x14ac:dyDescent="0.3">
      <c r="B8" s="14"/>
      <c r="C8" s="244" t="s">
        <v>13</v>
      </c>
      <c r="D8" s="249">
        <f>'1 Silicon Valley Clean Energy'!D27+'2 San Jose'!E47+'3 Sunnyvale'!D21+'4 Morgan Hill'!D19+'5 Mountain View'!D17+'6 Cupertino'!D24+'7 SPUR'!D26+'8 ProspectSV'!D31</f>
        <v>200</v>
      </c>
      <c r="E8" s="249">
        <f>'1 Silicon Valley Clean Energy'!E27+'2 San Jose'!G47+'3 Sunnyvale'!E21+'4 Morgan Hill'!E19+'5 Mountain View'!E17+'6 Cupertino'!E24+'7 SPUR'!E26+'8 ProspectSV'!E31</f>
        <v>200</v>
      </c>
      <c r="F8" s="249">
        <f>'1 Silicon Valley Clean Energy'!F27+'2 San Jose'!I47+'3 Sunnyvale'!F21+'4 Morgan Hill'!F19+'5 Mountain View'!F17+'6 Cupertino'!F24+'7 SPUR'!F26+'8 ProspectSV'!F31</f>
        <v>350</v>
      </c>
      <c r="G8" s="249">
        <f>'1 Silicon Valley Clean Energy'!G27+'2 San Jose'!K47+'3 Sunnyvale'!G21+'4 Morgan Hill'!G19+'5 Mountain View'!G17+'6 Cupertino'!G24+'7 SPUR'!G26+'8 ProspectSV'!G31</f>
        <v>3850</v>
      </c>
      <c r="H8" s="249">
        <f>'1 Silicon Valley Clean Energy'!H27+'2 San Jose'!M47+'3 Sunnyvale'!H21+'4 Morgan Hill'!H19+'5 Mountain View'!H17+'6 Cupertino'!H24+'7 SPUR'!H26+'8 ProspectSV'!H31</f>
        <v>3900</v>
      </c>
      <c r="I8" s="245"/>
      <c r="J8" s="249">
        <f t="shared" si="0"/>
        <v>8500</v>
      </c>
    </row>
    <row r="9" spans="2:39" ht="14.4" x14ac:dyDescent="0.3">
      <c r="B9" s="14"/>
      <c r="C9" s="244" t="s">
        <v>14</v>
      </c>
      <c r="D9" s="249">
        <f>'1 Silicon Valley Clean Energy'!D31+'2 San Jose'!E57+'3 Sunnyvale'!D33+'4 Morgan Hill'!D34+'5 Mountain View'!D27+'6 Cupertino'!D35+'7 SPUR'!D29+'8 ProspectSV'!D35</f>
        <v>4234377</v>
      </c>
      <c r="E9" s="249">
        <f>'1 Silicon Valley Clean Energy'!E31+'2 San Jose'!G57+'3 Sunnyvale'!E33+'4 Morgan Hill'!E34+'5 Mountain View'!E27+'6 Cupertino'!E35+'7 SPUR'!E29+'8 ProspectSV'!E35</f>
        <v>7898697.7000000002</v>
      </c>
      <c r="F9" s="249">
        <f>'1 Silicon Valley Clean Energy'!F31+'2 San Jose'!I57+'3 Sunnyvale'!F33+'4 Morgan Hill'!F34+'5 Mountain View'!F27+'6 Cupertino'!F35+'7 SPUR'!F29+'8 ProspectSV'!F35</f>
        <v>2603763.86</v>
      </c>
      <c r="G9" s="249">
        <f>'1 Silicon Valley Clean Energy'!G31+'2 San Jose'!K57+'3 Sunnyvale'!G33+'4 Morgan Hill'!G34+'5 Mountain View'!G27+'6 Cupertino'!G35+'7 SPUR'!G29+'8 ProspectSV'!G35</f>
        <v>939303.92799999996</v>
      </c>
      <c r="H9" s="249">
        <f>'1 Silicon Valley Clean Energy'!H31+'2 San Jose'!M57+'3 Sunnyvale'!H33+'4 Morgan Hill'!H34+'5 Mountain View'!H27+'6 Cupertino'!H35+'7 SPUR'!H29+'8 ProspectSV'!H35</f>
        <v>4914244.1561000003</v>
      </c>
      <c r="I9" s="245"/>
      <c r="J9" s="249">
        <f t="shared" si="0"/>
        <v>20590386.644099999</v>
      </c>
    </row>
    <row r="10" spans="2:39" ht="14.4" x14ac:dyDescent="0.3">
      <c r="B10" s="14"/>
      <c r="C10" s="244" t="s">
        <v>15</v>
      </c>
      <c r="D10" s="249">
        <f>'1 Silicon Valley Clean Energy'!D35+'2 San Jose'!E63+'3 Sunnyvale'!D37+'4 Morgan Hill'!D38+'5 Mountain View'!D31+'6 Cupertino'!D39+'7 SPUR'!D33+'8 ProspectSV'!D39</f>
        <v>0</v>
      </c>
      <c r="E10" s="249">
        <f>'1 Silicon Valley Clean Energy'!E35+'2 San Jose'!G63+'3 Sunnyvale'!E37+'4 Morgan Hill'!E38+'5 Mountain View'!E31+'6 Cupertino'!E39+'7 SPUR'!E33+'8 ProspectSV'!E39</f>
        <v>500</v>
      </c>
      <c r="F10" s="249">
        <f>'1 Silicon Valley Clean Energy'!F35+'2 San Jose'!I63+'3 Sunnyvale'!F37+'4 Morgan Hill'!F38+'5 Mountain View'!F31+'6 Cupertino'!F39+'7 SPUR'!F33+'8 ProspectSV'!F39</f>
        <v>5000</v>
      </c>
      <c r="G10" s="249">
        <f>'1 Silicon Valley Clean Energy'!G35+'2 San Jose'!K63+'3 Sunnyvale'!G37+'4 Morgan Hill'!G38+'5 Mountain View'!G31+'6 Cupertino'!G39+'7 SPUR'!G33+'8 ProspectSV'!G39</f>
        <v>0</v>
      </c>
      <c r="H10" s="249">
        <f>'1 Silicon Valley Clean Energy'!H35+'2 San Jose'!M63+'3 Sunnyvale'!H37+'4 Morgan Hill'!H38+'5 Mountain View'!H31+'6 Cupertino'!H39+'7 SPUR'!H33+'8 ProspectSV'!H39</f>
        <v>11100</v>
      </c>
      <c r="I10" s="245"/>
      <c r="J10" s="249">
        <f t="shared" si="0"/>
        <v>16600</v>
      </c>
    </row>
    <row r="11" spans="2:39" ht="14.4" x14ac:dyDescent="0.3">
      <c r="B11" s="14"/>
      <c r="C11" s="244" t="s">
        <v>16</v>
      </c>
      <c r="D11" s="249">
        <f>'1 Silicon Valley Clean Energy'!D41+'2 San Jose'!E81+'3 Sunnyvale'!D47+'4 Morgan Hill'!D48+'5 Mountain View'!D34+'6 Cupertino'!D45+'7 SPUR'!D39+'8 ProspectSV'!D47</f>
        <v>7220066</v>
      </c>
      <c r="E11" s="249">
        <f>'1 Silicon Valley Clean Energy'!E41+'2 San Jose'!G81+'3 Sunnyvale'!E47+'4 Morgan Hill'!E48+'5 Mountain View'!E34+'6 Cupertino'!E45+'7 SPUR'!E39+'8 ProspectSV'!E47</f>
        <v>5195310.55</v>
      </c>
      <c r="F11" s="249">
        <f>'1 Silicon Valley Clean Energy'!F41+'2 San Jose'!I81+'3 Sunnyvale'!F47+'4 Morgan Hill'!F48+'5 Mountain View'!F34+'6 Cupertino'!F45+'7 SPUR'!F39+'8 ProspectSV'!F47</f>
        <v>2369705.4525000001</v>
      </c>
      <c r="G11" s="249">
        <f>'1 Silicon Valley Clean Energy'!G41+'2 San Jose'!K81+'3 Sunnyvale'!G47+'4 Morgan Hill'!G48+'5 Mountain View'!G34+'6 Cupertino'!G45+'7 SPUR'!G39+'8 ProspectSV'!G47</f>
        <v>2440198.6001249999</v>
      </c>
      <c r="H11" s="249">
        <f>'1 Silicon Valley Clean Energy'!H41+'2 San Jose'!M81+'3 Sunnyvale'!H47+'4 Morgan Hill'!H48+'5 Mountain View'!H34+'6 Cupertino'!H45+'7 SPUR'!H39+'8 ProspectSV'!H47</f>
        <v>1660931.7301312501</v>
      </c>
      <c r="I11" s="245"/>
      <c r="J11" s="249">
        <f t="shared" si="0"/>
        <v>18886212.332756251</v>
      </c>
    </row>
    <row r="12" spans="2:39" ht="14.4" x14ac:dyDescent="0.3">
      <c r="B12" s="14"/>
      <c r="C12" s="244" t="s">
        <v>17</v>
      </c>
      <c r="D12" s="249">
        <f>'1 Silicon Valley Clean Energy'!D49+'2 San Jose'!E86+'3 Sunnyvale'!D55+'4 Morgan Hill'!D55+'5 Mountain View'!D42+'6 Cupertino'!D53+'7 SPUR'!D44+'8 ProspectSV'!D55</f>
        <v>30000</v>
      </c>
      <c r="E12" s="249">
        <f>'1 Silicon Valley Clean Energy'!E49+'2 San Jose'!G86+'3 Sunnyvale'!E55+'4 Morgan Hill'!E55+'5 Mountain View'!E42+'6 Cupertino'!E53+'7 SPUR'!E44+'8 ProspectSV'!E55</f>
        <v>343500</v>
      </c>
      <c r="F12" s="249">
        <f>'1 Silicon Valley Clean Energy'!F49+'2 San Jose'!I86+'3 Sunnyvale'!F55+'4 Morgan Hill'!F55+'5 Mountain View'!F42+'6 Cupertino'!F53+'7 SPUR'!F44+'8 ProspectSV'!F55</f>
        <v>14333</v>
      </c>
      <c r="G12" s="249">
        <f>'1 Silicon Valley Clean Energy'!G49+'2 San Jose'!K86+'3 Sunnyvale'!G55+'4 Morgan Hill'!G55+'5 Mountain View'!G42+'6 Cupertino'!G53+'7 SPUR'!G44+'8 ProspectSV'!G55</f>
        <v>13633</v>
      </c>
      <c r="H12" s="249">
        <f>'1 Silicon Valley Clean Energy'!H49+'2 San Jose'!M86+'3 Sunnyvale'!H55+'4 Morgan Hill'!H55+'5 Mountain View'!H42+'6 Cupertino'!H53+'7 SPUR'!H44+'8 ProspectSV'!H55</f>
        <v>16284</v>
      </c>
      <c r="I12" s="245"/>
      <c r="J12" s="249">
        <f t="shared" si="0"/>
        <v>417750</v>
      </c>
    </row>
    <row r="13" spans="2:39" ht="14.4" x14ac:dyDescent="0.3">
      <c r="B13" s="15"/>
      <c r="C13" s="58" t="s">
        <v>18</v>
      </c>
      <c r="D13" s="70">
        <f>D12+D11+D10+D9+D8+D7+D6</f>
        <v>13276971.37404</v>
      </c>
      <c r="E13" s="70">
        <f>E12+E11+E10+E9+E8+E7+E6</f>
        <v>14927172.025332</v>
      </c>
      <c r="F13" s="70">
        <f>F12+F11+F10+F9+F8+F7+F6</f>
        <v>6686132.6971182991</v>
      </c>
      <c r="G13" s="70">
        <f>G12+G11+G10+G9+G8+G7+G6</f>
        <v>5035926.6676305551</v>
      </c>
      <c r="H13" s="70">
        <f>H12+H11+H10+H9+H8+H7+H6</f>
        <v>7883033.9766269876</v>
      </c>
      <c r="I13" s="49"/>
      <c r="J13" s="249">
        <f t="shared" si="0"/>
        <v>47809236.740747839</v>
      </c>
    </row>
    <row r="14" spans="2:39" ht="14.4" x14ac:dyDescent="0.3">
      <c r="B14" s="40"/>
      <c r="C14" s="49"/>
      <c r="D14" s="49"/>
      <c r="E14" s="49"/>
      <c r="F14" s="49"/>
      <c r="G14" s="49"/>
      <c r="H14" s="49"/>
      <c r="I14" s="49"/>
      <c r="J14" s="68" t="s">
        <v>19</v>
      </c>
    </row>
    <row r="15" spans="2:39" ht="20.100000000000001" customHeight="1" x14ac:dyDescent="0.3">
      <c r="B15" s="40"/>
      <c r="C15" s="58" t="s">
        <v>20</v>
      </c>
      <c r="D15" s="70">
        <f>'1 Silicon Valley Clean Energy'!D55+'2 San Jose'!E107+'3 Sunnyvale'!D61+'4 Morgan Hill'!D61+'5 Mountain View'!D48+'6 Cupertino'!D59+'7 SPUR'!D50+'8 ProspectSV'!D61</f>
        <v>555640.08893800003</v>
      </c>
      <c r="E15" s="70">
        <f>'1 Silicon Valley Clean Energy'!E55+'2 San Jose'!G107+'3 Sunnyvale'!E61+'4 Morgan Hill'!E61+'5 Mountain View'!E48+'6 Cupertino'!E59+'7 SPUR'!E50+'8 ProspectSV'!E61</f>
        <v>431914.75256160001</v>
      </c>
      <c r="F15" s="70">
        <f>'1 Silicon Valley Clean Energy'!F55+'2 San Jose'!I107+'3 Sunnyvale'!F61+'4 Morgan Hill'!F61+'5 Mountain View'!F48+'6 Cupertino'!F59+'7 SPUR'!F50+'8 ProspectSV'!F61</f>
        <v>466221.94344518002</v>
      </c>
      <c r="G15" s="70">
        <f>'1 Silicon Valley Clean Energy'!G55+'2 San Jose'!K107+'3 Sunnyvale'!G61+'4 Morgan Hill'!G61+'5 Mountain View'!G48+'6 Cupertino'!G59+'7 SPUR'!G50+'8 ProspectSV'!G61</f>
        <v>442748.71284425806</v>
      </c>
      <c r="H15" s="70">
        <f>'1 Silicon Valley Clean Energy'!H55+'2 San Jose'!M107+'3 Sunnyvale'!H61+'4 Morgan Hill'!H61+'5 Mountain View'!H48+'6 Cupertino'!H59+'7 SPUR'!H50+'8 ProspectSV'!H61</f>
        <v>294234.30529332708</v>
      </c>
      <c r="I15" s="49"/>
      <c r="J15" s="246">
        <f>SUM(D15:H15)</f>
        <v>2190759.8030823655</v>
      </c>
    </row>
    <row r="16" spans="2:39" thickBot="1" x14ac:dyDescent="0.35">
      <c r="B16" s="40"/>
      <c r="C16" s="49"/>
      <c r="D16" s="49"/>
      <c r="E16" s="49"/>
      <c r="F16" s="49"/>
      <c r="G16" s="49"/>
      <c r="H16" s="49"/>
      <c r="I16" s="49"/>
      <c r="J16" s="68" t="s">
        <v>19</v>
      </c>
    </row>
    <row r="17" spans="2:10" ht="31.2" customHeight="1" thickBot="1" x14ac:dyDescent="0.35">
      <c r="B17" s="39" t="s">
        <v>21</v>
      </c>
      <c r="C17" s="60"/>
      <c r="D17" s="247">
        <f>D13+D15</f>
        <v>13832611.462978</v>
      </c>
      <c r="E17" s="247">
        <f>E13+E15</f>
        <v>15359086.777893601</v>
      </c>
      <c r="F17" s="247">
        <f>F13+F15</f>
        <v>7152354.6405634787</v>
      </c>
      <c r="G17" s="247">
        <f>G13+G15</f>
        <v>5478675.3804748133</v>
      </c>
      <c r="H17" s="247">
        <f>H13+H15</f>
        <v>8177268.2819203148</v>
      </c>
      <c r="I17" s="61"/>
      <c r="J17" s="248">
        <f>J13+J15</f>
        <v>49999996.543830201</v>
      </c>
    </row>
    <row r="18" spans="2:10" s="1" customFormat="1" ht="14.4" x14ac:dyDescent="0.3">
      <c r="B18" s="4"/>
      <c r="C18"/>
      <c r="D18" s="4"/>
      <c r="E18" s="2"/>
      <c r="F18"/>
      <c r="G18"/>
      <c r="H18" s="2"/>
      <c r="I18" s="5"/>
      <c r="J18"/>
    </row>
    <row r="19" spans="2:10" ht="15" customHeight="1" x14ac:dyDescent="0.3">
      <c r="B19" s="4"/>
    </row>
    <row r="20" spans="2:10" ht="15" customHeight="1" x14ac:dyDescent="0.35">
      <c r="B20" s="29" t="s">
        <v>22</v>
      </c>
      <c r="C20" s="30"/>
      <c r="D20" s="30"/>
      <c r="E20" s="269"/>
      <c r="F20" s="269"/>
      <c r="H20"/>
      <c r="I20"/>
    </row>
    <row r="21" spans="2:10" ht="29.1" customHeight="1" x14ac:dyDescent="0.3">
      <c r="B21" s="31" t="s">
        <v>23</v>
      </c>
      <c r="C21" s="31" t="s">
        <v>24</v>
      </c>
      <c r="D21" s="36" t="s">
        <v>25</v>
      </c>
      <c r="E21" s="270" t="s">
        <v>26</v>
      </c>
      <c r="F21" s="270"/>
      <c r="H21"/>
      <c r="I21"/>
    </row>
    <row r="22" spans="2:10" ht="15" customHeight="1" x14ac:dyDescent="0.3">
      <c r="B22" s="35">
        <v>1</v>
      </c>
      <c r="C22" s="249" t="s">
        <v>265</v>
      </c>
      <c r="D22" s="250">
        <f>'1 Silicon Valley Clean Energy'!J57</f>
        <v>1415774.890702744</v>
      </c>
      <c r="E22" s="271">
        <f t="shared" ref="E22:E29" si="1">D22/D$30</f>
        <v>2.8315499771318389E-2</v>
      </c>
      <c r="F22" s="272"/>
      <c r="H22"/>
      <c r="I22"/>
    </row>
    <row r="23" spans="2:10" ht="28.8" x14ac:dyDescent="0.3">
      <c r="B23" s="35">
        <v>2</v>
      </c>
      <c r="C23" s="251" t="s">
        <v>260</v>
      </c>
      <c r="D23" s="250">
        <f>'2 San Jose'!O109</f>
        <v>22365540.921798579</v>
      </c>
      <c r="E23" s="268">
        <f t="shared" si="1"/>
        <v>0.4473108493556166</v>
      </c>
      <c r="F23" s="268"/>
      <c r="H23"/>
      <c r="I23"/>
    </row>
    <row r="24" spans="2:10" ht="28.8" x14ac:dyDescent="0.3">
      <c r="B24" s="35">
        <v>3</v>
      </c>
      <c r="C24" s="249" t="s">
        <v>261</v>
      </c>
      <c r="D24" s="250">
        <f>'3 Sunnyvale'!J63</f>
        <v>3606777.27807</v>
      </c>
      <c r="E24" s="268">
        <f t="shared" si="1"/>
        <v>7.2135550547654234E-2</v>
      </c>
      <c r="F24" s="268"/>
      <c r="H24"/>
      <c r="I24"/>
    </row>
    <row r="25" spans="2:10" ht="28.8" x14ac:dyDescent="0.3">
      <c r="B25" s="35">
        <v>4</v>
      </c>
      <c r="C25" s="249" t="s">
        <v>263</v>
      </c>
      <c r="D25" s="250">
        <f>'4 Morgan Hill'!J63</f>
        <v>3599871.3899999997</v>
      </c>
      <c r="E25" s="268">
        <f t="shared" si="1"/>
        <v>7.199743277670706E-2</v>
      </c>
      <c r="F25" s="268"/>
      <c r="H25"/>
      <c r="I25"/>
    </row>
    <row r="26" spans="2:10" ht="15" customHeight="1" x14ac:dyDescent="0.3">
      <c r="B26" s="35">
        <v>5</v>
      </c>
      <c r="C26" s="249" t="s">
        <v>264</v>
      </c>
      <c r="D26" s="250">
        <f>'5 Mountain View'!J50</f>
        <v>13713122.60863125</v>
      </c>
      <c r="E26" s="268">
        <f t="shared" si="1"/>
        <v>0.27426247113057844</v>
      </c>
      <c r="F26" s="268"/>
      <c r="H26"/>
      <c r="I26"/>
    </row>
    <row r="27" spans="2:10" ht="15" customHeight="1" x14ac:dyDescent="0.3">
      <c r="B27" s="35">
        <v>6</v>
      </c>
      <c r="C27" s="249" t="s">
        <v>262</v>
      </c>
      <c r="D27" s="250">
        <f>'6 Cupertino'!J61</f>
        <v>1951321.3439999998</v>
      </c>
      <c r="E27" s="268">
        <f t="shared" si="1"/>
        <v>3.9026429577639347E-2</v>
      </c>
      <c r="F27" s="268"/>
      <c r="H27"/>
      <c r="I27"/>
    </row>
    <row r="28" spans="2:10" ht="15" customHeight="1" x14ac:dyDescent="0.3">
      <c r="B28" s="35">
        <v>7</v>
      </c>
      <c r="C28" s="249" t="s">
        <v>269</v>
      </c>
      <c r="D28" s="250">
        <f>'7 SPUR'!J52</f>
        <v>1556411.4448776299</v>
      </c>
      <c r="E28" s="271">
        <f t="shared" si="1"/>
        <v>3.1128231049241641E-2</v>
      </c>
      <c r="F28" s="272"/>
      <c r="H28"/>
      <c r="I28"/>
    </row>
    <row r="29" spans="2:10" ht="15" customHeight="1" x14ac:dyDescent="0.3">
      <c r="B29" s="35">
        <v>8</v>
      </c>
      <c r="C29" s="249" t="s">
        <v>259</v>
      </c>
      <c r="D29" s="250">
        <f>'8 ProspectSV'!J63</f>
        <v>1791176.6657500002</v>
      </c>
      <c r="E29" s="271">
        <f t="shared" si="1"/>
        <v>3.5823535791244455E-2</v>
      </c>
      <c r="F29" s="272"/>
      <c r="H29"/>
      <c r="I29"/>
    </row>
    <row r="30" spans="2:10" ht="15" customHeight="1" x14ac:dyDescent="0.3">
      <c r="B30" s="35" t="s">
        <v>27</v>
      </c>
      <c r="C30" s="249" t="s">
        <v>28</v>
      </c>
      <c r="D30" s="250">
        <f>SUM(D22:D29)</f>
        <v>49999996.543830194</v>
      </c>
      <c r="E30" s="268">
        <f>SUM(E22:E29)</f>
        <v>1.0000000000000002</v>
      </c>
      <c r="F30" s="268"/>
      <c r="H30"/>
      <c r="I30"/>
    </row>
    <row r="31" spans="2:10" ht="15" customHeight="1" x14ac:dyDescent="0.3">
      <c r="H31"/>
      <c r="I31"/>
    </row>
    <row r="32" spans="2:10" ht="15" customHeight="1" x14ac:dyDescent="0.3">
      <c r="H32"/>
      <c r="I32"/>
    </row>
    <row r="33" spans="8:9" ht="15" customHeight="1" x14ac:dyDescent="0.3">
      <c r="H33"/>
      <c r="I33"/>
    </row>
    <row r="34" spans="8:9" ht="15" customHeight="1" x14ac:dyDescent="0.3">
      <c r="H34"/>
      <c r="I34"/>
    </row>
    <row r="35" spans="8:9" ht="15" customHeight="1" x14ac:dyDescent="0.3">
      <c r="H35"/>
      <c r="I35"/>
    </row>
  </sheetData>
  <sheetProtection sheet="1" selectLockedCells="1" selectUnlockedCells="1"/>
  <mergeCells count="11">
    <mergeCell ref="E23:F23"/>
    <mergeCell ref="E27:F27"/>
    <mergeCell ref="E30:F30"/>
    <mergeCell ref="E20:F20"/>
    <mergeCell ref="E21:F21"/>
    <mergeCell ref="E22:F22"/>
    <mergeCell ref="E25:F25"/>
    <mergeCell ref="E24:F24"/>
    <mergeCell ref="E26:F26"/>
    <mergeCell ref="E28:F28"/>
    <mergeCell ref="E29:F29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05C990-A9DD-49E9-8749-85A51DA5C490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I1" sqref="I1:I1048576"/>
    </sheetView>
  </sheetViews>
  <sheetFormatPr defaultColWidth="9.33203125" defaultRowHeight="14.4" x14ac:dyDescent="0.3"/>
  <cols>
    <col min="1" max="1" width="3.33203125" style="49" customWidth="1"/>
    <col min="2" max="2" width="11.33203125" style="49" customWidth="1"/>
    <col min="3" max="3" width="46.44140625" style="49" customWidth="1"/>
    <col min="4" max="4" width="13.33203125" style="59" customWidth="1"/>
    <col min="5" max="5" width="13.33203125" style="72" customWidth="1"/>
    <col min="6" max="7" width="13.33203125" style="49" customWidth="1"/>
    <col min="8" max="8" width="12.6640625" style="72" customWidth="1"/>
    <col min="9" max="9" width="17.77734375" style="49" hidden="1" customWidth="1"/>
    <col min="10" max="10" width="14.5546875" style="49" customWidth="1"/>
    <col min="11" max="11" width="10.33203125" style="49" customWidth="1"/>
    <col min="12" max="16384" width="9.33203125" style="49"/>
  </cols>
  <sheetData>
    <row r="2" spans="2:39" ht="23.4" x14ac:dyDescent="0.45">
      <c r="B2" s="71" t="s">
        <v>29</v>
      </c>
    </row>
    <row r="3" spans="2:39" x14ac:dyDescent="0.3">
      <c r="B3" s="49" t="s">
        <v>266</v>
      </c>
    </row>
    <row r="4" spans="2:39" x14ac:dyDescent="0.3">
      <c r="B4" s="38"/>
    </row>
    <row r="5" spans="2:39" ht="18" x14ac:dyDescent="0.35">
      <c r="B5" s="73" t="s">
        <v>1</v>
      </c>
      <c r="C5" s="74"/>
      <c r="D5" s="74"/>
      <c r="E5" s="74"/>
      <c r="F5" s="74"/>
      <c r="G5" s="74"/>
      <c r="H5" s="74"/>
      <c r="I5" s="74"/>
      <c r="J5" s="75"/>
    </row>
    <row r="6" spans="2:39" x14ac:dyDescent="0.3">
      <c r="B6" s="76" t="s">
        <v>2</v>
      </c>
      <c r="C6" s="76" t="s">
        <v>3</v>
      </c>
      <c r="D6" s="76" t="s">
        <v>4</v>
      </c>
      <c r="E6" s="77" t="s">
        <v>5</v>
      </c>
      <c r="F6" s="77" t="s">
        <v>6</v>
      </c>
      <c r="G6" s="77" t="s">
        <v>7</v>
      </c>
      <c r="H6" s="78" t="s">
        <v>8</v>
      </c>
      <c r="I6" s="79"/>
      <c r="J6" s="80" t="s">
        <v>9</v>
      </c>
    </row>
    <row r="7" spans="2:39" s="38" customFormat="1" x14ac:dyDescent="0.3">
      <c r="B7" s="81" t="s">
        <v>10</v>
      </c>
      <c r="C7" s="82" t="s">
        <v>30</v>
      </c>
      <c r="D7" s="63" t="s">
        <v>31</v>
      </c>
      <c r="E7" s="63" t="s">
        <v>31</v>
      </c>
      <c r="F7" s="63" t="s">
        <v>31</v>
      </c>
      <c r="G7" s="63"/>
      <c r="H7" s="63" t="s">
        <v>31</v>
      </c>
      <c r="I7" s="49"/>
      <c r="J7" s="68" t="s">
        <v>31</v>
      </c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</row>
    <row r="8" spans="2:39" ht="28.8" x14ac:dyDescent="0.3">
      <c r="B8" s="56"/>
      <c r="C8" s="54" t="s">
        <v>32</v>
      </c>
      <c r="D8" s="69">
        <v>190611.20000000001</v>
      </c>
      <c r="E8" s="69">
        <f>(D8*0.05)+D8</f>
        <v>200141.76</v>
      </c>
      <c r="F8" s="69">
        <f t="shared" ref="F8:H8" si="0">(E8*0.05)+E8</f>
        <v>210148.848</v>
      </c>
      <c r="G8" s="69">
        <f t="shared" si="0"/>
        <v>220656.2904</v>
      </c>
      <c r="H8" s="69">
        <f t="shared" si="0"/>
        <v>231689.10492000001</v>
      </c>
      <c r="I8" s="48"/>
      <c r="J8" s="69">
        <f>SUM(D8:H8)</f>
        <v>1053247.2033200001</v>
      </c>
    </row>
    <row r="9" spans="2:39" x14ac:dyDescent="0.3">
      <c r="B9" s="56"/>
      <c r="C9" s="54"/>
      <c r="D9" s="69"/>
      <c r="E9" s="69"/>
      <c r="F9" s="69"/>
      <c r="G9" s="69"/>
      <c r="H9" s="69"/>
      <c r="J9" s="69">
        <f>SUM(D9:H9)</f>
        <v>0</v>
      </c>
    </row>
    <row r="10" spans="2:39" x14ac:dyDescent="0.3">
      <c r="B10" s="56"/>
      <c r="C10" s="54"/>
      <c r="D10" s="69"/>
      <c r="E10" s="69"/>
      <c r="F10" s="69"/>
      <c r="G10" s="69"/>
      <c r="H10" s="69"/>
      <c r="J10" s="69">
        <f>SUM(D10:H10)</f>
        <v>0</v>
      </c>
    </row>
    <row r="11" spans="2:39" x14ac:dyDescent="0.3">
      <c r="B11" s="56"/>
      <c r="C11" s="58" t="s">
        <v>11</v>
      </c>
      <c r="D11" s="70">
        <f>SUM(D8:D10)</f>
        <v>190611.20000000001</v>
      </c>
      <c r="E11" s="70">
        <f>SUM(E8:E10)</f>
        <v>200141.76</v>
      </c>
      <c r="F11" s="70">
        <f t="shared" ref="F11:J11" si="1">SUM(F8:F10)</f>
        <v>210148.848</v>
      </c>
      <c r="G11" s="70">
        <f t="shared" si="1"/>
        <v>220656.2904</v>
      </c>
      <c r="H11" s="70">
        <f t="shared" si="1"/>
        <v>231689.10492000001</v>
      </c>
      <c r="J11" s="70">
        <f t="shared" si="1"/>
        <v>1053247.2033200001</v>
      </c>
    </row>
    <row r="12" spans="2:39" x14ac:dyDescent="0.3">
      <c r="B12" s="56"/>
      <c r="C12" s="62" t="s">
        <v>270</v>
      </c>
      <c r="D12" s="63" t="s">
        <v>31</v>
      </c>
      <c r="E12" s="63"/>
      <c r="F12" s="63"/>
      <c r="G12" s="63"/>
      <c r="H12" s="63"/>
      <c r="J12" s="68" t="s">
        <v>31</v>
      </c>
    </row>
    <row r="13" spans="2:39" x14ac:dyDescent="0.3">
      <c r="B13" s="56"/>
      <c r="C13" s="54">
        <v>29.42</v>
      </c>
      <c r="D13" s="85">
        <f>(D8*0.2942)</f>
        <v>56077.815040000009</v>
      </c>
      <c r="E13" s="85">
        <f t="shared" ref="E13:H13" si="2">(E8*0.2942)</f>
        <v>58881.705792000008</v>
      </c>
      <c r="F13" s="85">
        <f t="shared" si="2"/>
        <v>61825.7910816</v>
      </c>
      <c r="G13" s="85">
        <f t="shared" si="2"/>
        <v>64917.080635680002</v>
      </c>
      <c r="H13" s="85">
        <f t="shared" si="2"/>
        <v>68162.934667464011</v>
      </c>
      <c r="J13" s="69">
        <f>SUM(D13:H13)</f>
        <v>309865.32721674402</v>
      </c>
    </row>
    <row r="14" spans="2:39" x14ac:dyDescent="0.3">
      <c r="B14" s="56"/>
      <c r="C14" s="54"/>
      <c r="D14" s="69"/>
      <c r="E14" s="69"/>
      <c r="F14" s="69"/>
      <c r="G14" s="69"/>
      <c r="H14" s="69"/>
      <c r="J14" s="69">
        <f t="shared" ref="J14:J15" si="3">SUM(D14:H14)</f>
        <v>0</v>
      </c>
    </row>
    <row r="15" spans="2:39" x14ac:dyDescent="0.3">
      <c r="B15" s="56"/>
      <c r="C15" s="63"/>
      <c r="D15" s="69"/>
      <c r="E15" s="69"/>
      <c r="F15" s="69"/>
      <c r="G15" s="69"/>
      <c r="H15" s="69"/>
      <c r="J15" s="69">
        <f t="shared" si="3"/>
        <v>0</v>
      </c>
    </row>
    <row r="16" spans="2:39" x14ac:dyDescent="0.3">
      <c r="B16" s="56"/>
      <c r="C16" s="58" t="s">
        <v>12</v>
      </c>
      <c r="D16" s="70">
        <f>SUM(D13:D15)</f>
        <v>56077.815040000009</v>
      </c>
      <c r="E16" s="70">
        <f>SUM(E13:E15)</f>
        <v>58881.705792000008</v>
      </c>
      <c r="F16" s="70">
        <f t="shared" ref="F16:J16" si="4">SUM(F13:F15)</f>
        <v>61825.7910816</v>
      </c>
      <c r="G16" s="70">
        <f t="shared" si="4"/>
        <v>64917.080635680002</v>
      </c>
      <c r="H16" s="70">
        <f t="shared" si="4"/>
        <v>68162.934667464011</v>
      </c>
      <c r="J16" s="70">
        <f t="shared" si="4"/>
        <v>309865.32721674402</v>
      </c>
    </row>
    <row r="17" spans="2:10" x14ac:dyDescent="0.3">
      <c r="B17" s="56"/>
      <c r="C17" s="62" t="s">
        <v>33</v>
      </c>
      <c r="E17" s="63"/>
      <c r="F17" s="63"/>
      <c r="G17" s="63"/>
      <c r="H17" s="63"/>
      <c r="J17" s="68" t="s">
        <v>31</v>
      </c>
    </row>
    <row r="18" spans="2:10" x14ac:dyDescent="0.3">
      <c r="B18" s="56"/>
      <c r="C18" s="54"/>
      <c r="D18" s="63"/>
      <c r="E18" s="63"/>
      <c r="F18" s="63"/>
      <c r="G18" s="63"/>
      <c r="H18" s="63"/>
      <c r="J18" s="69">
        <f t="shared" ref="J18:J19" si="5">SUM(D18:H18)</f>
        <v>0</v>
      </c>
    </row>
    <row r="19" spans="2:10" x14ac:dyDescent="0.3">
      <c r="B19" s="56"/>
      <c r="C19" s="86"/>
      <c r="D19" s="69"/>
      <c r="E19" s="69"/>
      <c r="F19" s="69"/>
      <c r="G19" s="69"/>
      <c r="H19" s="69"/>
      <c r="J19" s="69">
        <f t="shared" si="5"/>
        <v>0</v>
      </c>
    </row>
    <row r="20" spans="2:10" x14ac:dyDescent="0.3">
      <c r="B20" s="56"/>
      <c r="C20" s="86"/>
      <c r="D20" s="69"/>
      <c r="E20" s="69"/>
      <c r="F20" s="69"/>
      <c r="G20" s="69"/>
      <c r="H20" s="69"/>
      <c r="I20" s="48"/>
      <c r="J20" s="69">
        <f>SUM(D20:H20)</f>
        <v>0</v>
      </c>
    </row>
    <row r="21" spans="2:10" x14ac:dyDescent="0.3">
      <c r="B21" s="56"/>
      <c r="C21" s="86"/>
      <c r="D21" s="69"/>
      <c r="E21" s="69"/>
      <c r="F21" s="69"/>
      <c r="G21" s="69"/>
      <c r="H21" s="69"/>
      <c r="I21" s="48"/>
      <c r="J21" s="69">
        <f t="shared" ref="J21:J26" si="6">SUM(D21:H21)</f>
        <v>0</v>
      </c>
    </row>
    <row r="22" spans="2:10" x14ac:dyDescent="0.3">
      <c r="B22" s="56"/>
      <c r="C22" s="54"/>
      <c r="D22" s="69"/>
      <c r="E22" s="69"/>
      <c r="F22" s="69"/>
      <c r="G22" s="69"/>
      <c r="H22" s="69"/>
      <c r="I22" s="48"/>
      <c r="J22" s="69">
        <f t="shared" si="6"/>
        <v>0</v>
      </c>
    </row>
    <row r="23" spans="2:10" x14ac:dyDescent="0.3">
      <c r="B23" s="56"/>
      <c r="C23" s="86"/>
      <c r="D23" s="69"/>
      <c r="E23" s="69"/>
      <c r="F23" s="69"/>
      <c r="G23" s="69"/>
      <c r="H23" s="69"/>
      <c r="I23" s="48"/>
      <c r="J23" s="69">
        <f t="shared" si="6"/>
        <v>0</v>
      </c>
    </row>
    <row r="24" spans="2:10" x14ac:dyDescent="0.3">
      <c r="B24" s="56"/>
      <c r="C24" s="86"/>
      <c r="D24" s="69"/>
      <c r="E24" s="69"/>
      <c r="F24" s="69"/>
      <c r="G24" s="69"/>
      <c r="H24" s="69"/>
      <c r="I24" s="48"/>
      <c r="J24" s="69">
        <f t="shared" si="6"/>
        <v>0</v>
      </c>
    </row>
    <row r="25" spans="2:10" x14ac:dyDescent="0.3">
      <c r="B25" s="56"/>
      <c r="C25" s="86"/>
      <c r="D25" s="69"/>
      <c r="E25" s="69"/>
      <c r="F25" s="69"/>
      <c r="G25" s="69"/>
      <c r="H25" s="69"/>
      <c r="I25" s="48"/>
      <c r="J25" s="69">
        <f t="shared" si="6"/>
        <v>0</v>
      </c>
    </row>
    <row r="26" spans="2:10" x14ac:dyDescent="0.3">
      <c r="B26" s="56"/>
      <c r="C26" s="54"/>
      <c r="D26" s="69"/>
      <c r="E26" s="69"/>
      <c r="F26" s="69"/>
      <c r="G26" s="69"/>
      <c r="H26" s="69"/>
      <c r="I26" s="48"/>
      <c r="J26" s="69">
        <f t="shared" si="6"/>
        <v>0</v>
      </c>
    </row>
    <row r="27" spans="2:10" x14ac:dyDescent="0.3">
      <c r="B27" s="56"/>
      <c r="C27" s="58" t="s">
        <v>13</v>
      </c>
      <c r="D27" s="70">
        <f>SUM(D20:D26)</f>
        <v>0</v>
      </c>
      <c r="E27" s="70">
        <f t="shared" ref="E27:H27" si="7">SUM(E20:E26)</f>
        <v>0</v>
      </c>
      <c r="F27" s="70">
        <f t="shared" si="7"/>
        <v>0</v>
      </c>
      <c r="G27" s="70">
        <f t="shared" si="7"/>
        <v>0</v>
      </c>
      <c r="H27" s="70">
        <f t="shared" si="7"/>
        <v>0</v>
      </c>
      <c r="J27" s="70">
        <f>SUM(D27:H27)</f>
        <v>0</v>
      </c>
    </row>
    <row r="28" spans="2:10" x14ac:dyDescent="0.3">
      <c r="B28" s="56"/>
      <c r="C28" s="62" t="s">
        <v>34</v>
      </c>
      <c r="D28" s="69"/>
      <c r="E28" s="63"/>
      <c r="F28" s="63"/>
      <c r="G28" s="63"/>
      <c r="H28" s="63"/>
      <c r="J28" s="69" t="s">
        <v>19</v>
      </c>
    </row>
    <row r="29" spans="2:10" x14ac:dyDescent="0.3">
      <c r="B29" s="56"/>
      <c r="C29" s="54"/>
      <c r="D29" s="69"/>
      <c r="E29" s="63"/>
      <c r="F29" s="63"/>
      <c r="G29" s="63"/>
      <c r="H29" s="63"/>
      <c r="J29" s="69">
        <f>SUM(D29:H29)</f>
        <v>0</v>
      </c>
    </row>
    <row r="30" spans="2:10" x14ac:dyDescent="0.3">
      <c r="B30" s="56" t="s">
        <v>35</v>
      </c>
      <c r="C30" s="63" t="s">
        <v>35</v>
      </c>
      <c r="D30" s="63" t="s">
        <v>31</v>
      </c>
      <c r="E30" s="63"/>
      <c r="F30" s="63"/>
      <c r="G30" s="63"/>
      <c r="H30" s="63"/>
      <c r="J30" s="69">
        <f t="shared" ref="J30:J50" si="8">SUM(D30:H30)</f>
        <v>0</v>
      </c>
    </row>
    <row r="31" spans="2:10" x14ac:dyDescent="0.3">
      <c r="B31" s="56"/>
      <c r="C31" s="58" t="s">
        <v>14</v>
      </c>
      <c r="D31" s="87">
        <f>SUM(D29:D30)</f>
        <v>0</v>
      </c>
      <c r="E31" s="87">
        <f t="shared" ref="E31:H31" si="9">SUM(E29:E30)</f>
        <v>0</v>
      </c>
      <c r="F31" s="87">
        <f t="shared" si="9"/>
        <v>0</v>
      </c>
      <c r="G31" s="87">
        <f t="shared" si="9"/>
        <v>0</v>
      </c>
      <c r="H31" s="87">
        <f t="shared" si="9"/>
        <v>0</v>
      </c>
      <c r="J31" s="70">
        <f t="shared" si="8"/>
        <v>0</v>
      </c>
    </row>
    <row r="32" spans="2:10" x14ac:dyDescent="0.3">
      <c r="B32" s="56"/>
      <c r="C32" s="62" t="s">
        <v>36</v>
      </c>
      <c r="D32" s="63" t="s">
        <v>31</v>
      </c>
      <c r="E32" s="63"/>
      <c r="F32" s="63"/>
      <c r="G32" s="63"/>
      <c r="H32" s="63"/>
      <c r="J32" s="69"/>
    </row>
    <row r="33" spans="2:10" x14ac:dyDescent="0.3">
      <c r="B33" s="56"/>
      <c r="C33" s="54"/>
      <c r="D33" s="69"/>
      <c r="E33" s="69"/>
      <c r="F33" s="69"/>
      <c r="G33" s="69"/>
      <c r="H33" s="69"/>
      <c r="I33" s="48"/>
      <c r="J33" s="69">
        <f t="shared" si="8"/>
        <v>0</v>
      </c>
    </row>
    <row r="34" spans="2:10" x14ac:dyDescent="0.3">
      <c r="B34" s="56"/>
      <c r="C34" s="54"/>
      <c r="D34" s="69"/>
      <c r="E34" s="69"/>
      <c r="F34" s="69"/>
      <c r="G34" s="69"/>
      <c r="H34" s="69"/>
      <c r="J34" s="69">
        <f t="shared" si="8"/>
        <v>0</v>
      </c>
    </row>
    <row r="35" spans="2:10" x14ac:dyDescent="0.3">
      <c r="B35" s="56"/>
      <c r="C35" s="58" t="s">
        <v>15</v>
      </c>
      <c r="D35" s="70">
        <f>SUM(D33:D34)</f>
        <v>0</v>
      </c>
      <c r="E35" s="70">
        <f t="shared" ref="E35:H35" si="10">SUM(E33:E34)</f>
        <v>0</v>
      </c>
      <c r="F35" s="70">
        <f t="shared" si="10"/>
        <v>0</v>
      </c>
      <c r="G35" s="70">
        <f t="shared" si="10"/>
        <v>0</v>
      </c>
      <c r="H35" s="70">
        <f t="shared" si="10"/>
        <v>0</v>
      </c>
      <c r="J35" s="70">
        <f t="shared" si="8"/>
        <v>0</v>
      </c>
    </row>
    <row r="36" spans="2:10" x14ac:dyDescent="0.3">
      <c r="B36" s="56"/>
      <c r="C36" s="62" t="s">
        <v>37</v>
      </c>
      <c r="D36" s="63" t="s">
        <v>31</v>
      </c>
      <c r="E36" s="63"/>
      <c r="F36" s="63"/>
      <c r="G36" s="63"/>
      <c r="H36" s="63"/>
      <c r="J36" s="69"/>
    </row>
    <row r="37" spans="2:10" x14ac:dyDescent="0.3">
      <c r="B37" s="56"/>
      <c r="C37" s="54"/>
      <c r="D37" s="69"/>
      <c r="E37" s="69"/>
      <c r="F37" s="69"/>
      <c r="G37" s="69"/>
      <c r="H37" s="69"/>
      <c r="I37" s="48"/>
      <c r="J37" s="69">
        <f t="shared" si="8"/>
        <v>0</v>
      </c>
    </row>
    <row r="38" spans="2:10" x14ac:dyDescent="0.3">
      <c r="B38" s="56"/>
      <c r="C38" s="54"/>
      <c r="D38" s="69"/>
      <c r="E38" s="69"/>
      <c r="F38" s="69"/>
      <c r="G38" s="69"/>
      <c r="H38" s="69"/>
      <c r="I38" s="48"/>
      <c r="J38" s="69">
        <f t="shared" si="8"/>
        <v>0</v>
      </c>
    </row>
    <row r="39" spans="2:10" x14ac:dyDescent="0.3">
      <c r="B39" s="56"/>
      <c r="C39" s="54"/>
      <c r="D39" s="69"/>
      <c r="E39" s="69"/>
      <c r="F39" s="69"/>
      <c r="G39" s="69"/>
      <c r="H39" s="69"/>
      <c r="I39" s="48"/>
      <c r="J39" s="69">
        <f t="shared" si="8"/>
        <v>0</v>
      </c>
    </row>
    <row r="40" spans="2:10" x14ac:dyDescent="0.3">
      <c r="B40" s="56"/>
      <c r="C40" s="54"/>
      <c r="D40" s="69"/>
      <c r="E40" s="69"/>
      <c r="F40" s="69"/>
      <c r="G40" s="69"/>
      <c r="H40" s="69"/>
      <c r="J40" s="69">
        <f t="shared" si="8"/>
        <v>0</v>
      </c>
    </row>
    <row r="41" spans="2:10" x14ac:dyDescent="0.3">
      <c r="B41" s="56"/>
      <c r="C41" s="58" t="s">
        <v>16</v>
      </c>
      <c r="D41" s="70">
        <f>SUM(D37:D40)</f>
        <v>0</v>
      </c>
      <c r="E41" s="70">
        <f t="shared" ref="E41:H41" si="11">SUM(E37:E40)</f>
        <v>0</v>
      </c>
      <c r="F41" s="70">
        <f t="shared" si="11"/>
        <v>0</v>
      </c>
      <c r="G41" s="70">
        <f t="shared" si="11"/>
        <v>0</v>
      </c>
      <c r="H41" s="70">
        <f t="shared" si="11"/>
        <v>0</v>
      </c>
      <c r="J41" s="70">
        <f t="shared" si="8"/>
        <v>0</v>
      </c>
    </row>
    <row r="42" spans="2:10" x14ac:dyDescent="0.3">
      <c r="B42" s="56"/>
      <c r="C42" s="62" t="s">
        <v>38</v>
      </c>
      <c r="D42" s="63" t="s">
        <v>31</v>
      </c>
      <c r="E42" s="63"/>
      <c r="F42" s="63"/>
      <c r="G42" s="63"/>
      <c r="H42" s="63"/>
      <c r="J42" s="69"/>
    </row>
    <row r="43" spans="2:10" x14ac:dyDescent="0.3">
      <c r="B43" s="56"/>
      <c r="C43" s="54"/>
      <c r="D43" s="69"/>
      <c r="E43" s="69"/>
      <c r="F43" s="69"/>
      <c r="G43" s="69"/>
      <c r="H43" s="69"/>
      <c r="I43" s="48"/>
      <c r="J43" s="69">
        <f t="shared" si="8"/>
        <v>0</v>
      </c>
    </row>
    <row r="44" spans="2:10" x14ac:dyDescent="0.3">
      <c r="B44" s="56"/>
      <c r="C44" s="54"/>
      <c r="D44" s="69"/>
      <c r="E44" s="69"/>
      <c r="F44" s="69"/>
      <c r="G44" s="69"/>
      <c r="H44" s="69"/>
      <c r="I44" s="48"/>
      <c r="J44" s="69">
        <f t="shared" si="8"/>
        <v>0</v>
      </c>
    </row>
    <row r="45" spans="2:10" x14ac:dyDescent="0.3">
      <c r="B45" s="56"/>
      <c r="C45" s="54"/>
      <c r="D45" s="69"/>
      <c r="E45" s="69"/>
      <c r="F45" s="69"/>
      <c r="G45" s="69"/>
      <c r="H45" s="69"/>
      <c r="I45" s="48"/>
      <c r="J45" s="69">
        <f t="shared" si="8"/>
        <v>0</v>
      </c>
    </row>
    <row r="46" spans="2:10" x14ac:dyDescent="0.3">
      <c r="B46" s="56"/>
      <c r="C46" s="54"/>
      <c r="D46" s="69"/>
      <c r="E46" s="69"/>
      <c r="F46" s="69"/>
      <c r="G46" s="69"/>
      <c r="H46" s="69"/>
      <c r="J46" s="69">
        <f t="shared" si="8"/>
        <v>0</v>
      </c>
    </row>
    <row r="47" spans="2:10" x14ac:dyDescent="0.3">
      <c r="B47" s="56"/>
      <c r="C47" s="54"/>
      <c r="D47" s="69"/>
      <c r="E47" s="69"/>
      <c r="F47" s="69"/>
      <c r="G47" s="69"/>
      <c r="H47" s="69"/>
      <c r="J47" s="69">
        <f t="shared" si="8"/>
        <v>0</v>
      </c>
    </row>
    <row r="48" spans="2:10" x14ac:dyDescent="0.3">
      <c r="B48" s="56"/>
      <c r="C48" s="63"/>
      <c r="D48" s="69"/>
      <c r="E48" s="69"/>
      <c r="F48" s="69"/>
      <c r="G48" s="69"/>
      <c r="H48" s="69"/>
      <c r="J48" s="69">
        <f t="shared" si="8"/>
        <v>0</v>
      </c>
    </row>
    <row r="49" spans="2:10" x14ac:dyDescent="0.3">
      <c r="B49" s="57"/>
      <c r="C49" s="58" t="s">
        <v>17</v>
      </c>
      <c r="D49" s="70">
        <f>SUM(D43:D48)</f>
        <v>0</v>
      </c>
      <c r="E49" s="70">
        <f t="shared" ref="E49:H49" si="12">SUM(E43:E48)</f>
        <v>0</v>
      </c>
      <c r="F49" s="70">
        <f t="shared" si="12"/>
        <v>0</v>
      </c>
      <c r="G49" s="70">
        <f t="shared" si="12"/>
        <v>0</v>
      </c>
      <c r="H49" s="70">
        <f t="shared" si="12"/>
        <v>0</v>
      </c>
      <c r="J49" s="70">
        <f t="shared" si="8"/>
        <v>0</v>
      </c>
    </row>
    <row r="50" spans="2:10" x14ac:dyDescent="0.3">
      <c r="B50" s="57"/>
      <c r="C50" s="58" t="s">
        <v>18</v>
      </c>
      <c r="D50" s="70">
        <f>SUM(D49,D41,D35,D31,D27,D16,D11)</f>
        <v>246689.01504000003</v>
      </c>
      <c r="E50" s="70">
        <f t="shared" ref="E50:H50" si="13">SUM(E49,E41,E35,E31,E27,E16,E11)</f>
        <v>259023.465792</v>
      </c>
      <c r="F50" s="70">
        <f t="shared" si="13"/>
        <v>271974.63908160001</v>
      </c>
      <c r="G50" s="70">
        <f t="shared" si="13"/>
        <v>285573.37103568</v>
      </c>
      <c r="H50" s="70">
        <f t="shared" si="13"/>
        <v>299852.03958746401</v>
      </c>
      <c r="J50" s="70">
        <f t="shared" si="8"/>
        <v>1363112.530536744</v>
      </c>
    </row>
    <row r="51" spans="2:10" x14ac:dyDescent="0.3">
      <c r="B51" s="59"/>
      <c r="D51" s="49"/>
      <c r="E51" s="49"/>
      <c r="H51" s="49"/>
      <c r="J51" s="49" t="s">
        <v>19</v>
      </c>
    </row>
    <row r="52" spans="2:10" ht="28.8" x14ac:dyDescent="0.3">
      <c r="B52" s="83" t="s">
        <v>39</v>
      </c>
      <c r="C52" s="84" t="s">
        <v>40</v>
      </c>
      <c r="D52" s="68"/>
      <c r="E52" s="68"/>
      <c r="F52" s="68"/>
      <c r="G52" s="68"/>
      <c r="H52" s="68"/>
      <c r="J52" s="68" t="s">
        <v>19</v>
      </c>
    </row>
    <row r="53" spans="2:10" x14ac:dyDescent="0.3">
      <c r="B53" s="56"/>
      <c r="C53" s="54"/>
      <c r="D53" s="85">
        <f>(0.05*D8)</f>
        <v>9530.5600000000013</v>
      </c>
      <c r="E53" s="85">
        <f t="shared" ref="E53:H53" si="14">(0.05*E8)</f>
        <v>10007.088000000002</v>
      </c>
      <c r="F53" s="85">
        <f t="shared" si="14"/>
        <v>10507.4424</v>
      </c>
      <c r="G53" s="85">
        <f t="shared" si="14"/>
        <v>11032.81452</v>
      </c>
      <c r="H53" s="85">
        <f t="shared" si="14"/>
        <v>11584.455246000001</v>
      </c>
      <c r="J53" s="69">
        <f>SUM(D53:H53)</f>
        <v>52662.360165999999</v>
      </c>
    </row>
    <row r="54" spans="2:10" x14ac:dyDescent="0.3">
      <c r="B54" s="56"/>
      <c r="C54" s="54"/>
      <c r="D54" s="63"/>
      <c r="E54" s="63"/>
      <c r="F54" s="63"/>
      <c r="G54" s="63"/>
      <c r="H54" s="63"/>
      <c r="J54" s="69">
        <f t="shared" ref="J54:J55" si="15">SUM(D54:H54)</f>
        <v>0</v>
      </c>
    </row>
    <row r="55" spans="2:10" x14ac:dyDescent="0.3">
      <c r="B55" s="57"/>
      <c r="C55" s="58" t="s">
        <v>20</v>
      </c>
      <c r="D55" s="70">
        <f>SUM(D53:D54)</f>
        <v>9530.5600000000013</v>
      </c>
      <c r="E55" s="70">
        <f t="shared" ref="E55:G55" si="16">SUM(E53:E54)</f>
        <v>10007.088000000002</v>
      </c>
      <c r="F55" s="70">
        <f t="shared" si="16"/>
        <v>10507.4424</v>
      </c>
      <c r="G55" s="70">
        <f t="shared" si="16"/>
        <v>11032.81452</v>
      </c>
      <c r="H55" s="70">
        <f>SUM(H53:H54)</f>
        <v>11584.455246000001</v>
      </c>
      <c r="J55" s="70">
        <f t="shared" si="15"/>
        <v>52662.360165999999</v>
      </c>
    </row>
    <row r="56" spans="2:10" ht="15" thickBot="1" x14ac:dyDescent="0.35">
      <c r="B56" s="59"/>
      <c r="D56" s="49"/>
      <c r="E56" s="49"/>
      <c r="H56" s="49"/>
      <c r="J56" s="49" t="s">
        <v>19</v>
      </c>
    </row>
    <row r="57" spans="2:10" s="61" customFormat="1" ht="29.4" thickBot="1" x14ac:dyDescent="0.35">
      <c r="B57" s="60" t="s">
        <v>21</v>
      </c>
      <c r="C57" s="60"/>
      <c r="D57" s="88">
        <f>SUM(D55,D50)</f>
        <v>256219.57504000003</v>
      </c>
      <c r="E57" s="88">
        <f t="shared" ref="E57:J57" si="17">SUM(E55,E50)</f>
        <v>269030.55379199999</v>
      </c>
      <c r="F57" s="88">
        <f t="shared" si="17"/>
        <v>282482.08148160001</v>
      </c>
      <c r="G57" s="88">
        <f t="shared" si="17"/>
        <v>296606.18555568001</v>
      </c>
      <c r="H57" s="88">
        <f t="shared" si="17"/>
        <v>311436.49483346404</v>
      </c>
      <c r="I57" s="49"/>
      <c r="J57" s="88">
        <f t="shared" si="17"/>
        <v>1415774.890702744</v>
      </c>
    </row>
    <row r="58" spans="2:10" x14ac:dyDescent="0.3">
      <c r="B58" s="59"/>
    </row>
    <row r="59" spans="2:10" x14ac:dyDescent="0.3">
      <c r="B59" s="59"/>
    </row>
    <row r="60" spans="2:10" x14ac:dyDescent="0.3">
      <c r="B60" s="59"/>
    </row>
    <row r="61" spans="2:10" x14ac:dyDescent="0.3">
      <c r="B61" s="59"/>
    </row>
    <row r="62" spans="2:10" x14ac:dyDescent="0.3">
      <c r="B62" s="59"/>
    </row>
    <row r="63" spans="2:10" x14ac:dyDescent="0.3">
      <c r="B63" s="59"/>
    </row>
    <row r="64" spans="2:10" x14ac:dyDescent="0.3">
      <c r="B64" s="59"/>
    </row>
    <row r="65" spans="2:2" x14ac:dyDescent="0.3">
      <c r="B65" s="59"/>
    </row>
    <row r="66" spans="2:2" x14ac:dyDescent="0.3">
      <c r="B66" s="59"/>
    </row>
    <row r="67" spans="2:2" x14ac:dyDescent="0.3">
      <c r="B67" s="59"/>
    </row>
    <row r="68" spans="2:2" x14ac:dyDescent="0.3">
      <c r="B68" s="59"/>
    </row>
    <row r="69" spans="2:2" x14ac:dyDescent="0.3">
      <c r="B69" s="59"/>
    </row>
    <row r="70" spans="2:2" x14ac:dyDescent="0.3">
      <c r="B70" s="59"/>
    </row>
    <row r="71" spans="2:2" x14ac:dyDescent="0.3">
      <c r="B71" s="59"/>
    </row>
    <row r="72" spans="2:2" x14ac:dyDescent="0.3">
      <c r="B72" s="59"/>
    </row>
  </sheetData>
  <sheetProtection sheet="1" objects="1" scenarios="1" selectLockedCells="1" selectUnlockedCells="1"/>
  <pageMargins left="0.7" right="0.7" top="0.75" bottom="0.75" header="0.3" footer="0.3"/>
  <pageSetup scale="86" fitToHeight="0" orientation="landscape" r:id="rId1"/>
  <ignoredErrors>
    <ignoredError sqref="J20:J26 J33 J43:J45 J37:J39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R124"/>
  <sheetViews>
    <sheetView showGridLines="0" zoomScale="90" zoomScaleNormal="90" workbookViewId="0">
      <selection activeCell="N1" sqref="N1:N1048576"/>
    </sheetView>
  </sheetViews>
  <sheetFormatPr defaultColWidth="9.33203125" defaultRowHeight="14.4" x14ac:dyDescent="0.3"/>
  <cols>
    <col min="1" max="1" width="3.33203125" customWidth="1"/>
    <col min="2" max="2" width="10.33203125" customWidth="1"/>
    <col min="3" max="3" width="35.44140625" customWidth="1"/>
    <col min="4" max="4" width="13" style="232" customWidth="1"/>
    <col min="5" max="5" width="15" style="214" bestFit="1" customWidth="1"/>
    <col min="6" max="6" width="13" style="232" customWidth="1"/>
    <col min="7" max="7" width="13.77734375" style="223" bestFit="1" customWidth="1"/>
    <col min="8" max="8" width="13" style="232" customWidth="1"/>
    <col min="9" max="9" width="13.77734375" style="225" bestFit="1" customWidth="1"/>
    <col min="10" max="10" width="13" style="232" customWidth="1"/>
    <col min="11" max="11" width="13.77734375" style="225" bestFit="1" customWidth="1"/>
    <col min="12" max="12" width="13" style="232" customWidth="1"/>
    <col min="13" max="13" width="12.21875" style="223" bestFit="1" customWidth="1"/>
    <col min="14" max="14" width="11.88671875" style="210" hidden="1" customWidth="1"/>
    <col min="15" max="15" width="15" style="225" bestFit="1" customWidth="1"/>
    <col min="16" max="17" width="13.6640625" bestFit="1" customWidth="1"/>
  </cols>
  <sheetData>
    <row r="2" spans="2:44" ht="23.4" x14ac:dyDescent="0.45">
      <c r="B2" s="19" t="s">
        <v>29</v>
      </c>
    </row>
    <row r="3" spans="2:44" x14ac:dyDescent="0.3">
      <c r="B3" s="89" t="s">
        <v>41</v>
      </c>
    </row>
    <row r="4" spans="2:44" x14ac:dyDescent="0.3">
      <c r="B4" s="3"/>
    </row>
    <row r="5" spans="2:44" ht="18" x14ac:dyDescent="0.35">
      <c r="B5" s="21" t="s">
        <v>1</v>
      </c>
      <c r="C5" s="22"/>
      <c r="D5" s="233"/>
      <c r="E5" s="215"/>
      <c r="F5" s="233"/>
      <c r="G5" s="215"/>
      <c r="H5" s="233"/>
      <c r="I5" s="215"/>
      <c r="J5" s="233"/>
      <c r="K5" s="215"/>
      <c r="L5" s="233"/>
      <c r="M5" s="215"/>
      <c r="N5" s="50"/>
      <c r="O5" s="229"/>
    </row>
    <row r="6" spans="2:44" x14ac:dyDescent="0.3">
      <c r="B6" s="24" t="s">
        <v>2</v>
      </c>
      <c r="C6" s="24" t="s">
        <v>3</v>
      </c>
      <c r="D6" s="234" t="s">
        <v>42</v>
      </c>
      <c r="E6" s="216" t="s">
        <v>43</v>
      </c>
      <c r="F6" s="234" t="s">
        <v>44</v>
      </c>
      <c r="G6" s="216" t="s">
        <v>45</v>
      </c>
      <c r="H6" s="234" t="s">
        <v>46</v>
      </c>
      <c r="I6" s="216" t="s">
        <v>47</v>
      </c>
      <c r="J6" s="234" t="s">
        <v>48</v>
      </c>
      <c r="K6" s="227" t="s">
        <v>7</v>
      </c>
      <c r="L6" s="234" t="s">
        <v>49</v>
      </c>
      <c r="M6" s="228" t="s">
        <v>8</v>
      </c>
      <c r="N6" s="211"/>
      <c r="O6" s="230" t="s">
        <v>9</v>
      </c>
    </row>
    <row r="7" spans="2:44" s="3" customFormat="1" ht="28.8" x14ac:dyDescent="0.3">
      <c r="B7" s="43" t="s">
        <v>10</v>
      </c>
      <c r="C7" s="55" t="s">
        <v>50</v>
      </c>
      <c r="D7" s="235"/>
      <c r="E7" s="217" t="s">
        <v>31</v>
      </c>
      <c r="F7" s="235"/>
      <c r="G7" s="217" t="s">
        <v>31</v>
      </c>
      <c r="H7" s="235"/>
      <c r="I7" s="217" t="s">
        <v>31</v>
      </c>
      <c r="J7" s="235"/>
      <c r="K7" s="217"/>
      <c r="L7" s="235"/>
      <c r="M7" s="217" t="s">
        <v>31</v>
      </c>
      <c r="N7" s="212"/>
      <c r="O7" s="231" t="s">
        <v>31</v>
      </c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</row>
    <row r="8" spans="2:44" ht="28.8" x14ac:dyDescent="0.3">
      <c r="B8" s="14"/>
      <c r="C8" s="18" t="s">
        <v>51</v>
      </c>
      <c r="D8" s="142">
        <v>1040</v>
      </c>
      <c r="E8" s="218">
        <v>78322.400000000009</v>
      </c>
      <c r="F8" s="142">
        <v>280</v>
      </c>
      <c r="G8" s="218">
        <v>22141.140000000003</v>
      </c>
      <c r="H8" s="142">
        <v>640</v>
      </c>
      <c r="I8" s="218">
        <v>53138.736000000004</v>
      </c>
      <c r="J8" s="142">
        <v>560</v>
      </c>
      <c r="K8" s="218">
        <v>48821.213700000008</v>
      </c>
      <c r="L8" s="142">
        <v>0</v>
      </c>
      <c r="M8" s="218">
        <v>0</v>
      </c>
      <c r="N8" s="195"/>
      <c r="O8" s="218">
        <f>SUM(E8,G8,I8,K8,M8)</f>
        <v>202423.48970000003</v>
      </c>
    </row>
    <row r="9" spans="2:44" ht="28.8" x14ac:dyDescent="0.3">
      <c r="B9" s="14"/>
      <c r="C9" s="18" t="s">
        <v>52</v>
      </c>
      <c r="D9" s="142">
        <v>1440</v>
      </c>
      <c r="E9" s="218">
        <v>82051.199999999997</v>
      </c>
      <c r="F9" s="142">
        <v>400</v>
      </c>
      <c r="G9" s="218">
        <v>23931.599999999999</v>
      </c>
      <c r="H9" s="142">
        <v>640</v>
      </c>
      <c r="I9" s="218">
        <v>40205.087999999996</v>
      </c>
      <c r="J9" s="142">
        <v>800</v>
      </c>
      <c r="K9" s="218">
        <v>52769.178</v>
      </c>
      <c r="L9" s="142">
        <v>0</v>
      </c>
      <c r="M9" s="218">
        <v>0</v>
      </c>
      <c r="N9" s="195"/>
      <c r="O9" s="218">
        <f t="shared" ref="O9:O86" si="0">SUM(E9,G9,I9,K9,M9)</f>
        <v>198957.06599999999</v>
      </c>
    </row>
    <row r="10" spans="2:44" ht="57.6" customHeight="1" x14ac:dyDescent="0.3">
      <c r="B10" s="14"/>
      <c r="C10" s="18" t="s">
        <v>53</v>
      </c>
      <c r="D10" s="142">
        <v>800</v>
      </c>
      <c r="E10" s="218">
        <v>68328</v>
      </c>
      <c r="F10" s="142">
        <v>200</v>
      </c>
      <c r="G10" s="218">
        <v>17936.099999999999</v>
      </c>
      <c r="H10" s="142">
        <v>480</v>
      </c>
      <c r="I10" s="218">
        <v>45198.972000000002</v>
      </c>
      <c r="J10" s="142">
        <v>400</v>
      </c>
      <c r="K10" s="218">
        <v>39549.1005</v>
      </c>
      <c r="L10" s="142">
        <v>0</v>
      </c>
      <c r="M10" s="218">
        <v>0</v>
      </c>
      <c r="N10" s="195"/>
      <c r="O10" s="218">
        <f t="shared" si="0"/>
        <v>171012.17250000002</v>
      </c>
    </row>
    <row r="11" spans="2:44" ht="28.8" x14ac:dyDescent="0.3">
      <c r="B11" s="14"/>
      <c r="C11" s="18" t="s">
        <v>54</v>
      </c>
      <c r="D11" s="142">
        <v>360</v>
      </c>
      <c r="E11" s="218">
        <v>32371.200000000001</v>
      </c>
      <c r="F11" s="142">
        <v>100</v>
      </c>
      <c r="G11" s="218">
        <v>9441.6</v>
      </c>
      <c r="H11" s="142">
        <v>160</v>
      </c>
      <c r="I11" s="218">
        <v>15861.887999999999</v>
      </c>
      <c r="J11" s="142">
        <v>200</v>
      </c>
      <c r="K11" s="218">
        <v>20818.727999999999</v>
      </c>
      <c r="L11" s="142">
        <v>0</v>
      </c>
      <c r="M11" s="218">
        <v>0</v>
      </c>
      <c r="N11" s="195"/>
      <c r="O11" s="218">
        <f t="shared" si="0"/>
        <v>78493.415999999997</v>
      </c>
    </row>
    <row r="12" spans="2:44" s="66" customFormat="1" ht="43.2" x14ac:dyDescent="0.3">
      <c r="B12" s="64"/>
      <c r="C12" s="65" t="s">
        <v>55</v>
      </c>
      <c r="D12" s="236">
        <v>344</v>
      </c>
      <c r="E12" s="219">
        <v>25263.360000000001</v>
      </c>
      <c r="F12" s="236">
        <v>528</v>
      </c>
      <c r="G12" s="219">
        <v>40715.135999999999</v>
      </c>
      <c r="H12" s="236">
        <v>528</v>
      </c>
      <c r="I12" s="219">
        <v>42750.892799999994</v>
      </c>
      <c r="J12" s="236">
        <v>288</v>
      </c>
      <c r="K12" s="219">
        <v>24484.602239999997</v>
      </c>
      <c r="L12" s="236">
        <v>232</v>
      </c>
      <c r="M12" s="219">
        <v>20709.892727999995</v>
      </c>
      <c r="N12" s="213"/>
      <c r="O12" s="219">
        <f>SUM(E12,G12,I12,K12,M12)</f>
        <v>153923.883768</v>
      </c>
    </row>
    <row r="13" spans="2:44" s="66" customFormat="1" ht="28.8" x14ac:dyDescent="0.3">
      <c r="B13" s="64"/>
      <c r="C13" s="65" t="s">
        <v>56</v>
      </c>
      <c r="D13" s="236">
        <v>167</v>
      </c>
      <c r="E13" s="219">
        <v>13376.699999999999</v>
      </c>
      <c r="F13" s="236">
        <v>234</v>
      </c>
      <c r="G13" s="219">
        <v>19680.569999999996</v>
      </c>
      <c r="H13" s="236">
        <v>239</v>
      </c>
      <c r="I13" s="219">
        <v>21106.14975</v>
      </c>
      <c r="J13" s="236">
        <v>144</v>
      </c>
      <c r="K13" s="219">
        <v>13352.5098</v>
      </c>
      <c r="L13" s="236">
        <v>125</v>
      </c>
      <c r="M13" s="219">
        <v>12170.256328124999</v>
      </c>
      <c r="N13" s="213"/>
      <c r="O13" s="219">
        <f>SUM(E13,G13,I13,K13,M13)</f>
        <v>79686.185878125005</v>
      </c>
    </row>
    <row r="14" spans="2:44" s="66" customFormat="1" ht="28.8" x14ac:dyDescent="0.3">
      <c r="B14" s="64"/>
      <c r="C14" s="65" t="s">
        <v>57</v>
      </c>
      <c r="D14" s="236">
        <v>35</v>
      </c>
      <c r="E14" s="219">
        <v>2231.9500000000003</v>
      </c>
      <c r="F14" s="236">
        <v>90</v>
      </c>
      <c r="G14" s="219">
        <v>6026.2650000000003</v>
      </c>
      <c r="H14" s="236">
        <v>95</v>
      </c>
      <c r="I14" s="219">
        <v>6679.1103750000002</v>
      </c>
      <c r="J14" s="236">
        <v>0</v>
      </c>
      <c r="K14" s="219">
        <v>0</v>
      </c>
      <c r="L14" s="236">
        <v>160</v>
      </c>
      <c r="M14" s="219">
        <v>12402.053370000001</v>
      </c>
      <c r="N14" s="213"/>
      <c r="O14" s="219">
        <f>SUM(E14,G14,I14,K14,M14)</f>
        <v>27339.378745000002</v>
      </c>
    </row>
    <row r="15" spans="2:44" s="66" customFormat="1" ht="28.8" x14ac:dyDescent="0.3">
      <c r="B15" s="64"/>
      <c r="C15" s="65" t="s">
        <v>58</v>
      </c>
      <c r="D15" s="236">
        <v>920</v>
      </c>
      <c r="E15" s="219">
        <v>62817.599999999999</v>
      </c>
      <c r="F15" s="236">
        <v>968</v>
      </c>
      <c r="G15" s="219">
        <v>69399.792000000001</v>
      </c>
      <c r="H15" s="236">
        <v>968</v>
      </c>
      <c r="I15" s="219">
        <v>72869.781600000002</v>
      </c>
      <c r="J15" s="236">
        <v>968</v>
      </c>
      <c r="K15" s="219">
        <v>76513.270680000001</v>
      </c>
      <c r="L15" s="236">
        <v>240</v>
      </c>
      <c r="M15" s="219">
        <v>19918.744020000002</v>
      </c>
      <c r="N15" s="213"/>
      <c r="O15" s="219">
        <f t="shared" si="0"/>
        <v>301519.18829999998</v>
      </c>
    </row>
    <row r="16" spans="2:44" s="66" customFormat="1" ht="28.8" x14ac:dyDescent="0.3">
      <c r="B16" s="64"/>
      <c r="C16" s="65" t="s">
        <v>59</v>
      </c>
      <c r="D16" s="236">
        <v>920</v>
      </c>
      <c r="E16" s="219">
        <v>49919.199999999997</v>
      </c>
      <c r="F16" s="236">
        <v>968</v>
      </c>
      <c r="G16" s="219">
        <v>55149.864000000001</v>
      </c>
      <c r="H16" s="236">
        <v>968</v>
      </c>
      <c r="I16" s="219">
        <v>57907.357199999999</v>
      </c>
      <c r="J16" s="236">
        <v>968</v>
      </c>
      <c r="K16" s="219">
        <v>60802.725059999997</v>
      </c>
      <c r="L16" s="236">
        <v>240</v>
      </c>
      <c r="M16" s="219">
        <v>15828.808589999999</v>
      </c>
      <c r="N16" s="213"/>
      <c r="O16" s="219">
        <f t="shared" si="0"/>
        <v>239607.95484999998</v>
      </c>
    </row>
    <row r="17" spans="2:17" s="66" customFormat="1" ht="28.8" x14ac:dyDescent="0.3">
      <c r="B17" s="64"/>
      <c r="C17" s="65" t="s">
        <v>60</v>
      </c>
      <c r="D17" s="236">
        <v>150</v>
      </c>
      <c r="E17" s="219">
        <v>12811.5</v>
      </c>
      <c r="F17" s="236">
        <v>128</v>
      </c>
      <c r="G17" s="219">
        <v>11479.103999999999</v>
      </c>
      <c r="H17" s="236">
        <v>128</v>
      </c>
      <c r="I17" s="219">
        <v>12053.0592</v>
      </c>
      <c r="J17" s="236">
        <v>128</v>
      </c>
      <c r="K17" s="219">
        <v>12655.712159999999</v>
      </c>
      <c r="L17" s="236">
        <v>30</v>
      </c>
      <c r="M17" s="219">
        <v>3114.4916643749998</v>
      </c>
      <c r="N17" s="213"/>
      <c r="O17" s="219">
        <f t="shared" si="0"/>
        <v>52113.867024374988</v>
      </c>
    </row>
    <row r="18" spans="2:17" s="66" customFormat="1" ht="28.8" x14ac:dyDescent="0.3">
      <c r="B18" s="64"/>
      <c r="C18" s="65" t="s">
        <v>61</v>
      </c>
      <c r="D18" s="236">
        <v>512</v>
      </c>
      <c r="E18" s="219">
        <v>36705.279999999999</v>
      </c>
      <c r="F18" s="236">
        <v>444</v>
      </c>
      <c r="G18" s="219">
        <v>33421.878000000004</v>
      </c>
      <c r="H18" s="236">
        <v>404</v>
      </c>
      <c r="I18" s="219">
        <v>31931.442899999998</v>
      </c>
      <c r="J18" s="236">
        <v>412</v>
      </c>
      <c r="K18" s="219">
        <v>34191.936134999996</v>
      </c>
      <c r="L18" s="236">
        <v>376</v>
      </c>
      <c r="M18" s="219">
        <v>32764.505791499996</v>
      </c>
      <c r="N18" s="213"/>
      <c r="O18" s="219">
        <f t="shared" si="0"/>
        <v>169015.04282649999</v>
      </c>
    </row>
    <row r="19" spans="2:17" s="66" customFormat="1" ht="43.2" x14ac:dyDescent="0.3">
      <c r="B19" s="64"/>
      <c r="C19" s="65" t="s">
        <v>62</v>
      </c>
      <c r="D19" s="236">
        <v>400</v>
      </c>
      <c r="E19" s="219">
        <v>26092</v>
      </c>
      <c r="F19" s="236">
        <v>400</v>
      </c>
      <c r="G19" s="219">
        <v>27396.600000000002</v>
      </c>
      <c r="H19" s="236">
        <v>400</v>
      </c>
      <c r="I19" s="219">
        <v>28766.430000000004</v>
      </c>
      <c r="J19" s="236">
        <v>400</v>
      </c>
      <c r="K19" s="219">
        <v>30204.751500000002</v>
      </c>
      <c r="L19" s="236">
        <v>400</v>
      </c>
      <c r="M19" s="219">
        <v>31714.989075000005</v>
      </c>
      <c r="N19" s="213"/>
      <c r="O19" s="219">
        <f t="shared" si="0"/>
        <v>144174.77057500003</v>
      </c>
    </row>
    <row r="20" spans="2:17" s="66" customFormat="1" ht="43.2" x14ac:dyDescent="0.3">
      <c r="B20" s="64"/>
      <c r="C20" s="65" t="s">
        <v>63</v>
      </c>
      <c r="D20" s="236">
        <v>2084</v>
      </c>
      <c r="E20" s="219">
        <v>100469.64</v>
      </c>
      <c r="F20" s="236">
        <v>1404</v>
      </c>
      <c r="G20" s="219">
        <v>71071.182000000001</v>
      </c>
      <c r="H20" s="236">
        <v>1324</v>
      </c>
      <c r="I20" s="219">
        <v>70372.619099999996</v>
      </c>
      <c r="J20" s="236">
        <v>1324</v>
      </c>
      <c r="K20" s="219">
        <v>73891.250054999997</v>
      </c>
      <c r="L20" s="236">
        <v>1524</v>
      </c>
      <c r="M20" s="219">
        <v>89305.723820250001</v>
      </c>
      <c r="N20" s="213"/>
      <c r="O20" s="219">
        <f t="shared" si="0"/>
        <v>405110.41497525002</v>
      </c>
    </row>
    <row r="21" spans="2:17" s="66" customFormat="1" ht="28.8" x14ac:dyDescent="0.3">
      <c r="B21" s="64"/>
      <c r="C21" s="65" t="s">
        <v>64</v>
      </c>
      <c r="D21" s="236">
        <v>1060</v>
      </c>
      <c r="E21" s="219">
        <v>53572.4</v>
      </c>
      <c r="F21" s="236">
        <v>1060</v>
      </c>
      <c r="G21" s="219">
        <v>56251.02</v>
      </c>
      <c r="H21" s="236">
        <v>1060</v>
      </c>
      <c r="I21" s="219">
        <v>59063.571000000004</v>
      </c>
      <c r="J21" s="236">
        <v>1060</v>
      </c>
      <c r="K21" s="219">
        <v>62016.74955</v>
      </c>
      <c r="L21" s="236">
        <v>1060</v>
      </c>
      <c r="M21" s="219">
        <v>65117.587027500005</v>
      </c>
      <c r="N21" s="213"/>
      <c r="O21" s="219">
        <f t="shared" si="0"/>
        <v>296021.32757750002</v>
      </c>
    </row>
    <row r="22" spans="2:17" s="66" customFormat="1" ht="28.8" x14ac:dyDescent="0.3">
      <c r="B22" s="64"/>
      <c r="C22" s="65" t="s">
        <v>65</v>
      </c>
      <c r="D22" s="236">
        <v>30</v>
      </c>
      <c r="E22" s="219">
        <v>1793.4</v>
      </c>
      <c r="F22" s="236">
        <v>30</v>
      </c>
      <c r="G22" s="219">
        <v>1883.07</v>
      </c>
      <c r="H22" s="236">
        <v>30</v>
      </c>
      <c r="I22" s="219">
        <v>1977.2234999999998</v>
      </c>
      <c r="J22" s="236">
        <v>30</v>
      </c>
      <c r="K22" s="219">
        <v>2076.0846750000001</v>
      </c>
      <c r="L22" s="236">
        <v>30</v>
      </c>
      <c r="M22" s="219">
        <v>2179.8889087500002</v>
      </c>
      <c r="N22" s="213"/>
      <c r="O22" s="219">
        <f t="shared" si="0"/>
        <v>9909.6670837500005</v>
      </c>
    </row>
    <row r="23" spans="2:17" ht="43.2" x14ac:dyDescent="0.3">
      <c r="B23" s="14"/>
      <c r="C23" s="18" t="s">
        <v>66</v>
      </c>
      <c r="D23" s="142">
        <v>0</v>
      </c>
      <c r="E23" s="218">
        <v>0</v>
      </c>
      <c r="F23" s="142">
        <v>0</v>
      </c>
      <c r="G23" s="218">
        <v>0</v>
      </c>
      <c r="H23" s="142">
        <v>0</v>
      </c>
      <c r="I23" s="218">
        <v>0</v>
      </c>
      <c r="J23" s="142">
        <v>210</v>
      </c>
      <c r="K23" s="218">
        <v>17427.9286125</v>
      </c>
      <c r="L23" s="142">
        <v>210</v>
      </c>
      <c r="M23" s="218">
        <v>18299.325043124998</v>
      </c>
      <c r="N23" s="195"/>
      <c r="O23" s="218">
        <f t="shared" si="0"/>
        <v>35727.253655624998</v>
      </c>
    </row>
    <row r="24" spans="2:17" ht="28.8" x14ac:dyDescent="0.3">
      <c r="B24" s="14"/>
      <c r="C24" s="18" t="s">
        <v>67</v>
      </c>
      <c r="D24" s="142">
        <v>0</v>
      </c>
      <c r="E24" s="218">
        <v>0</v>
      </c>
      <c r="F24" s="142">
        <v>0</v>
      </c>
      <c r="G24" s="218">
        <v>0</v>
      </c>
      <c r="H24" s="142">
        <v>0</v>
      </c>
      <c r="I24" s="218">
        <v>0</v>
      </c>
      <c r="J24" s="142">
        <v>0</v>
      </c>
      <c r="K24" s="218">
        <v>0</v>
      </c>
      <c r="L24" s="142">
        <v>8</v>
      </c>
      <c r="M24" s="218">
        <v>270.52</v>
      </c>
      <c r="N24" s="195"/>
      <c r="O24" s="218">
        <f t="shared" si="0"/>
        <v>270.52</v>
      </c>
      <c r="Q24" s="253"/>
    </row>
    <row r="25" spans="2:17" x14ac:dyDescent="0.3">
      <c r="B25" s="14"/>
      <c r="C25" s="7" t="s">
        <v>11</v>
      </c>
      <c r="D25" s="237"/>
      <c r="E25" s="220">
        <f>SUM(E8:E24)</f>
        <v>646125.83000000007</v>
      </c>
      <c r="F25" s="237"/>
      <c r="G25" s="220">
        <f>SUM(G8:G24)</f>
        <v>465924.92100000003</v>
      </c>
      <c r="H25" s="237"/>
      <c r="I25" s="220">
        <f>SUM(I8:I24)</f>
        <v>559882.32142500009</v>
      </c>
      <c r="J25" s="237"/>
      <c r="K25" s="220">
        <f>SUM(K8:K24)</f>
        <v>569575.74066750007</v>
      </c>
      <c r="L25" s="237"/>
      <c r="M25" s="220">
        <f>SUM(M8:M24)</f>
        <v>323796.78636662505</v>
      </c>
      <c r="N25" s="195"/>
      <c r="O25" s="220">
        <f>SUM(E25,G25,I25,K25,M25)</f>
        <v>2565305.5994591257</v>
      </c>
    </row>
    <row r="26" spans="2:17" x14ac:dyDescent="0.3">
      <c r="B26" s="14"/>
      <c r="C26" s="10" t="s">
        <v>68</v>
      </c>
      <c r="D26" s="142"/>
      <c r="E26" s="218"/>
      <c r="F26" s="142"/>
      <c r="G26" s="218"/>
      <c r="H26" s="142"/>
      <c r="I26" s="218"/>
      <c r="J26" s="142"/>
      <c r="K26" s="218"/>
      <c r="L26" s="142"/>
      <c r="M26" s="218"/>
      <c r="N26" s="195"/>
      <c r="O26" s="218"/>
    </row>
    <row r="27" spans="2:17" x14ac:dyDescent="0.3">
      <c r="B27" s="14"/>
      <c r="C27" s="18" t="s">
        <v>69</v>
      </c>
      <c r="D27" s="142"/>
      <c r="E27" s="186">
        <f>0.72*E8</f>
        <v>56392.128000000004</v>
      </c>
      <c r="F27" s="142"/>
      <c r="G27" s="186">
        <f>0.72*G8</f>
        <v>15941.620800000002</v>
      </c>
      <c r="H27" s="142"/>
      <c r="I27" s="186">
        <f>0.72*I8</f>
        <v>38259.889920000001</v>
      </c>
      <c r="J27" s="142"/>
      <c r="K27" s="186">
        <f>0.72*K8</f>
        <v>35151.273864000003</v>
      </c>
      <c r="L27" s="142"/>
      <c r="M27" s="186">
        <f>0.72*M8</f>
        <v>0</v>
      </c>
      <c r="N27" s="195"/>
      <c r="O27" s="218">
        <f t="shared" si="0"/>
        <v>145744.91258400001</v>
      </c>
    </row>
    <row r="28" spans="2:17" x14ac:dyDescent="0.3">
      <c r="B28" s="14"/>
      <c r="C28" s="18" t="s">
        <v>70</v>
      </c>
      <c r="D28" s="142"/>
      <c r="E28" s="186">
        <f>0.71*E9</f>
        <v>58256.351999999992</v>
      </c>
      <c r="F28" s="142"/>
      <c r="G28" s="186">
        <f>0.71*G9</f>
        <v>16991.435999999998</v>
      </c>
      <c r="H28" s="142"/>
      <c r="I28" s="186">
        <f>0.71*I9</f>
        <v>28545.612479999996</v>
      </c>
      <c r="J28" s="142"/>
      <c r="K28" s="186">
        <f>0.71*K9</f>
        <v>37466.116379999999</v>
      </c>
      <c r="L28" s="142"/>
      <c r="M28" s="186">
        <f>0.71*M9</f>
        <v>0</v>
      </c>
      <c r="N28" s="195"/>
      <c r="O28" s="218">
        <f t="shared" si="0"/>
        <v>141259.51685999997</v>
      </c>
    </row>
    <row r="29" spans="2:17" x14ac:dyDescent="0.3">
      <c r="B29" s="14"/>
      <c r="C29" s="18" t="s">
        <v>71</v>
      </c>
      <c r="D29" s="142"/>
      <c r="E29" s="186">
        <f>0.84*E10</f>
        <v>57395.519999999997</v>
      </c>
      <c r="F29" s="142"/>
      <c r="G29" s="186">
        <f>0.84*G10</f>
        <v>15066.323999999999</v>
      </c>
      <c r="H29" s="142"/>
      <c r="I29" s="186">
        <f>0.84*I10</f>
        <v>37967.136480000001</v>
      </c>
      <c r="J29" s="142"/>
      <c r="K29" s="186">
        <f>0.84*K10</f>
        <v>33221.244420000003</v>
      </c>
      <c r="L29" s="142"/>
      <c r="M29" s="186">
        <f>0.84*M10</f>
        <v>0</v>
      </c>
      <c r="N29" s="195"/>
      <c r="O29" s="218">
        <f t="shared" si="0"/>
        <v>143650.2249</v>
      </c>
    </row>
    <row r="30" spans="2:17" x14ac:dyDescent="0.3">
      <c r="B30" s="14"/>
      <c r="C30" s="18" t="s">
        <v>72</v>
      </c>
      <c r="D30" s="142"/>
      <c r="E30" s="186">
        <f>0.74*E11</f>
        <v>23954.688000000002</v>
      </c>
      <c r="F30" s="142"/>
      <c r="G30" s="186">
        <f>0.74*G11</f>
        <v>6986.7840000000006</v>
      </c>
      <c r="H30" s="142"/>
      <c r="I30" s="186">
        <f>0.74*I11</f>
        <v>11737.797119999999</v>
      </c>
      <c r="J30" s="142"/>
      <c r="K30" s="186">
        <f>0.74*K11</f>
        <v>15405.858719999998</v>
      </c>
      <c r="L30" s="142"/>
      <c r="M30" s="186">
        <f>0.74*M11</f>
        <v>0</v>
      </c>
      <c r="N30" s="195"/>
      <c r="O30" s="218">
        <f t="shared" si="0"/>
        <v>58085.127839999994</v>
      </c>
    </row>
    <row r="31" spans="2:17" ht="28.8" x14ac:dyDescent="0.3">
      <c r="B31" s="14"/>
      <c r="C31" s="18" t="s">
        <v>73</v>
      </c>
      <c r="D31" s="142"/>
      <c r="E31" s="186">
        <f>0.5*E12</f>
        <v>12631.68</v>
      </c>
      <c r="F31" s="142"/>
      <c r="G31" s="186">
        <f>0.5*G12</f>
        <v>20357.567999999999</v>
      </c>
      <c r="H31" s="142"/>
      <c r="I31" s="186">
        <f>0.5*I12</f>
        <v>21375.446399999997</v>
      </c>
      <c r="J31" s="142"/>
      <c r="K31" s="186">
        <f>0.5*K12</f>
        <v>12242.301119999998</v>
      </c>
      <c r="L31" s="142"/>
      <c r="M31" s="186">
        <f>0.5*M12</f>
        <v>10354.946363999998</v>
      </c>
      <c r="N31" s="195"/>
      <c r="O31" s="218">
        <f t="shared" si="0"/>
        <v>76961.941884</v>
      </c>
    </row>
    <row r="32" spans="2:17" x14ac:dyDescent="0.3">
      <c r="B32" s="14"/>
      <c r="C32" s="18" t="s">
        <v>74</v>
      </c>
      <c r="D32" s="142"/>
      <c r="E32" s="186">
        <f>0.5*E13</f>
        <v>6688.3499999999995</v>
      </c>
      <c r="F32" s="142"/>
      <c r="G32" s="186">
        <f>0.5*G13</f>
        <v>9840.284999999998</v>
      </c>
      <c r="H32" s="142"/>
      <c r="I32" s="186">
        <f>0.5*I13</f>
        <v>10553.074875</v>
      </c>
      <c r="J32" s="142"/>
      <c r="K32" s="186">
        <f>0.5*K13</f>
        <v>6676.2548999999999</v>
      </c>
      <c r="L32" s="142"/>
      <c r="M32" s="186">
        <f>0.5*M13</f>
        <v>6085.1281640624993</v>
      </c>
      <c r="N32" s="195"/>
      <c r="O32" s="218">
        <f t="shared" si="0"/>
        <v>39843.092939062502</v>
      </c>
    </row>
    <row r="33" spans="2:17" ht="28.8" x14ac:dyDescent="0.3">
      <c r="B33" s="14"/>
      <c r="C33" s="18" t="s">
        <v>75</v>
      </c>
      <c r="D33" s="142"/>
      <c r="E33" s="186">
        <f>0.5*E14</f>
        <v>1115.9750000000001</v>
      </c>
      <c r="F33" s="142"/>
      <c r="G33" s="186">
        <f>0.5*G14</f>
        <v>3013.1325000000002</v>
      </c>
      <c r="H33" s="142"/>
      <c r="I33" s="186">
        <f>0.5*I14</f>
        <v>3339.5551875000001</v>
      </c>
      <c r="J33" s="142"/>
      <c r="K33" s="186">
        <f>0.5*K14</f>
        <v>0</v>
      </c>
      <c r="L33" s="142"/>
      <c r="M33" s="186">
        <f>0.5*M14</f>
        <v>6201.0266850000007</v>
      </c>
      <c r="N33" s="195"/>
      <c r="O33" s="218">
        <f t="shared" si="0"/>
        <v>13669.689372500001</v>
      </c>
    </row>
    <row r="34" spans="2:17" x14ac:dyDescent="0.3">
      <c r="B34" s="14"/>
      <c r="C34" s="18" t="s">
        <v>76</v>
      </c>
      <c r="D34" s="142"/>
      <c r="E34" s="186">
        <f>0.79*E15</f>
        <v>49625.904000000002</v>
      </c>
      <c r="F34" s="142"/>
      <c r="G34" s="186">
        <f>0.79*G15</f>
        <v>54825.835680000004</v>
      </c>
      <c r="H34" s="142"/>
      <c r="I34" s="186">
        <f>0.79*I15</f>
        <v>57567.127464000005</v>
      </c>
      <c r="J34" s="142"/>
      <c r="K34" s="186">
        <f>0.79*K15</f>
        <v>60445.483837200001</v>
      </c>
      <c r="L34" s="142"/>
      <c r="M34" s="186">
        <f>0.79*M15</f>
        <v>15735.807775800002</v>
      </c>
      <c r="N34" s="195"/>
      <c r="O34" s="218">
        <f t="shared" si="0"/>
        <v>238200.15875700003</v>
      </c>
    </row>
    <row r="35" spans="2:17" x14ac:dyDescent="0.3">
      <c r="B35" s="14"/>
      <c r="C35" s="18" t="s">
        <v>77</v>
      </c>
      <c r="D35" s="142"/>
      <c r="E35" s="186">
        <f>0.69*E16</f>
        <v>34444.247999999992</v>
      </c>
      <c r="F35" s="142"/>
      <c r="G35" s="186">
        <f>0.69*G16</f>
        <v>38053.406159999999</v>
      </c>
      <c r="H35" s="142"/>
      <c r="I35" s="186">
        <f>0.69*I16</f>
        <v>39956.076467999999</v>
      </c>
      <c r="J35" s="142"/>
      <c r="K35" s="186">
        <f>0.69*K16</f>
        <v>41953.880291399997</v>
      </c>
      <c r="L35" s="142"/>
      <c r="M35" s="186">
        <f>0.69*M16</f>
        <v>10921.877927099998</v>
      </c>
      <c r="N35" s="195"/>
      <c r="O35" s="218">
        <f t="shared" si="0"/>
        <v>165329.4888465</v>
      </c>
    </row>
    <row r="36" spans="2:17" x14ac:dyDescent="0.3">
      <c r="B36" s="14"/>
      <c r="C36" s="18" t="s">
        <v>78</v>
      </c>
      <c r="D36" s="142"/>
      <c r="E36" s="186">
        <f>0.84*E17</f>
        <v>10761.66</v>
      </c>
      <c r="F36" s="142"/>
      <c r="G36" s="186">
        <f>0.84*G17</f>
        <v>9642.4473599999983</v>
      </c>
      <c r="H36" s="142"/>
      <c r="I36" s="186">
        <f>0.84*I17</f>
        <v>10124.569727999999</v>
      </c>
      <c r="J36" s="142"/>
      <c r="K36" s="186">
        <f>0.84*K17</f>
        <v>10630.7982144</v>
      </c>
      <c r="L36" s="142"/>
      <c r="M36" s="186">
        <f>0.84*M17</f>
        <v>2616.1729980749997</v>
      </c>
      <c r="N36" s="195"/>
      <c r="O36" s="218">
        <f t="shared" si="0"/>
        <v>43775.648300474997</v>
      </c>
    </row>
    <row r="37" spans="2:17" x14ac:dyDescent="0.3">
      <c r="B37" s="14"/>
      <c r="C37" s="18" t="s">
        <v>79</v>
      </c>
      <c r="D37" s="142"/>
      <c r="E37" s="186">
        <f>0.75*E18</f>
        <v>27528.959999999999</v>
      </c>
      <c r="F37" s="142"/>
      <c r="G37" s="186">
        <f>0.75*G18</f>
        <v>25066.408500000005</v>
      </c>
      <c r="H37" s="142"/>
      <c r="I37" s="186">
        <f>0.75*I18</f>
        <v>23948.582175</v>
      </c>
      <c r="J37" s="142"/>
      <c r="K37" s="186">
        <f>0.75*K18</f>
        <v>25643.952101249997</v>
      </c>
      <c r="L37" s="142"/>
      <c r="M37" s="186">
        <f>0.75*M18</f>
        <v>24573.379343624998</v>
      </c>
      <c r="N37" s="195"/>
      <c r="O37" s="218">
        <f t="shared" si="0"/>
        <v>126761.282119875</v>
      </c>
    </row>
    <row r="38" spans="2:17" ht="28.8" x14ac:dyDescent="0.3">
      <c r="B38" s="14"/>
      <c r="C38" s="18" t="s">
        <v>80</v>
      </c>
      <c r="D38" s="142"/>
      <c r="E38" s="186">
        <f>0.62*E19</f>
        <v>16177.039999999999</v>
      </c>
      <c r="F38" s="142"/>
      <c r="G38" s="186">
        <f>0.62*G19</f>
        <v>16985.892</v>
      </c>
      <c r="H38" s="142"/>
      <c r="I38" s="186">
        <f>0.62*I19</f>
        <v>17835.186600000001</v>
      </c>
      <c r="J38" s="142"/>
      <c r="K38" s="186">
        <f>0.62*K19</f>
        <v>18726.945930000002</v>
      </c>
      <c r="L38" s="142"/>
      <c r="M38" s="186">
        <f>0.62*M19</f>
        <v>19663.293226500002</v>
      </c>
      <c r="N38" s="195"/>
      <c r="O38" s="218">
        <f t="shared" si="0"/>
        <v>89388.357756500001</v>
      </c>
    </row>
    <row r="39" spans="2:17" ht="28.8" x14ac:dyDescent="0.3">
      <c r="B39" s="14"/>
      <c r="C39" s="18" t="s">
        <v>81</v>
      </c>
      <c r="D39" s="238"/>
      <c r="E39" s="186">
        <f>0.65*E20</f>
        <v>65305.266000000003</v>
      </c>
      <c r="F39" s="238"/>
      <c r="G39" s="224">
        <f>0.65*G20</f>
        <v>46196.268300000003</v>
      </c>
      <c r="H39" s="238"/>
      <c r="I39" s="226">
        <f>0.65*I20</f>
        <v>45742.202415</v>
      </c>
      <c r="J39" s="238"/>
      <c r="K39" s="226">
        <f>0.65*K20</f>
        <v>48029.312535750003</v>
      </c>
      <c r="L39" s="238"/>
      <c r="M39" s="224">
        <f>0.65*M20</f>
        <v>58048.720483162506</v>
      </c>
      <c r="O39" s="218">
        <f t="shared" si="0"/>
        <v>263321.76973391254</v>
      </c>
    </row>
    <row r="40" spans="2:17" x14ac:dyDescent="0.3">
      <c r="B40" s="14"/>
      <c r="C40" s="18" t="s">
        <v>82</v>
      </c>
      <c r="D40" s="142"/>
      <c r="E40" s="186">
        <f t="shared" ref="E40:G40" si="1">0.72*E21</f>
        <v>38572.127999999997</v>
      </c>
      <c r="F40" s="142"/>
      <c r="G40" s="186">
        <f t="shared" si="1"/>
        <v>40500.734399999994</v>
      </c>
      <c r="H40" s="142"/>
      <c r="I40" s="186">
        <f t="shared" ref="I40" si="2">0.72*I21</f>
        <v>42525.771119999998</v>
      </c>
      <c r="J40" s="142"/>
      <c r="K40" s="186">
        <f t="shared" ref="K40" si="3">0.72*K21</f>
        <v>44652.059675999997</v>
      </c>
      <c r="L40" s="142"/>
      <c r="M40" s="186">
        <f t="shared" ref="M40" si="4">0.72*M21</f>
        <v>46884.6626598</v>
      </c>
      <c r="N40" s="195"/>
      <c r="O40" s="218">
        <f t="shared" si="0"/>
        <v>213135.35585579998</v>
      </c>
    </row>
    <row r="41" spans="2:17" x14ac:dyDescent="0.3">
      <c r="B41" s="14"/>
      <c r="C41" s="18" t="s">
        <v>83</v>
      </c>
      <c r="D41" s="142"/>
      <c r="E41" s="186">
        <f>0.76*E22</f>
        <v>1362.9840000000002</v>
      </c>
      <c r="F41" s="142"/>
      <c r="G41" s="186">
        <f>0.76*G22</f>
        <v>1431.1332</v>
      </c>
      <c r="H41" s="142"/>
      <c r="I41" s="186">
        <f>0.76*I22</f>
        <v>1502.68986</v>
      </c>
      <c r="J41" s="142"/>
      <c r="K41" s="186">
        <f>0.76*K22</f>
        <v>1577.824353</v>
      </c>
      <c r="L41" s="142"/>
      <c r="M41" s="186">
        <f>0.76*M22</f>
        <v>1656.7155706500002</v>
      </c>
      <c r="N41" s="195"/>
      <c r="O41" s="218">
        <f t="shared" si="0"/>
        <v>7531.3469836500008</v>
      </c>
    </row>
    <row r="42" spans="2:17" ht="28.8" x14ac:dyDescent="0.3">
      <c r="B42" s="14"/>
      <c r="C42" s="18" t="s">
        <v>84</v>
      </c>
      <c r="D42" s="142"/>
      <c r="E42" s="186">
        <f>0.75*E23</f>
        <v>0</v>
      </c>
      <c r="F42" s="142"/>
      <c r="G42" s="186">
        <f>0.75*G23</f>
        <v>0</v>
      </c>
      <c r="H42" s="142"/>
      <c r="I42" s="186">
        <f>0.75*I23</f>
        <v>0</v>
      </c>
      <c r="J42" s="142"/>
      <c r="K42" s="186">
        <f>0.75*K23</f>
        <v>13070.946459375</v>
      </c>
      <c r="L42" s="142"/>
      <c r="M42" s="186">
        <f>0.75*M23</f>
        <v>13724.493782343749</v>
      </c>
      <c r="N42" s="195"/>
      <c r="O42" s="218">
        <f t="shared" si="0"/>
        <v>26795.440241718748</v>
      </c>
    </row>
    <row r="43" spans="2:17" x14ac:dyDescent="0.3">
      <c r="B43" s="14"/>
      <c r="C43" s="18" t="s">
        <v>85</v>
      </c>
      <c r="D43" s="142"/>
      <c r="E43" s="186">
        <f>0.75*E24</f>
        <v>0</v>
      </c>
      <c r="F43" s="142"/>
      <c r="G43" s="186">
        <f>0.75*G24</f>
        <v>0</v>
      </c>
      <c r="H43" s="142"/>
      <c r="I43" s="186">
        <f>0.75*I24</f>
        <v>0</v>
      </c>
      <c r="J43" s="142"/>
      <c r="K43" s="186">
        <f>0.75*K24</f>
        <v>0</v>
      </c>
      <c r="L43" s="142"/>
      <c r="M43" s="186">
        <f>0.75*M24</f>
        <v>202.89</v>
      </c>
      <c r="N43" s="195"/>
      <c r="O43" s="218">
        <f t="shared" si="0"/>
        <v>202.89</v>
      </c>
      <c r="Q43" s="253"/>
    </row>
    <row r="44" spans="2:17" x14ac:dyDescent="0.3">
      <c r="B44" s="14"/>
      <c r="C44" s="7" t="s">
        <v>12</v>
      </c>
      <c r="D44" s="237"/>
      <c r="E44" s="220">
        <f>SUM(E26:E43)</f>
        <v>460212.88299999997</v>
      </c>
      <c r="F44" s="237"/>
      <c r="G44" s="220">
        <f>SUM(G26:G43)</f>
        <v>320899.27590000001</v>
      </c>
      <c r="H44" s="237"/>
      <c r="I44" s="220">
        <f>SUM(I26:I43)</f>
        <v>390980.71829250001</v>
      </c>
      <c r="J44" s="237"/>
      <c r="K44" s="220">
        <f>SUM(K26:K43)</f>
        <v>404894.25280237495</v>
      </c>
      <c r="L44" s="237"/>
      <c r="M44" s="220">
        <f>SUM(M26:M43)</f>
        <v>216669.11498011879</v>
      </c>
      <c r="N44" s="195"/>
      <c r="O44" s="220">
        <f>SUM(E44,G44,I44,K44,M44)</f>
        <v>1793656.2449749939</v>
      </c>
    </row>
    <row r="45" spans="2:17" x14ac:dyDescent="0.3">
      <c r="B45" s="14"/>
      <c r="C45" s="10" t="s">
        <v>33</v>
      </c>
      <c r="D45" s="142"/>
      <c r="E45" s="218"/>
      <c r="F45" s="142"/>
      <c r="G45" s="218"/>
      <c r="H45" s="142"/>
      <c r="I45" s="218"/>
      <c r="J45" s="142"/>
      <c r="K45" s="218"/>
      <c r="L45" s="142"/>
      <c r="M45" s="218"/>
      <c r="N45" s="195"/>
      <c r="O45" s="218">
        <f t="shared" si="0"/>
        <v>0</v>
      </c>
    </row>
    <row r="46" spans="2:17" x14ac:dyDescent="0.3">
      <c r="B46" s="14"/>
      <c r="C46" s="16"/>
      <c r="D46" s="142"/>
      <c r="E46" s="218">
        <v>0</v>
      </c>
      <c r="F46" s="142"/>
      <c r="G46" s="218">
        <v>0</v>
      </c>
      <c r="H46" s="142"/>
      <c r="I46" s="218">
        <v>0</v>
      </c>
      <c r="J46" s="142"/>
      <c r="K46" s="218">
        <v>0</v>
      </c>
      <c r="L46" s="142"/>
      <c r="M46" s="218">
        <v>0</v>
      </c>
      <c r="N46" s="195"/>
      <c r="O46" s="218">
        <f t="shared" si="0"/>
        <v>0</v>
      </c>
    </row>
    <row r="47" spans="2:17" x14ac:dyDescent="0.3">
      <c r="B47" s="14"/>
      <c r="C47" s="7" t="s">
        <v>13</v>
      </c>
      <c r="D47" s="237"/>
      <c r="E47" s="220">
        <f>SUM(E46:E46)</f>
        <v>0</v>
      </c>
      <c r="F47" s="237"/>
      <c r="G47" s="220">
        <f>SUM(G46:G46)</f>
        <v>0</v>
      </c>
      <c r="H47" s="237"/>
      <c r="I47" s="220">
        <f>SUM(I46:I46)</f>
        <v>0</v>
      </c>
      <c r="J47" s="237"/>
      <c r="K47" s="220">
        <f>SUM(K46:K46)</f>
        <v>0</v>
      </c>
      <c r="L47" s="237"/>
      <c r="M47" s="220">
        <f>SUM(M46:M46)</f>
        <v>0</v>
      </c>
      <c r="N47" s="195"/>
      <c r="O47" s="220">
        <f t="shared" si="0"/>
        <v>0</v>
      </c>
    </row>
    <row r="48" spans="2:17" x14ac:dyDescent="0.3">
      <c r="B48" s="14"/>
      <c r="C48" s="10" t="s">
        <v>34</v>
      </c>
      <c r="D48" s="142"/>
      <c r="E48" s="218"/>
      <c r="F48" s="142"/>
      <c r="G48" s="218"/>
      <c r="H48" s="142"/>
      <c r="I48" s="218"/>
      <c r="J48" s="142"/>
      <c r="K48" s="218"/>
      <c r="L48" s="142"/>
      <c r="M48" s="218"/>
      <c r="N48" s="195"/>
      <c r="O48" s="218">
        <f t="shared" si="0"/>
        <v>0</v>
      </c>
    </row>
    <row r="49" spans="2:16" ht="28.8" x14ac:dyDescent="0.3">
      <c r="B49" s="14"/>
      <c r="C49" s="18" t="s">
        <v>86</v>
      </c>
      <c r="D49" s="142"/>
      <c r="E49" s="218">
        <v>1615000</v>
      </c>
      <c r="F49" s="142"/>
      <c r="G49" s="218"/>
      <c r="H49" s="142"/>
      <c r="I49" s="218"/>
      <c r="J49" s="142"/>
      <c r="K49" s="218"/>
      <c r="L49" s="142"/>
      <c r="M49" s="218"/>
      <c r="N49" s="195"/>
      <c r="O49" s="218">
        <f t="shared" si="0"/>
        <v>1615000</v>
      </c>
    </row>
    <row r="50" spans="2:16" ht="28.8" x14ac:dyDescent="0.3">
      <c r="B50" s="14"/>
      <c r="C50" s="18" t="s">
        <v>87</v>
      </c>
      <c r="D50" s="142"/>
      <c r="E50" s="218">
        <v>2135000</v>
      </c>
      <c r="F50" s="142"/>
      <c r="G50" s="218"/>
      <c r="H50" s="142"/>
      <c r="I50" s="218"/>
      <c r="J50" s="142"/>
      <c r="K50" s="218"/>
      <c r="L50" s="142"/>
      <c r="M50" s="218"/>
      <c r="N50" s="195"/>
      <c r="O50" s="218">
        <f t="shared" si="0"/>
        <v>2135000</v>
      </c>
    </row>
    <row r="51" spans="2:16" ht="28.8" x14ac:dyDescent="0.3">
      <c r="B51" s="14"/>
      <c r="C51" s="18" t="s">
        <v>88</v>
      </c>
      <c r="D51" s="142"/>
      <c r="E51" s="218">
        <v>444425</v>
      </c>
      <c r="F51" s="142"/>
      <c r="G51" s="218"/>
      <c r="H51" s="142"/>
      <c r="I51" s="218"/>
      <c r="J51" s="142"/>
      <c r="K51" s="218"/>
      <c r="L51" s="142"/>
      <c r="M51" s="218"/>
      <c r="N51" s="195"/>
      <c r="O51" s="218">
        <f t="shared" si="0"/>
        <v>444425</v>
      </c>
    </row>
    <row r="52" spans="2:16" ht="28.8" x14ac:dyDescent="0.3">
      <c r="B52" s="14"/>
      <c r="C52" s="18" t="s">
        <v>89</v>
      </c>
      <c r="D52" s="142"/>
      <c r="E52" s="218"/>
      <c r="F52" s="142"/>
      <c r="G52" s="218"/>
      <c r="H52" s="142"/>
      <c r="I52" s="218"/>
      <c r="J52" s="142"/>
      <c r="K52" s="218">
        <v>444425</v>
      </c>
      <c r="L52" s="142"/>
      <c r="M52" s="218"/>
      <c r="N52" s="195"/>
      <c r="O52" s="218">
        <f t="shared" si="0"/>
        <v>444425</v>
      </c>
    </row>
    <row r="53" spans="2:16" ht="28.8" x14ac:dyDescent="0.3">
      <c r="B53" s="14"/>
      <c r="C53" s="18" t="s">
        <v>90</v>
      </c>
      <c r="D53" s="142"/>
      <c r="E53" s="218"/>
      <c r="F53" s="142"/>
      <c r="G53" s="218"/>
      <c r="H53" s="142"/>
      <c r="I53" s="218"/>
      <c r="J53" s="142"/>
      <c r="K53" s="218">
        <v>444425</v>
      </c>
      <c r="L53" s="142"/>
      <c r="M53" s="218"/>
      <c r="N53" s="195"/>
      <c r="O53" s="218">
        <f t="shared" si="0"/>
        <v>444425</v>
      </c>
    </row>
    <row r="54" spans="2:16" ht="28.8" x14ac:dyDescent="0.3">
      <c r="B54" s="14"/>
      <c r="C54" s="18" t="s">
        <v>91</v>
      </c>
      <c r="D54" s="142"/>
      <c r="E54" s="218"/>
      <c r="F54" s="142"/>
      <c r="G54" s="218">
        <v>2000000</v>
      </c>
      <c r="H54" s="142"/>
      <c r="I54" s="218"/>
      <c r="J54" s="142"/>
      <c r="K54" s="218"/>
      <c r="L54" s="142"/>
      <c r="M54" s="218"/>
      <c r="N54" s="195"/>
      <c r="O54" s="218">
        <f t="shared" si="0"/>
        <v>2000000</v>
      </c>
    </row>
    <row r="55" spans="2:16" x14ac:dyDescent="0.3">
      <c r="B55" s="14"/>
      <c r="C55" s="18" t="s">
        <v>92</v>
      </c>
      <c r="D55" s="142"/>
      <c r="E55" s="218"/>
      <c r="F55" s="142"/>
      <c r="G55" s="218">
        <v>1000000</v>
      </c>
      <c r="H55" s="142"/>
      <c r="I55" s="218"/>
      <c r="J55" s="142"/>
      <c r="K55" s="218"/>
      <c r="L55" s="142"/>
      <c r="M55" s="218"/>
      <c r="N55" s="195"/>
      <c r="O55" s="218">
        <f t="shared" si="0"/>
        <v>1000000</v>
      </c>
    </row>
    <row r="56" spans="2:16" ht="43.2" x14ac:dyDescent="0.3">
      <c r="B56" s="14" t="s">
        <v>35</v>
      </c>
      <c r="C56" s="18" t="s">
        <v>93</v>
      </c>
      <c r="D56" s="142"/>
      <c r="E56" s="218">
        <v>39952</v>
      </c>
      <c r="F56" s="142"/>
      <c r="G56" s="218">
        <v>45763.199999999997</v>
      </c>
      <c r="H56" s="142"/>
      <c r="I56" s="218">
        <v>48051.360000000001</v>
      </c>
      <c r="J56" s="142"/>
      <c r="K56" s="218">
        <v>50453.928</v>
      </c>
      <c r="L56" s="142"/>
      <c r="M56" s="218">
        <v>13244.156099999998</v>
      </c>
      <c r="N56" s="195"/>
      <c r="O56" s="218">
        <f>SUM(E56,G56,I56,K56,M56)</f>
        <v>197464.6441</v>
      </c>
    </row>
    <row r="57" spans="2:16" x14ac:dyDescent="0.3">
      <c r="B57" s="14"/>
      <c r="C57" s="7" t="s">
        <v>14</v>
      </c>
      <c r="D57" s="239"/>
      <c r="E57" s="221">
        <f>SUM(E48:E56)</f>
        <v>4234377</v>
      </c>
      <c r="F57" s="239"/>
      <c r="G57" s="221">
        <f>SUM(G49:G56)</f>
        <v>3045763.2</v>
      </c>
      <c r="H57" s="239"/>
      <c r="I57" s="221">
        <f>SUM(I49:I56)</f>
        <v>48051.360000000001</v>
      </c>
      <c r="J57" s="239"/>
      <c r="K57" s="221">
        <f>SUM(K49:K56)</f>
        <v>939303.92799999996</v>
      </c>
      <c r="L57" s="239"/>
      <c r="M57" s="221">
        <f>SUM(M49:M56)</f>
        <v>13244.156099999998</v>
      </c>
      <c r="N57" s="195"/>
      <c r="O57" s="220">
        <f>SUM(E57,G57,I57,K57,M57)</f>
        <v>8280739.6441000011</v>
      </c>
      <c r="P57" s="252"/>
    </row>
    <row r="58" spans="2:16" x14ac:dyDescent="0.3">
      <c r="B58" s="14"/>
      <c r="C58" s="10" t="s">
        <v>36</v>
      </c>
      <c r="D58" s="142"/>
      <c r="E58" s="218" t="s">
        <v>31</v>
      </c>
      <c r="F58" s="142"/>
      <c r="G58" s="218"/>
      <c r="H58" s="142"/>
      <c r="I58" s="218"/>
      <c r="J58" s="142"/>
      <c r="K58" s="218"/>
      <c r="L58" s="142"/>
      <c r="M58" s="218"/>
      <c r="N58" s="195"/>
      <c r="O58" s="218">
        <f t="shared" si="0"/>
        <v>0</v>
      </c>
    </row>
    <row r="59" spans="2:16" x14ac:dyDescent="0.3">
      <c r="B59" s="14"/>
      <c r="C59" s="18" t="s">
        <v>256</v>
      </c>
      <c r="D59" s="142"/>
      <c r="E59" s="218"/>
      <c r="F59" s="142"/>
      <c r="G59" s="218"/>
      <c r="H59" s="142"/>
      <c r="I59" s="218"/>
      <c r="J59" s="142"/>
      <c r="K59" s="218"/>
      <c r="L59" s="142">
        <v>2</v>
      </c>
      <c r="M59" s="218">
        <f>1200*L59</f>
        <v>2400</v>
      </c>
      <c r="N59" s="195"/>
      <c r="O59" s="218">
        <f t="shared" si="0"/>
        <v>2400</v>
      </c>
    </row>
    <row r="60" spans="2:16" x14ac:dyDescent="0.3">
      <c r="B60" s="14"/>
      <c r="C60" s="18" t="s">
        <v>250</v>
      </c>
      <c r="D60" s="142"/>
      <c r="E60" s="218"/>
      <c r="F60" s="142"/>
      <c r="G60" s="218"/>
      <c r="H60" s="142"/>
      <c r="I60" s="218"/>
      <c r="J60" s="142"/>
      <c r="K60" s="218"/>
      <c r="L60" s="142">
        <v>2</v>
      </c>
      <c r="M60" s="218">
        <f>1200*L60</f>
        <v>2400</v>
      </c>
      <c r="N60" s="195"/>
      <c r="O60" s="218">
        <f t="shared" si="0"/>
        <v>2400</v>
      </c>
    </row>
    <row r="61" spans="2:16" ht="28.8" x14ac:dyDescent="0.3">
      <c r="B61" s="14"/>
      <c r="C61" s="18" t="s">
        <v>251</v>
      </c>
      <c r="D61" s="142"/>
      <c r="E61" s="218"/>
      <c r="F61" s="142"/>
      <c r="G61" s="218"/>
      <c r="H61" s="142"/>
      <c r="I61" s="218"/>
      <c r="J61" s="142"/>
      <c r="K61" s="218"/>
      <c r="L61" s="142">
        <v>2</v>
      </c>
      <c r="M61" s="218">
        <f>1200*L61</f>
        <v>2400</v>
      </c>
      <c r="N61" s="195"/>
      <c r="O61" s="218">
        <f t="shared" si="0"/>
        <v>2400</v>
      </c>
    </row>
    <row r="62" spans="2:16" x14ac:dyDescent="0.3">
      <c r="B62" s="14"/>
      <c r="C62" s="54" t="s">
        <v>252</v>
      </c>
      <c r="D62" s="142"/>
      <c r="E62" s="218"/>
      <c r="F62" s="142"/>
      <c r="G62" s="218"/>
      <c r="H62" s="142"/>
      <c r="I62" s="218"/>
      <c r="J62" s="142"/>
      <c r="K62" s="218"/>
      <c r="L62" s="142">
        <v>2</v>
      </c>
      <c r="M62" s="218">
        <f>1200*L62</f>
        <v>2400</v>
      </c>
      <c r="N62" s="195"/>
      <c r="O62" s="218">
        <f t="shared" si="0"/>
        <v>2400</v>
      </c>
    </row>
    <row r="63" spans="2:16" x14ac:dyDescent="0.3">
      <c r="B63" s="14"/>
      <c r="C63" s="7" t="s">
        <v>15</v>
      </c>
      <c r="D63" s="237"/>
      <c r="E63" s="220">
        <f>SUM(E59:E62)</f>
        <v>0</v>
      </c>
      <c r="F63" s="237"/>
      <c r="G63" s="220">
        <f>SUM(G59:G62)</f>
        <v>0</v>
      </c>
      <c r="H63" s="237"/>
      <c r="I63" s="220">
        <f>SUM(I59:I62)</f>
        <v>0</v>
      </c>
      <c r="J63" s="237"/>
      <c r="K63" s="220">
        <f>SUM(K59:K62)</f>
        <v>0</v>
      </c>
      <c r="L63" s="237"/>
      <c r="M63" s="220">
        <f>SUM(M59:M62)</f>
        <v>9600</v>
      </c>
      <c r="N63" s="195"/>
      <c r="O63" s="220">
        <f>SUM(E63,G63,I63,K63,M63)</f>
        <v>9600</v>
      </c>
    </row>
    <row r="64" spans="2:16" x14ac:dyDescent="0.3">
      <c r="B64" s="14"/>
      <c r="C64" s="10" t="s">
        <v>37</v>
      </c>
      <c r="D64" s="243" t="s">
        <v>236</v>
      </c>
      <c r="E64" s="218" t="s">
        <v>237</v>
      </c>
      <c r="F64" s="243" t="s">
        <v>236</v>
      </c>
      <c r="G64" s="218" t="s">
        <v>237</v>
      </c>
      <c r="H64" s="243" t="s">
        <v>236</v>
      </c>
      <c r="I64" s="218" t="s">
        <v>237</v>
      </c>
      <c r="J64" s="243" t="s">
        <v>236</v>
      </c>
      <c r="K64" s="218" t="s">
        <v>237</v>
      </c>
      <c r="L64" s="243" t="s">
        <v>236</v>
      </c>
      <c r="M64" s="218" t="s">
        <v>237</v>
      </c>
      <c r="N64" s="195"/>
      <c r="O64" s="218">
        <f t="shared" si="0"/>
        <v>0</v>
      </c>
    </row>
    <row r="65" spans="2:18" ht="28.8" x14ac:dyDescent="0.3">
      <c r="B65" s="14"/>
      <c r="C65" s="18" t="s">
        <v>94</v>
      </c>
      <c r="D65" s="142">
        <v>1</v>
      </c>
      <c r="E65" s="218">
        <v>250000</v>
      </c>
      <c r="F65" s="142"/>
      <c r="G65" s="218"/>
      <c r="H65" s="142">
        <v>2</v>
      </c>
      <c r="I65" s="218">
        <v>500000</v>
      </c>
      <c r="J65" s="142"/>
      <c r="K65" s="218"/>
      <c r="L65" s="142"/>
      <c r="M65" s="218"/>
      <c r="N65" s="195"/>
      <c r="O65" s="218">
        <f t="shared" si="0"/>
        <v>750000</v>
      </c>
    </row>
    <row r="66" spans="2:18" ht="31.2" customHeight="1" x14ac:dyDescent="0.3">
      <c r="B66" s="14"/>
      <c r="C66" s="18" t="s">
        <v>95</v>
      </c>
      <c r="D66" s="142">
        <v>3</v>
      </c>
      <c r="E66" s="218">
        <v>4194425</v>
      </c>
      <c r="F66" s="142">
        <v>1</v>
      </c>
      <c r="G66" s="218">
        <v>2000000</v>
      </c>
      <c r="H66" s="142"/>
      <c r="I66" s="218"/>
      <c r="J66" s="142">
        <v>2</v>
      </c>
      <c r="K66" s="218">
        <v>888850</v>
      </c>
      <c r="L66" s="142"/>
      <c r="M66" s="218"/>
      <c r="N66" s="195"/>
      <c r="O66" s="218">
        <f t="shared" si="0"/>
        <v>7083275</v>
      </c>
      <c r="Q66" s="252"/>
    </row>
    <row r="67" spans="2:18" ht="58.8" customHeight="1" x14ac:dyDescent="0.3">
      <c r="B67" s="14"/>
      <c r="C67" s="18" t="s">
        <v>238</v>
      </c>
      <c r="D67" s="142">
        <v>12</v>
      </c>
      <c r="E67" s="218">
        <f>100*D67</f>
        <v>1200</v>
      </c>
      <c r="F67" s="142">
        <v>12</v>
      </c>
      <c r="G67" s="218">
        <f>(E67*0.05)+E67</f>
        <v>1260</v>
      </c>
      <c r="H67" s="142">
        <v>12</v>
      </c>
      <c r="I67" s="218">
        <f>(G67*0.05)+G67</f>
        <v>1323</v>
      </c>
      <c r="J67" s="142">
        <v>12</v>
      </c>
      <c r="K67" s="218">
        <f>(I67*0.05)+I67</f>
        <v>1389.15</v>
      </c>
      <c r="L67" s="142">
        <v>12</v>
      </c>
      <c r="M67" s="218">
        <f>(K67*0.05)+K67</f>
        <v>1458.6075000000001</v>
      </c>
      <c r="N67" s="195"/>
      <c r="O67" s="218">
        <f t="shared" si="0"/>
        <v>6630.7574999999997</v>
      </c>
    </row>
    <row r="68" spans="2:18" ht="43.2" x14ac:dyDescent="0.3">
      <c r="B68" s="14"/>
      <c r="C68" s="18" t="s">
        <v>239</v>
      </c>
      <c r="D68" s="142">
        <v>18</v>
      </c>
      <c r="E68" s="218">
        <f>100*D68</f>
        <v>1800</v>
      </c>
      <c r="F68" s="142"/>
      <c r="G68" s="218">
        <f>(E68*0.05)+E68</f>
        <v>1890</v>
      </c>
      <c r="H68" s="142"/>
      <c r="I68" s="218">
        <f>(G68*0.05)+G68</f>
        <v>1984.5</v>
      </c>
      <c r="J68" s="142"/>
      <c r="K68" s="218">
        <f>(I68*0.05)+I68</f>
        <v>2083.7249999999999</v>
      </c>
      <c r="L68" s="142"/>
      <c r="M68" s="218">
        <f>(K68*0.05)+K68</f>
        <v>2187.9112500000001</v>
      </c>
      <c r="N68" s="195"/>
      <c r="O68" s="218">
        <f t="shared" si="0"/>
        <v>9946.1362499999996</v>
      </c>
      <c r="P68" s="254"/>
      <c r="Q68" s="254"/>
      <c r="R68" s="254"/>
    </row>
    <row r="69" spans="2:18" ht="43.2" x14ac:dyDescent="0.3">
      <c r="B69" s="14"/>
      <c r="C69" s="18" t="s">
        <v>240</v>
      </c>
      <c r="D69" s="142">
        <v>6</v>
      </c>
      <c r="E69" s="218">
        <f>D69*210</f>
        <v>1260</v>
      </c>
      <c r="F69" s="142"/>
      <c r="G69" s="218">
        <f>(E69*0.05)+E69</f>
        <v>1323</v>
      </c>
      <c r="H69" s="142"/>
      <c r="I69" s="218">
        <f>(G69*0.05)+G69</f>
        <v>1389.15</v>
      </c>
      <c r="J69" s="142"/>
      <c r="K69" s="218">
        <f>(I69*0.05)+I69</f>
        <v>1458.6075000000001</v>
      </c>
      <c r="L69" s="142"/>
      <c r="M69" s="218">
        <f>(K69*0.05)+K69</f>
        <v>1531.537875</v>
      </c>
      <c r="N69" s="195"/>
      <c r="O69" s="218">
        <f>SUM(E69,G69,I69,K69,M69)</f>
        <v>6962.2953749999997</v>
      </c>
      <c r="P69" s="254"/>
      <c r="Q69" s="254"/>
      <c r="R69" s="254"/>
    </row>
    <row r="70" spans="2:18" ht="42" customHeight="1" x14ac:dyDescent="0.3">
      <c r="B70" s="14"/>
      <c r="C70" s="18" t="s">
        <v>241</v>
      </c>
      <c r="D70" s="142">
        <v>6</v>
      </c>
      <c r="E70" s="218">
        <f>D70*350</f>
        <v>2100</v>
      </c>
      <c r="F70" s="142"/>
      <c r="G70" s="218">
        <f t="shared" ref="G70:G72" si="5">(E70*0.05)+E70</f>
        <v>2205</v>
      </c>
      <c r="H70" s="142"/>
      <c r="I70" s="218">
        <f t="shared" ref="I70:I72" si="6">(G70*0.05)+G70</f>
        <v>2315.25</v>
      </c>
      <c r="J70" s="142"/>
      <c r="K70" s="218">
        <f t="shared" ref="K70:K72" si="7">(I70*0.05)+I70</f>
        <v>2431.0124999999998</v>
      </c>
      <c r="L70" s="142"/>
      <c r="M70" s="218">
        <f t="shared" ref="M70:M72" si="8">(K70*0.05)+K70</f>
        <v>2552.5631249999997</v>
      </c>
      <c r="N70" s="195"/>
      <c r="O70" s="218">
        <f>SUM(E70,G70,I70,K70,M70)</f>
        <v>11603.825625000001</v>
      </c>
      <c r="P70" s="254"/>
      <c r="Q70" s="254"/>
      <c r="R70" s="254"/>
    </row>
    <row r="71" spans="2:18" ht="43.2" x14ac:dyDescent="0.3">
      <c r="B71" s="14"/>
      <c r="C71" s="18" t="s">
        <v>242</v>
      </c>
      <c r="D71" s="142">
        <v>6</v>
      </c>
      <c r="E71" s="218">
        <f>D71*350</f>
        <v>2100</v>
      </c>
      <c r="F71" s="142"/>
      <c r="G71" s="218">
        <f t="shared" si="5"/>
        <v>2205</v>
      </c>
      <c r="H71" s="142"/>
      <c r="I71" s="218">
        <f t="shared" si="6"/>
        <v>2315.25</v>
      </c>
      <c r="J71" s="142"/>
      <c r="K71" s="218">
        <f t="shared" si="7"/>
        <v>2431.0124999999998</v>
      </c>
      <c r="L71" s="142"/>
      <c r="M71" s="218">
        <f t="shared" si="8"/>
        <v>2552.5631249999997</v>
      </c>
      <c r="N71" s="195"/>
      <c r="O71" s="218">
        <f t="shared" si="0"/>
        <v>11603.825625000001</v>
      </c>
      <c r="P71" s="254"/>
      <c r="Q71" s="254"/>
      <c r="R71" s="254"/>
    </row>
    <row r="72" spans="2:18" ht="43.2" x14ac:dyDescent="0.3">
      <c r="B72" s="14"/>
      <c r="C72" s="18" t="s">
        <v>243</v>
      </c>
      <c r="D72" s="142">
        <v>30</v>
      </c>
      <c r="E72" s="218">
        <f>D72*100</f>
        <v>3000</v>
      </c>
      <c r="F72" s="142"/>
      <c r="G72" s="218">
        <f t="shared" si="5"/>
        <v>3150</v>
      </c>
      <c r="H72" s="142"/>
      <c r="I72" s="218">
        <f t="shared" si="6"/>
        <v>3307.5</v>
      </c>
      <c r="J72" s="142"/>
      <c r="K72" s="218">
        <f t="shared" si="7"/>
        <v>3472.875</v>
      </c>
      <c r="L72" s="142"/>
      <c r="M72" s="218">
        <f t="shared" si="8"/>
        <v>3646.5187500000002</v>
      </c>
      <c r="N72" s="195"/>
      <c r="O72" s="218">
        <f t="shared" si="0"/>
        <v>16576.893749999999</v>
      </c>
      <c r="P72" s="254"/>
      <c r="Q72" s="255"/>
      <c r="R72" s="254"/>
    </row>
    <row r="73" spans="2:18" x14ac:dyDescent="0.3">
      <c r="B73" s="14"/>
      <c r="C73" s="18" t="s">
        <v>244</v>
      </c>
      <c r="D73" s="142"/>
      <c r="E73" s="218"/>
      <c r="F73" s="142"/>
      <c r="G73" s="218"/>
      <c r="H73" s="142"/>
      <c r="I73" s="218"/>
      <c r="J73" s="142">
        <v>2</v>
      </c>
      <c r="K73" s="218">
        <f>7333*J73</f>
        <v>14666</v>
      </c>
      <c r="L73" s="142">
        <v>2</v>
      </c>
      <c r="M73" s="218">
        <f>14400*L73</f>
        <v>28800</v>
      </c>
      <c r="N73" s="195"/>
      <c r="O73" s="218">
        <f t="shared" si="0"/>
        <v>43466</v>
      </c>
      <c r="P73" s="254"/>
      <c r="Q73" s="254"/>
      <c r="R73" s="254"/>
    </row>
    <row r="74" spans="2:18" ht="28.8" x14ac:dyDescent="0.3">
      <c r="B74" s="14"/>
      <c r="C74" s="18" t="s">
        <v>245</v>
      </c>
      <c r="D74" s="142"/>
      <c r="E74" s="218"/>
      <c r="F74" s="142"/>
      <c r="G74" s="218"/>
      <c r="H74" s="142"/>
      <c r="I74" s="218"/>
      <c r="J74" s="142">
        <v>2</v>
      </c>
      <c r="K74" s="218">
        <f>16667*J74</f>
        <v>33334</v>
      </c>
      <c r="L74" s="142">
        <v>2</v>
      </c>
      <c r="M74" s="218">
        <f>10000*L74</f>
        <v>20000</v>
      </c>
      <c r="N74" s="195"/>
      <c r="O74" s="218">
        <f t="shared" si="0"/>
        <v>53334</v>
      </c>
      <c r="P74" s="254"/>
      <c r="Q74" s="254"/>
      <c r="R74" s="254"/>
    </row>
    <row r="75" spans="2:18" x14ac:dyDescent="0.3">
      <c r="B75" s="14"/>
      <c r="C75" s="18" t="s">
        <v>248</v>
      </c>
      <c r="D75" s="142"/>
      <c r="E75" s="218"/>
      <c r="F75" s="142"/>
      <c r="G75" s="218"/>
      <c r="H75" s="142"/>
      <c r="I75" s="218"/>
      <c r="J75" s="142"/>
      <c r="K75" s="218"/>
      <c r="L75" s="142">
        <v>2</v>
      </c>
      <c r="M75" s="218">
        <f>8000*L75</f>
        <v>16000</v>
      </c>
      <c r="N75" s="195"/>
      <c r="O75" s="218">
        <f t="shared" si="0"/>
        <v>16000</v>
      </c>
      <c r="P75" s="254"/>
      <c r="Q75" s="254"/>
      <c r="R75" s="254"/>
    </row>
    <row r="76" spans="2:18" x14ac:dyDescent="0.3">
      <c r="B76" s="14"/>
      <c r="C76" s="18" t="s">
        <v>246</v>
      </c>
      <c r="D76" s="142"/>
      <c r="E76" s="218"/>
      <c r="F76" s="142"/>
      <c r="G76" s="218"/>
      <c r="H76" s="142"/>
      <c r="I76" s="218"/>
      <c r="J76" s="142">
        <v>2</v>
      </c>
      <c r="K76" s="218">
        <f>8333*J76</f>
        <v>16666</v>
      </c>
      <c r="L76" s="142"/>
      <c r="M76" s="218">
        <f>83333*L76</f>
        <v>0</v>
      </c>
      <c r="N76" s="195"/>
      <c r="O76" s="218">
        <f t="shared" si="0"/>
        <v>16666</v>
      </c>
      <c r="P76" s="254"/>
      <c r="Q76" s="254"/>
      <c r="R76" s="254"/>
    </row>
    <row r="77" spans="2:18" x14ac:dyDescent="0.3">
      <c r="B77" s="14"/>
      <c r="C77" s="18" t="s">
        <v>249</v>
      </c>
      <c r="D77" s="142"/>
      <c r="E77" s="218"/>
      <c r="F77" s="142"/>
      <c r="G77" s="218"/>
      <c r="H77" s="142"/>
      <c r="I77" s="218"/>
      <c r="J77" s="142"/>
      <c r="K77" s="218"/>
      <c r="L77" s="142">
        <v>2</v>
      </c>
      <c r="M77" s="218">
        <f>15000*L77</f>
        <v>30000</v>
      </c>
      <c r="N77" s="195"/>
      <c r="O77" s="218">
        <f t="shared" si="0"/>
        <v>30000</v>
      </c>
      <c r="P77" s="254"/>
      <c r="Q77" s="254"/>
      <c r="R77" s="254"/>
    </row>
    <row r="78" spans="2:18" ht="28.8" x14ac:dyDescent="0.3">
      <c r="B78" s="14"/>
      <c r="C78" s="18" t="s">
        <v>258</v>
      </c>
      <c r="D78" s="142"/>
      <c r="E78" s="218"/>
      <c r="F78" s="142"/>
      <c r="G78" s="218"/>
      <c r="H78" s="142"/>
      <c r="I78" s="218"/>
      <c r="J78" s="142">
        <v>2</v>
      </c>
      <c r="K78" s="218">
        <f>J78*10000</f>
        <v>20000</v>
      </c>
      <c r="L78" s="142">
        <v>2</v>
      </c>
      <c r="M78" s="218">
        <f>L78*10000</f>
        <v>20000</v>
      </c>
      <c r="N78" s="195"/>
      <c r="O78" s="218">
        <f t="shared" si="0"/>
        <v>40000</v>
      </c>
      <c r="P78" s="254"/>
      <c r="Q78" s="254"/>
      <c r="R78" s="254"/>
    </row>
    <row r="79" spans="2:18" x14ac:dyDescent="0.3">
      <c r="B79" s="14"/>
      <c r="C79" s="18" t="s">
        <v>257</v>
      </c>
      <c r="D79" s="142"/>
      <c r="E79" s="218"/>
      <c r="F79" s="142"/>
      <c r="G79" s="218"/>
      <c r="H79" s="142"/>
      <c r="I79" s="218"/>
      <c r="J79" s="142"/>
      <c r="K79" s="218"/>
      <c r="L79" s="142">
        <v>2</v>
      </c>
      <c r="M79" s="218">
        <v>1000</v>
      </c>
      <c r="N79" s="195"/>
      <c r="O79" s="218">
        <f t="shared" si="0"/>
        <v>1000</v>
      </c>
      <c r="P79" s="254"/>
      <c r="Q79" s="254"/>
      <c r="R79" s="254"/>
    </row>
    <row r="80" spans="2:18" x14ac:dyDescent="0.3">
      <c r="B80" s="14"/>
      <c r="C80" s="18" t="s">
        <v>247</v>
      </c>
      <c r="D80" s="142"/>
      <c r="E80" s="218"/>
      <c r="F80" s="142"/>
      <c r="G80" s="218"/>
      <c r="H80" s="142"/>
      <c r="I80" s="218"/>
      <c r="J80" s="142"/>
      <c r="K80" s="218"/>
      <c r="L80" s="142">
        <v>2</v>
      </c>
      <c r="M80" s="218">
        <v>1500</v>
      </c>
      <c r="N80" s="195"/>
      <c r="O80" s="218">
        <f t="shared" si="0"/>
        <v>1500</v>
      </c>
      <c r="P80" s="254"/>
      <c r="Q80" s="255"/>
      <c r="R80" s="254"/>
    </row>
    <row r="81" spans="2:18" x14ac:dyDescent="0.3">
      <c r="B81" s="14"/>
      <c r="C81" s="7" t="s">
        <v>16</v>
      </c>
      <c r="D81" s="237"/>
      <c r="E81" s="220">
        <f>SUM(E65:E80)</f>
        <v>4455885</v>
      </c>
      <c r="F81" s="237"/>
      <c r="G81" s="220">
        <f>SUM(G65:G80)</f>
        <v>2012033</v>
      </c>
      <c r="H81" s="237"/>
      <c r="I81" s="220">
        <f>SUM(I65:I80)</f>
        <v>512634.65</v>
      </c>
      <c r="J81" s="237"/>
      <c r="K81" s="220">
        <f>SUM(K65:K80)</f>
        <v>986782.38249999995</v>
      </c>
      <c r="L81" s="237"/>
      <c r="M81" s="220">
        <f>SUM(M65:M80)</f>
        <v>131229.70162499999</v>
      </c>
      <c r="N81" s="195"/>
      <c r="O81" s="220">
        <f>SUM(E81,G81,I81,K81,M81)</f>
        <v>8098564.7341250004</v>
      </c>
      <c r="P81" s="254"/>
      <c r="Q81" s="254"/>
      <c r="R81" s="254"/>
    </row>
    <row r="82" spans="2:18" x14ac:dyDescent="0.3">
      <c r="B82" s="14"/>
      <c r="C82" s="10" t="s">
        <v>38</v>
      </c>
      <c r="D82" s="142"/>
      <c r="E82" s="218" t="s">
        <v>31</v>
      </c>
      <c r="F82" s="142"/>
      <c r="G82" s="218"/>
      <c r="H82" s="142"/>
      <c r="I82" s="218"/>
      <c r="J82" s="142"/>
      <c r="K82" s="218"/>
      <c r="L82" s="142"/>
      <c r="M82" s="218"/>
      <c r="N82" s="195"/>
      <c r="O82" s="218">
        <f t="shared" si="0"/>
        <v>0</v>
      </c>
    </row>
    <row r="83" spans="2:18" ht="28.8" x14ac:dyDescent="0.3">
      <c r="B83" s="14"/>
      <c r="C83" s="18" t="s">
        <v>255</v>
      </c>
      <c r="D83" s="142"/>
      <c r="E83" s="218"/>
      <c r="F83" s="142"/>
      <c r="G83" s="218"/>
      <c r="H83" s="142"/>
      <c r="I83" s="218"/>
      <c r="J83" s="142"/>
      <c r="K83" s="218"/>
      <c r="L83" s="142"/>
      <c r="M83" s="218">
        <v>1500</v>
      </c>
      <c r="N83" s="195"/>
      <c r="O83" s="218">
        <f t="shared" si="0"/>
        <v>1500</v>
      </c>
    </row>
    <row r="84" spans="2:18" x14ac:dyDescent="0.3">
      <c r="B84" s="14"/>
      <c r="C84" s="18" t="s">
        <v>253</v>
      </c>
      <c r="D84" s="142"/>
      <c r="E84" s="218"/>
      <c r="F84" s="142"/>
      <c r="G84" s="218"/>
      <c r="H84" s="142"/>
      <c r="I84" s="218"/>
      <c r="J84" s="142"/>
      <c r="K84" s="218"/>
      <c r="L84" s="142"/>
      <c r="M84" s="218">
        <v>150</v>
      </c>
      <c r="N84" s="195"/>
      <c r="O84" s="218">
        <f t="shared" si="0"/>
        <v>150</v>
      </c>
    </row>
    <row r="85" spans="2:18" x14ac:dyDescent="0.3">
      <c r="B85" s="14"/>
      <c r="C85" s="18" t="s">
        <v>254</v>
      </c>
      <c r="D85" s="142"/>
      <c r="E85" s="218"/>
      <c r="F85" s="142"/>
      <c r="G85" s="218"/>
      <c r="H85" s="142"/>
      <c r="I85" s="218"/>
      <c r="J85" s="142"/>
      <c r="K85" s="218"/>
      <c r="L85" s="142"/>
      <c r="M85" s="218">
        <v>1000</v>
      </c>
      <c r="N85" s="195"/>
      <c r="O85" s="218">
        <f t="shared" si="0"/>
        <v>1000</v>
      </c>
    </row>
    <row r="86" spans="2:18" x14ac:dyDescent="0.3">
      <c r="B86" s="15"/>
      <c r="C86" s="7" t="s">
        <v>17</v>
      </c>
      <c r="D86" s="237"/>
      <c r="E86" s="220">
        <f>SUM(E83:E85)</f>
        <v>0</v>
      </c>
      <c r="F86" s="237"/>
      <c r="G86" s="220">
        <f>SUM(G83:G85)</f>
        <v>0</v>
      </c>
      <c r="H86" s="237"/>
      <c r="I86" s="220">
        <f>SUM(I83:I85)</f>
        <v>0</v>
      </c>
      <c r="J86" s="237"/>
      <c r="K86" s="220">
        <f>SUM(K83:K85)</f>
        <v>0</v>
      </c>
      <c r="L86" s="237"/>
      <c r="M86" s="220">
        <f>SUM(M83:M85)</f>
        <v>2650</v>
      </c>
      <c r="N86" s="195"/>
      <c r="O86" s="220">
        <f t="shared" si="0"/>
        <v>2650</v>
      </c>
    </row>
    <row r="87" spans="2:18" x14ac:dyDescent="0.3">
      <c r="B87" s="15"/>
      <c r="C87" s="7" t="s">
        <v>18</v>
      </c>
      <c r="D87" s="237"/>
      <c r="E87" s="220">
        <f>SUM(E86,E81,E63,E57,E47,E44,E25)</f>
        <v>9796600.7129999995</v>
      </c>
      <c r="F87" s="237"/>
      <c r="G87" s="220">
        <f>SUM(G86,G81,G63,G57,G47,G44,G25)</f>
        <v>5844620.3969000001</v>
      </c>
      <c r="H87" s="237"/>
      <c r="I87" s="220">
        <f>SUM(I86,I81,I63,I57,I47,I44,I25)</f>
        <v>1511549.0497175001</v>
      </c>
      <c r="J87" s="237"/>
      <c r="K87" s="220">
        <f>SUM(K86,K81,K63,K57,K47,K44,K25)</f>
        <v>2900556.303969875</v>
      </c>
      <c r="L87" s="237"/>
      <c r="M87" s="220">
        <f>SUM(M86,M81,M63,M57,M47,M44,M25)</f>
        <v>697189.75907174381</v>
      </c>
      <c r="N87" s="195"/>
      <c r="O87" s="220">
        <f>SUM(E87,G87,I87,K87,M87)</f>
        <v>20750516.222659118</v>
      </c>
    </row>
    <row r="88" spans="2:18" x14ac:dyDescent="0.3">
      <c r="B88" s="4"/>
      <c r="D88" s="240"/>
      <c r="E88" s="222"/>
      <c r="F88" s="240"/>
      <c r="G88" s="222"/>
      <c r="H88" s="240"/>
      <c r="I88" s="222"/>
      <c r="J88" s="240"/>
      <c r="K88" s="222"/>
      <c r="L88" s="240"/>
      <c r="M88" s="222"/>
      <c r="N88" s="195"/>
      <c r="O88" s="218"/>
    </row>
    <row r="89" spans="2:18" ht="28.8" x14ac:dyDescent="0.3">
      <c r="B89" s="43" t="s">
        <v>39</v>
      </c>
      <c r="C89" s="11" t="s">
        <v>39</v>
      </c>
      <c r="D89" s="241"/>
      <c r="E89" s="187"/>
      <c r="F89" s="241"/>
      <c r="G89" s="187"/>
      <c r="H89" s="241"/>
      <c r="I89" s="187"/>
      <c r="J89" s="241"/>
      <c r="K89" s="187"/>
      <c r="L89" s="241"/>
      <c r="M89" s="187"/>
      <c r="N89" s="195"/>
      <c r="O89" s="218">
        <f t="shared" ref="O89:O106" si="9">SUM(E89,G89,I89,K89,M89)</f>
        <v>0</v>
      </c>
    </row>
    <row r="90" spans="2:18" s="49" customFormat="1" x14ac:dyDescent="0.3">
      <c r="B90" s="56"/>
      <c r="C90" s="54" t="s">
        <v>96</v>
      </c>
      <c r="D90" s="142"/>
      <c r="E90" s="187">
        <f t="shared" ref="E90:E105" si="10">(0.6296*E8)</f>
        <v>49311.783040000009</v>
      </c>
      <c r="F90" s="241"/>
      <c r="G90" s="187">
        <f t="shared" ref="G90:M90" si="11">(0.6296*G8)</f>
        <v>13940.061744000002</v>
      </c>
      <c r="H90" s="241"/>
      <c r="I90" s="187">
        <f t="shared" si="11"/>
        <v>33456.148185600003</v>
      </c>
      <c r="J90" s="241"/>
      <c r="K90" s="187">
        <f t="shared" si="11"/>
        <v>30737.836145520007</v>
      </c>
      <c r="L90" s="241"/>
      <c r="M90" s="187">
        <f t="shared" si="11"/>
        <v>0</v>
      </c>
      <c r="N90" s="195"/>
      <c r="O90" s="218">
        <f t="shared" si="9"/>
        <v>127445.82911512002</v>
      </c>
    </row>
    <row r="91" spans="2:18" s="49" customFormat="1" x14ac:dyDescent="0.3">
      <c r="B91" s="56"/>
      <c r="C91" s="54" t="s">
        <v>97</v>
      </c>
      <c r="D91" s="142"/>
      <c r="E91" s="187">
        <f t="shared" si="10"/>
        <v>51659.435519999999</v>
      </c>
      <c r="F91" s="241"/>
      <c r="G91" s="187">
        <f t="shared" ref="G91:G104" si="12">(0.6296*G9)</f>
        <v>15067.335360000001</v>
      </c>
      <c r="H91" s="241"/>
      <c r="I91" s="187">
        <f t="shared" ref="I91:I104" si="13">(0.6296*I9)</f>
        <v>25313.123404800001</v>
      </c>
      <c r="J91" s="241"/>
      <c r="K91" s="187">
        <f t="shared" ref="K91:K104" si="14">(0.6296*K9)</f>
        <v>33223.474468799999</v>
      </c>
      <c r="L91" s="241"/>
      <c r="M91" s="187">
        <f t="shared" ref="M91:M104" si="15">(0.6296*M9)</f>
        <v>0</v>
      </c>
      <c r="N91" s="195"/>
      <c r="O91" s="218">
        <f t="shared" si="9"/>
        <v>125263.36875359999</v>
      </c>
    </row>
    <row r="92" spans="2:18" s="49" customFormat="1" x14ac:dyDescent="0.3">
      <c r="B92" s="56"/>
      <c r="C92" s="54" t="s">
        <v>98</v>
      </c>
      <c r="D92" s="142"/>
      <c r="E92" s="187">
        <f t="shared" si="10"/>
        <v>43019.308800000006</v>
      </c>
      <c r="F92" s="241"/>
      <c r="G92" s="187">
        <f t="shared" si="12"/>
        <v>11292.56856</v>
      </c>
      <c r="H92" s="241"/>
      <c r="I92" s="187">
        <f t="shared" si="13"/>
        <v>28457.272771200001</v>
      </c>
      <c r="J92" s="241"/>
      <c r="K92" s="187">
        <f t="shared" si="14"/>
        <v>24900.113674800003</v>
      </c>
      <c r="L92" s="241"/>
      <c r="M92" s="187">
        <f t="shared" si="15"/>
        <v>0</v>
      </c>
      <c r="N92" s="195"/>
      <c r="O92" s="218">
        <f t="shared" si="9"/>
        <v>107669.263806</v>
      </c>
    </row>
    <row r="93" spans="2:18" s="49" customFormat="1" x14ac:dyDescent="0.3">
      <c r="B93" s="56"/>
      <c r="C93" s="54" t="s">
        <v>99</v>
      </c>
      <c r="D93" s="142"/>
      <c r="E93" s="187">
        <f t="shared" si="10"/>
        <v>20380.907520000001</v>
      </c>
      <c r="F93" s="241"/>
      <c r="G93" s="187">
        <f t="shared" si="12"/>
        <v>5944.4313600000005</v>
      </c>
      <c r="H93" s="241"/>
      <c r="I93" s="187">
        <f t="shared" si="13"/>
        <v>9986.6446847999996</v>
      </c>
      <c r="J93" s="241"/>
      <c r="K93" s="187">
        <f t="shared" si="14"/>
        <v>13107.471148800001</v>
      </c>
      <c r="L93" s="241"/>
      <c r="M93" s="187">
        <f t="shared" si="15"/>
        <v>0</v>
      </c>
      <c r="N93" s="195"/>
      <c r="O93" s="218">
        <f t="shared" si="9"/>
        <v>49419.454713600004</v>
      </c>
    </row>
    <row r="94" spans="2:18" s="49" customFormat="1" ht="28.8" x14ac:dyDescent="0.3">
      <c r="B94" s="56"/>
      <c r="C94" s="54" t="s">
        <v>100</v>
      </c>
      <c r="D94" s="142"/>
      <c r="E94" s="187">
        <f t="shared" si="10"/>
        <v>15905.811456000001</v>
      </c>
      <c r="F94" s="241"/>
      <c r="G94" s="187">
        <f t="shared" si="12"/>
        <v>25634.249625600001</v>
      </c>
      <c r="H94" s="241"/>
      <c r="I94" s="187">
        <f t="shared" si="13"/>
        <v>26915.962106879997</v>
      </c>
      <c r="J94" s="241"/>
      <c r="K94" s="187">
        <f t="shared" si="14"/>
        <v>15415.505570304</v>
      </c>
      <c r="L94" s="241"/>
      <c r="M94" s="187">
        <f t="shared" si="15"/>
        <v>13038.948461548798</v>
      </c>
      <c r="N94" s="195"/>
      <c r="O94" s="218">
        <f t="shared" si="9"/>
        <v>96910.477220332803</v>
      </c>
    </row>
    <row r="95" spans="2:18" s="49" customFormat="1" x14ac:dyDescent="0.3">
      <c r="B95" s="56"/>
      <c r="C95" s="54" t="s">
        <v>101</v>
      </c>
      <c r="D95" s="142"/>
      <c r="E95" s="187">
        <f t="shared" si="10"/>
        <v>8421.9703200000004</v>
      </c>
      <c r="F95" s="241"/>
      <c r="G95" s="187">
        <f t="shared" si="12"/>
        <v>12390.886871999999</v>
      </c>
      <c r="H95" s="241"/>
      <c r="I95" s="187">
        <f t="shared" si="13"/>
        <v>13288.431882600002</v>
      </c>
      <c r="J95" s="241"/>
      <c r="K95" s="187">
        <f t="shared" si="14"/>
        <v>8406.7401700800001</v>
      </c>
      <c r="L95" s="241"/>
      <c r="M95" s="187">
        <f t="shared" si="15"/>
        <v>7662.3933841874996</v>
      </c>
      <c r="N95" s="195"/>
      <c r="O95" s="218">
        <f t="shared" si="9"/>
        <v>50170.422628867498</v>
      </c>
    </row>
    <row r="96" spans="2:18" s="49" customFormat="1" ht="28.8" x14ac:dyDescent="0.3">
      <c r="B96" s="56"/>
      <c r="C96" s="54" t="s">
        <v>102</v>
      </c>
      <c r="D96" s="142"/>
      <c r="E96" s="187">
        <f t="shared" si="10"/>
        <v>1405.2357200000004</v>
      </c>
      <c r="F96" s="241"/>
      <c r="G96" s="187">
        <f t="shared" si="12"/>
        <v>3794.1364440000007</v>
      </c>
      <c r="H96" s="241"/>
      <c r="I96" s="187">
        <f t="shared" si="13"/>
        <v>4205.1678921000002</v>
      </c>
      <c r="J96" s="241"/>
      <c r="K96" s="187">
        <f t="shared" si="14"/>
        <v>0</v>
      </c>
      <c r="L96" s="241"/>
      <c r="M96" s="187">
        <f t="shared" si="15"/>
        <v>7808.3328017520016</v>
      </c>
      <c r="N96" s="195"/>
      <c r="O96" s="218">
        <f t="shared" si="9"/>
        <v>17212.872857852002</v>
      </c>
    </row>
    <row r="97" spans="2:17" s="49" customFormat="1" x14ac:dyDescent="0.3">
      <c r="B97" s="56"/>
      <c r="C97" s="54" t="s">
        <v>103</v>
      </c>
      <c r="D97" s="142"/>
      <c r="E97" s="187">
        <f t="shared" si="10"/>
        <v>39549.960960000004</v>
      </c>
      <c r="F97" s="241"/>
      <c r="G97" s="187">
        <f t="shared" si="12"/>
        <v>43694.109043200006</v>
      </c>
      <c r="H97" s="241"/>
      <c r="I97" s="187">
        <f t="shared" si="13"/>
        <v>45878.814495360006</v>
      </c>
      <c r="J97" s="241"/>
      <c r="K97" s="187">
        <f t="shared" si="14"/>
        <v>48172.755220128005</v>
      </c>
      <c r="L97" s="241"/>
      <c r="M97" s="187">
        <f t="shared" si="15"/>
        <v>12540.841234992002</v>
      </c>
      <c r="N97" s="195"/>
      <c r="O97" s="218">
        <f t="shared" si="9"/>
        <v>189836.48095368003</v>
      </c>
    </row>
    <row r="98" spans="2:17" s="49" customFormat="1" x14ac:dyDescent="0.3">
      <c r="B98" s="56"/>
      <c r="C98" s="54" t="s">
        <v>104</v>
      </c>
      <c r="D98" s="142"/>
      <c r="E98" s="187">
        <f t="shared" si="10"/>
        <v>31429.12832</v>
      </c>
      <c r="F98" s="241"/>
      <c r="G98" s="187">
        <f t="shared" si="12"/>
        <v>34722.354374400005</v>
      </c>
      <c r="H98" s="241"/>
      <c r="I98" s="187">
        <f t="shared" si="13"/>
        <v>36458.472093119999</v>
      </c>
      <c r="J98" s="241"/>
      <c r="K98" s="187">
        <f t="shared" si="14"/>
        <v>38281.395697776003</v>
      </c>
      <c r="L98" s="241"/>
      <c r="M98" s="187">
        <f t="shared" si="15"/>
        <v>9965.8178882640004</v>
      </c>
      <c r="N98" s="195"/>
      <c r="O98" s="218">
        <f t="shared" si="9"/>
        <v>150857.16837356001</v>
      </c>
    </row>
    <row r="99" spans="2:17" s="49" customFormat="1" x14ac:dyDescent="0.3">
      <c r="B99" s="56"/>
      <c r="C99" s="54" t="s">
        <v>98</v>
      </c>
      <c r="D99" s="142"/>
      <c r="E99" s="187">
        <f t="shared" si="10"/>
        <v>8066.1204000000007</v>
      </c>
      <c r="F99" s="241"/>
      <c r="G99" s="187">
        <f t="shared" si="12"/>
        <v>7227.2438784000005</v>
      </c>
      <c r="H99" s="241"/>
      <c r="I99" s="187">
        <f t="shared" si="13"/>
        <v>7588.6060723200007</v>
      </c>
      <c r="J99" s="241"/>
      <c r="K99" s="187">
        <f t="shared" si="14"/>
        <v>7968.0363759359998</v>
      </c>
      <c r="L99" s="241"/>
      <c r="M99" s="187">
        <f t="shared" si="15"/>
        <v>1960.8839518904999</v>
      </c>
      <c r="N99" s="195"/>
      <c r="O99" s="218">
        <f t="shared" si="9"/>
        <v>32810.890678546501</v>
      </c>
    </row>
    <row r="100" spans="2:17" s="49" customFormat="1" x14ac:dyDescent="0.3">
      <c r="B100" s="56"/>
      <c r="C100" s="54" t="s">
        <v>105</v>
      </c>
      <c r="D100" s="142"/>
      <c r="E100" s="187">
        <f t="shared" si="10"/>
        <v>23109.644288</v>
      </c>
      <c r="F100" s="241"/>
      <c r="G100" s="187">
        <f t="shared" si="12"/>
        <v>21042.414388800004</v>
      </c>
      <c r="H100" s="241"/>
      <c r="I100" s="187">
        <f t="shared" si="13"/>
        <v>20104.036449840001</v>
      </c>
      <c r="J100" s="241"/>
      <c r="K100" s="187">
        <f t="shared" si="14"/>
        <v>21527.242990595998</v>
      </c>
      <c r="L100" s="241"/>
      <c r="M100" s="187">
        <f t="shared" si="15"/>
        <v>20628.532846328399</v>
      </c>
      <c r="N100" s="195"/>
      <c r="O100" s="218">
        <f t="shared" si="9"/>
        <v>106411.8709635644</v>
      </c>
    </row>
    <row r="101" spans="2:17" s="49" customFormat="1" ht="28.8" x14ac:dyDescent="0.3">
      <c r="B101" s="56"/>
      <c r="C101" s="54" t="s">
        <v>106</v>
      </c>
      <c r="D101" s="142"/>
      <c r="E101" s="187">
        <f t="shared" si="10"/>
        <v>16427.5232</v>
      </c>
      <c r="F101" s="241"/>
      <c r="G101" s="187">
        <f t="shared" si="12"/>
        <v>17248.899360000003</v>
      </c>
      <c r="H101" s="241"/>
      <c r="I101" s="187">
        <f t="shared" si="13"/>
        <v>18111.344328000003</v>
      </c>
      <c r="J101" s="241"/>
      <c r="K101" s="187">
        <f t="shared" si="14"/>
        <v>19016.911544400002</v>
      </c>
      <c r="L101" s="241"/>
      <c r="M101" s="187">
        <f t="shared" si="15"/>
        <v>19967.757121620005</v>
      </c>
      <c r="N101" s="195"/>
      <c r="O101" s="218">
        <f t="shared" si="9"/>
        <v>90772.435554020019</v>
      </c>
    </row>
    <row r="102" spans="2:17" s="49" customFormat="1" ht="28.8" x14ac:dyDescent="0.3">
      <c r="B102" s="56"/>
      <c r="C102" s="54" t="s">
        <v>107</v>
      </c>
      <c r="D102" s="142"/>
      <c r="E102" s="187">
        <f t="shared" si="10"/>
        <v>63255.685344000005</v>
      </c>
      <c r="F102" s="241"/>
      <c r="G102" s="187">
        <f t="shared" si="12"/>
        <v>44746.416187200004</v>
      </c>
      <c r="H102" s="241"/>
      <c r="I102" s="187">
        <f t="shared" si="13"/>
        <v>44306.600985360004</v>
      </c>
      <c r="J102" s="241"/>
      <c r="K102" s="187">
        <f t="shared" si="14"/>
        <v>46521.931034628004</v>
      </c>
      <c r="L102" s="241"/>
      <c r="M102" s="187">
        <f t="shared" si="15"/>
        <v>56226.883717229408</v>
      </c>
      <c r="N102" s="195"/>
      <c r="O102" s="218">
        <f t="shared" si="9"/>
        <v>255057.51726841743</v>
      </c>
    </row>
    <row r="103" spans="2:17" s="49" customFormat="1" x14ac:dyDescent="0.3">
      <c r="B103" s="56"/>
      <c r="C103" s="54" t="s">
        <v>108</v>
      </c>
      <c r="D103" s="142"/>
      <c r="E103" s="187">
        <f t="shared" si="10"/>
        <v>33729.183040000004</v>
      </c>
      <c r="F103" s="241"/>
      <c r="G103" s="187">
        <f t="shared" si="12"/>
        <v>35415.642191999999</v>
      </c>
      <c r="H103" s="241"/>
      <c r="I103" s="187">
        <f t="shared" si="13"/>
        <v>37186.424301600004</v>
      </c>
      <c r="J103" s="241"/>
      <c r="K103" s="187">
        <f t="shared" si="14"/>
        <v>39045.745516680006</v>
      </c>
      <c r="L103" s="241"/>
      <c r="M103" s="187">
        <f t="shared" si="15"/>
        <v>40998.032792514008</v>
      </c>
      <c r="N103" s="195"/>
      <c r="O103" s="218">
        <f t="shared" si="9"/>
        <v>186375.02784279402</v>
      </c>
    </row>
    <row r="104" spans="2:17" s="49" customFormat="1" x14ac:dyDescent="0.3">
      <c r="B104" s="56"/>
      <c r="C104" s="54" t="s">
        <v>109</v>
      </c>
      <c r="D104" s="142"/>
      <c r="E104" s="187">
        <f t="shared" si="10"/>
        <v>1129.1246400000002</v>
      </c>
      <c r="F104" s="241"/>
      <c r="G104" s="187">
        <f t="shared" si="12"/>
        <v>1185.580872</v>
      </c>
      <c r="H104" s="241"/>
      <c r="I104" s="187">
        <f t="shared" si="13"/>
        <v>1244.8599156</v>
      </c>
      <c r="J104" s="241"/>
      <c r="K104" s="187">
        <f t="shared" si="14"/>
        <v>1307.1029113800003</v>
      </c>
      <c r="L104" s="241"/>
      <c r="M104" s="187">
        <f t="shared" si="15"/>
        <v>1372.4580569490001</v>
      </c>
      <c r="N104" s="195"/>
      <c r="O104" s="218">
        <f t="shared" si="9"/>
        <v>6239.1263959290009</v>
      </c>
    </row>
    <row r="105" spans="2:17" s="49" customFormat="1" ht="28.8" x14ac:dyDescent="0.3">
      <c r="B105" s="56"/>
      <c r="C105" s="54" t="s">
        <v>110</v>
      </c>
      <c r="D105" s="142"/>
      <c r="E105" s="187">
        <f t="shared" si="10"/>
        <v>0</v>
      </c>
      <c r="F105" s="241"/>
      <c r="G105" s="187">
        <f t="shared" ref="G105:M105" si="16">(0.6296*G23)</f>
        <v>0</v>
      </c>
      <c r="H105" s="241"/>
      <c r="I105" s="187">
        <f t="shared" si="16"/>
        <v>0</v>
      </c>
      <c r="J105" s="241"/>
      <c r="K105" s="187">
        <f t="shared" si="16"/>
        <v>10972.623854430001</v>
      </c>
      <c r="L105" s="241"/>
      <c r="M105" s="187">
        <f t="shared" si="16"/>
        <v>11521.255047151501</v>
      </c>
      <c r="N105" s="195"/>
      <c r="O105" s="218">
        <f t="shared" si="9"/>
        <v>22493.878901581502</v>
      </c>
    </row>
    <row r="106" spans="2:17" s="49" customFormat="1" x14ac:dyDescent="0.3">
      <c r="B106" s="56"/>
      <c r="C106" s="54" t="s">
        <v>111</v>
      </c>
      <c r="D106" s="142"/>
      <c r="E106" s="187">
        <f>(0.2906*E24)</f>
        <v>0</v>
      </c>
      <c r="F106" s="241"/>
      <c r="G106" s="187">
        <f t="shared" ref="G106:M106" si="17">(0.2906*G24)</f>
        <v>0</v>
      </c>
      <c r="H106" s="241"/>
      <c r="I106" s="187">
        <f t="shared" si="17"/>
        <v>0</v>
      </c>
      <c r="J106" s="241"/>
      <c r="K106" s="187">
        <f t="shared" si="17"/>
        <v>0</v>
      </c>
      <c r="L106" s="241"/>
      <c r="M106" s="187">
        <f t="shared" si="17"/>
        <v>78.613112000000001</v>
      </c>
      <c r="N106" s="195"/>
      <c r="O106" s="218">
        <f t="shared" si="9"/>
        <v>78.613112000000001</v>
      </c>
      <c r="Q106" s="164"/>
    </row>
    <row r="107" spans="2:17" s="49" customFormat="1" x14ac:dyDescent="0.3">
      <c r="B107" s="57"/>
      <c r="C107" s="58" t="s">
        <v>20</v>
      </c>
      <c r="D107" s="237"/>
      <c r="E107" s="220">
        <f>SUM(E90:E106)</f>
        <v>406800.822568</v>
      </c>
      <c r="F107" s="237"/>
      <c r="G107" s="220">
        <f>SUM(G90:G106)</f>
        <v>293346.33026160009</v>
      </c>
      <c r="H107" s="237"/>
      <c r="I107" s="220">
        <f>SUM(I90:I106)</f>
        <v>352501.90956918005</v>
      </c>
      <c r="J107" s="237"/>
      <c r="K107" s="220">
        <f>SUM(K90:K106)</f>
        <v>358604.886324258</v>
      </c>
      <c r="L107" s="237"/>
      <c r="M107" s="220">
        <f>SUM(M90:M106)</f>
        <v>203770.75041642709</v>
      </c>
      <c r="N107" s="195"/>
      <c r="O107" s="220">
        <f>SUM(E107,G107,I107,K107,M107)</f>
        <v>1615024.6991394653</v>
      </c>
    </row>
    <row r="108" spans="2:17" s="49" customFormat="1" ht="15" thickBot="1" x14ac:dyDescent="0.35">
      <c r="B108" s="59"/>
      <c r="D108" s="240"/>
      <c r="E108" s="222"/>
      <c r="F108" s="240"/>
      <c r="G108" s="222"/>
      <c r="H108" s="240"/>
      <c r="I108" s="222"/>
      <c r="J108" s="240"/>
      <c r="K108" s="222"/>
      <c r="L108" s="240"/>
      <c r="M108" s="222"/>
      <c r="N108" s="195"/>
      <c r="O108" s="218"/>
    </row>
    <row r="109" spans="2:17" s="61" customFormat="1" ht="28.8" x14ac:dyDescent="0.3">
      <c r="B109" s="60" t="s">
        <v>21</v>
      </c>
      <c r="C109" s="60"/>
      <c r="D109" s="242"/>
      <c r="E109" s="194">
        <f>SUM(E107,E87)</f>
        <v>10203401.535567999</v>
      </c>
      <c r="F109" s="242"/>
      <c r="G109" s="194">
        <f>SUM(G107,G87)</f>
        <v>6137966.7271616003</v>
      </c>
      <c r="H109" s="242"/>
      <c r="I109" s="194">
        <f>SUM(I107,I87)</f>
        <v>1864050.9592866802</v>
      </c>
      <c r="J109" s="242"/>
      <c r="K109" s="194">
        <f>SUM(K107,K87)</f>
        <v>3259161.190294133</v>
      </c>
      <c r="L109" s="242"/>
      <c r="M109" s="194">
        <f>SUM(M107,M87)</f>
        <v>900960.50948817097</v>
      </c>
      <c r="N109" s="195"/>
      <c r="O109" s="218">
        <f>SUM(E109,G109,I109,K109,M109)</f>
        <v>22365540.921798579</v>
      </c>
    </row>
    <row r="110" spans="2:17" x14ac:dyDescent="0.3">
      <c r="B110" s="4"/>
    </row>
    <row r="111" spans="2:17" x14ac:dyDescent="0.3">
      <c r="B111" s="4"/>
    </row>
    <row r="112" spans="2:17" x14ac:dyDescent="0.3">
      <c r="B112" s="4"/>
    </row>
    <row r="113" spans="2:2" x14ac:dyDescent="0.3">
      <c r="B113" s="4"/>
    </row>
    <row r="114" spans="2:2" x14ac:dyDescent="0.3">
      <c r="B114" s="4"/>
    </row>
    <row r="115" spans="2:2" x14ac:dyDescent="0.3">
      <c r="B115" s="4"/>
    </row>
    <row r="116" spans="2:2" x14ac:dyDescent="0.3">
      <c r="B116" s="4"/>
    </row>
    <row r="117" spans="2:2" x14ac:dyDescent="0.3">
      <c r="B117" s="4"/>
    </row>
    <row r="118" spans="2:2" x14ac:dyDescent="0.3">
      <c r="B118" s="4"/>
    </row>
    <row r="119" spans="2:2" x14ac:dyDescent="0.3">
      <c r="B119" s="4"/>
    </row>
    <row r="120" spans="2:2" x14ac:dyDescent="0.3">
      <c r="B120" s="4"/>
    </row>
    <row r="121" spans="2:2" x14ac:dyDescent="0.3">
      <c r="B121" s="4"/>
    </row>
    <row r="122" spans="2:2" x14ac:dyDescent="0.3">
      <c r="B122" s="4"/>
    </row>
    <row r="123" spans="2:2" x14ac:dyDescent="0.3">
      <c r="B123" s="4"/>
    </row>
    <row r="124" spans="2:2" x14ac:dyDescent="0.3">
      <c r="B124" s="4"/>
    </row>
  </sheetData>
  <sheetProtection sheet="1" objects="1" scenarios="1" selectLockedCells="1" selectUnlockedCells="1"/>
  <pageMargins left="0.7" right="0.7" top="0.75" bottom="0.75" header="0.3" footer="0.3"/>
  <pageSetup scale="9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78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I1" sqref="I1:I1048576"/>
    </sheetView>
  </sheetViews>
  <sheetFormatPr defaultColWidth="9.33203125" defaultRowHeight="14.4" x14ac:dyDescent="0.3"/>
  <cols>
    <col min="1" max="1" width="3.33203125" customWidth="1"/>
    <col min="2" max="2" width="10.6640625" customWidth="1"/>
    <col min="3" max="3" width="45.5546875" customWidth="1"/>
    <col min="4" max="4" width="12.6640625" style="4" customWidth="1"/>
    <col min="5" max="5" width="12.5546875" style="2" customWidth="1"/>
    <col min="6" max="7" width="12.44140625" customWidth="1"/>
    <col min="8" max="8" width="8.77734375" style="2" bestFit="1" customWidth="1"/>
    <col min="9" max="9" width="12" style="5" hidden="1" customWidth="1"/>
    <col min="10" max="10" width="10.77734375" bestFit="1" customWidth="1"/>
    <col min="11" max="11" width="10.33203125" customWidth="1"/>
  </cols>
  <sheetData>
    <row r="2" spans="2:39" ht="23.4" x14ac:dyDescent="0.45">
      <c r="B2" s="19" t="s">
        <v>29</v>
      </c>
    </row>
    <row r="3" spans="2:39" x14ac:dyDescent="0.3">
      <c r="B3" s="49" t="s">
        <v>112</v>
      </c>
    </row>
    <row r="4" spans="2:39" x14ac:dyDescent="0.3">
      <c r="B4" s="3"/>
    </row>
    <row r="5" spans="2:39" ht="18" x14ac:dyDescent="0.35">
      <c r="B5" s="21" t="s">
        <v>1</v>
      </c>
      <c r="C5" s="22"/>
      <c r="D5" s="22"/>
      <c r="E5" s="22"/>
      <c r="F5" s="22"/>
      <c r="G5" s="22"/>
      <c r="H5" s="22"/>
      <c r="I5" s="22"/>
      <c r="J5" s="23"/>
    </row>
    <row r="6" spans="2:39" x14ac:dyDescent="0.3">
      <c r="B6" s="24" t="s">
        <v>2</v>
      </c>
      <c r="C6" s="24" t="s">
        <v>3</v>
      </c>
      <c r="D6" s="24" t="s">
        <v>4</v>
      </c>
      <c r="E6" s="25" t="s">
        <v>5</v>
      </c>
      <c r="F6" s="25" t="s">
        <v>6</v>
      </c>
      <c r="G6" s="25" t="s">
        <v>7</v>
      </c>
      <c r="H6" s="26" t="s">
        <v>8</v>
      </c>
      <c r="I6" s="27"/>
      <c r="J6" s="28" t="s">
        <v>9</v>
      </c>
    </row>
    <row r="7" spans="2:39" s="3" customFormat="1" x14ac:dyDescent="0.3">
      <c r="B7" s="13" t="s">
        <v>10</v>
      </c>
      <c r="C7" s="104" t="s">
        <v>30</v>
      </c>
      <c r="D7" s="8" t="s">
        <v>31</v>
      </c>
      <c r="E7" s="8" t="s">
        <v>31</v>
      </c>
      <c r="F7" s="8" t="s">
        <v>31</v>
      </c>
      <c r="G7" s="8"/>
      <c r="H7" s="8" t="s">
        <v>31</v>
      </c>
      <c r="I7" s="5"/>
      <c r="J7" s="6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s="3" customFormat="1" ht="43.2" x14ac:dyDescent="0.3">
      <c r="B8" s="44"/>
      <c r="C8" s="91" t="s">
        <v>113</v>
      </c>
      <c r="D8" s="105">
        <f>133974*0.15</f>
        <v>20096.099999999999</v>
      </c>
      <c r="E8" s="105">
        <v>14067</v>
      </c>
      <c r="F8" s="105">
        <v>14771</v>
      </c>
      <c r="G8" s="105">
        <v>15509</v>
      </c>
      <c r="H8" s="105">
        <v>24427</v>
      </c>
      <c r="I8" s="90"/>
      <c r="J8" s="106">
        <f>SUM(D8:H8)</f>
        <v>88870.1</v>
      </c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</row>
    <row r="9" spans="2:39" s="3" customFormat="1" ht="28.8" x14ac:dyDescent="0.3">
      <c r="B9" s="44"/>
      <c r="C9" s="91" t="s">
        <v>114</v>
      </c>
      <c r="D9" s="107">
        <v>7347</v>
      </c>
      <c r="E9" s="107">
        <v>7714</v>
      </c>
      <c r="F9" s="107">
        <v>8100</v>
      </c>
      <c r="G9" s="107">
        <v>8505</v>
      </c>
      <c r="H9" s="107">
        <v>14288</v>
      </c>
      <c r="I9" s="90"/>
      <c r="J9" s="106">
        <f>SUM(D9:H9)</f>
        <v>45954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</row>
    <row r="10" spans="2:39" ht="28.8" x14ac:dyDescent="0.3">
      <c r="B10" s="14"/>
      <c r="C10" s="91" t="s">
        <v>115</v>
      </c>
      <c r="D10" s="107">
        <v>3555</v>
      </c>
      <c r="E10" s="107">
        <v>3732</v>
      </c>
      <c r="F10" s="107">
        <v>3919</v>
      </c>
      <c r="G10" s="107">
        <v>4115</v>
      </c>
      <c r="H10" s="100" t="s">
        <v>31</v>
      </c>
      <c r="I10" s="90"/>
      <c r="J10" s="106">
        <f>SUM(D10:H10)</f>
        <v>15321</v>
      </c>
    </row>
    <row r="11" spans="2:39" ht="43.2" x14ac:dyDescent="0.3">
      <c r="B11" s="14"/>
      <c r="C11" s="91" t="s">
        <v>116</v>
      </c>
      <c r="D11" s="100" t="s">
        <v>31</v>
      </c>
      <c r="E11" s="100" t="s">
        <v>31</v>
      </c>
      <c r="F11" s="107">
        <v>4115</v>
      </c>
      <c r="G11" s="107">
        <v>4321</v>
      </c>
      <c r="H11" s="107">
        <v>4537</v>
      </c>
      <c r="I11" s="90"/>
      <c r="J11" s="106">
        <f>SUM(D11:H11)</f>
        <v>12973</v>
      </c>
    </row>
    <row r="12" spans="2:39" ht="38.25" customHeight="1" x14ac:dyDescent="0.3">
      <c r="B12" s="14"/>
      <c r="C12" s="91" t="s">
        <v>117</v>
      </c>
      <c r="D12" s="100" t="s">
        <v>31</v>
      </c>
      <c r="E12" s="100" t="s">
        <v>31</v>
      </c>
      <c r="F12" s="100" t="s">
        <v>31</v>
      </c>
      <c r="G12" s="100" t="s">
        <v>31</v>
      </c>
      <c r="H12" s="107">
        <v>9011</v>
      </c>
      <c r="I12" s="90"/>
      <c r="J12" s="106">
        <f>SUM(D12:H12)</f>
        <v>9011</v>
      </c>
    </row>
    <row r="13" spans="2:39" x14ac:dyDescent="0.3">
      <c r="B13" s="14"/>
      <c r="C13" s="58" t="s">
        <v>11</v>
      </c>
      <c r="D13" s="70">
        <f>SUM(D8:D12)</f>
        <v>30998.1</v>
      </c>
      <c r="E13" s="70">
        <f t="shared" ref="E13:H13" si="0">SUM(E8:E12)</f>
        <v>25513</v>
      </c>
      <c r="F13" s="70">
        <f t="shared" si="0"/>
        <v>30905</v>
      </c>
      <c r="G13" s="70">
        <f t="shared" si="0"/>
        <v>32450</v>
      </c>
      <c r="H13" s="70">
        <f t="shared" si="0"/>
        <v>52263</v>
      </c>
      <c r="I13" s="49"/>
      <c r="J13" s="70">
        <f>SUM(J8:J12)</f>
        <v>172129.1</v>
      </c>
    </row>
    <row r="14" spans="2:39" x14ac:dyDescent="0.3">
      <c r="B14" s="14"/>
      <c r="C14" s="63" t="s">
        <v>68</v>
      </c>
      <c r="D14" s="63" t="s">
        <v>31</v>
      </c>
      <c r="E14" s="63"/>
      <c r="F14" s="63"/>
      <c r="G14" s="63"/>
      <c r="H14" s="63"/>
      <c r="I14" s="49"/>
      <c r="J14" s="68" t="s">
        <v>31</v>
      </c>
    </row>
    <row r="15" spans="2:39" x14ac:dyDescent="0.3">
      <c r="B15" s="14"/>
      <c r="C15" s="91" t="s">
        <v>118</v>
      </c>
      <c r="D15" s="106"/>
      <c r="E15" s="106">
        <f>0.4*E13</f>
        <v>10205.200000000001</v>
      </c>
      <c r="F15" s="106">
        <f>0.4*F13</f>
        <v>12362</v>
      </c>
      <c r="G15" s="106">
        <f>0.4*G13</f>
        <v>12980</v>
      </c>
      <c r="H15" s="106">
        <f>0.4*H13</f>
        <v>20905.2</v>
      </c>
      <c r="I15" s="90"/>
      <c r="J15" s="69">
        <f>SUM(D15:H15)</f>
        <v>56452.399999999994</v>
      </c>
    </row>
    <row r="16" spans="2:39" x14ac:dyDescent="0.3">
      <c r="B16" s="14"/>
      <c r="C16" s="91" t="s">
        <v>119</v>
      </c>
      <c r="D16" s="69">
        <f>SUM(D8*0.38)</f>
        <v>7636.5179999999991</v>
      </c>
      <c r="E16" s="69">
        <f>SUM(E8*0.38)</f>
        <v>5345.46</v>
      </c>
      <c r="F16" s="69">
        <f t="shared" ref="F16:H16" si="1">SUM(F8*0.38)</f>
        <v>5612.9800000000005</v>
      </c>
      <c r="G16" s="69">
        <f t="shared" si="1"/>
        <v>5893.42</v>
      </c>
      <c r="H16" s="69">
        <f t="shared" si="1"/>
        <v>9282.26</v>
      </c>
      <c r="I16" s="49"/>
      <c r="J16" s="69">
        <f t="shared" ref="J16:J17" si="2">SUM(D16:H16)</f>
        <v>33770.637999999999</v>
      </c>
    </row>
    <row r="17" spans="2:10" x14ac:dyDescent="0.3">
      <c r="B17" s="14"/>
      <c r="C17" s="63"/>
      <c r="D17" s="69"/>
      <c r="E17" s="69"/>
      <c r="F17" s="69"/>
      <c r="G17" s="69"/>
      <c r="H17" s="69"/>
      <c r="I17" s="49"/>
      <c r="J17" s="69">
        <f t="shared" si="2"/>
        <v>0</v>
      </c>
    </row>
    <row r="18" spans="2:10" x14ac:dyDescent="0.3">
      <c r="B18" s="14"/>
      <c r="C18" s="58" t="s">
        <v>12</v>
      </c>
      <c r="D18" s="70">
        <f>SUM(D15:D17)</f>
        <v>7636.5179999999991</v>
      </c>
      <c r="E18" s="70">
        <f t="shared" ref="E18:H18" si="3">SUM(E15:E17)</f>
        <v>15550.66</v>
      </c>
      <c r="F18" s="70">
        <f t="shared" si="3"/>
        <v>17974.98</v>
      </c>
      <c r="G18" s="70">
        <f t="shared" si="3"/>
        <v>18873.419999999998</v>
      </c>
      <c r="H18" s="70">
        <f t="shared" si="3"/>
        <v>30187.46</v>
      </c>
      <c r="I18" s="49"/>
      <c r="J18" s="70">
        <f>SUM(J15:J17)</f>
        <v>90223.038</v>
      </c>
    </row>
    <row r="19" spans="2:10" x14ac:dyDescent="0.3">
      <c r="B19" s="14"/>
      <c r="C19" s="63" t="s">
        <v>33</v>
      </c>
      <c r="D19" s="63" t="s">
        <v>31</v>
      </c>
      <c r="E19" s="63"/>
      <c r="F19" s="63"/>
      <c r="G19" s="63"/>
      <c r="H19" s="63"/>
      <c r="I19" s="49"/>
      <c r="J19" s="68" t="s">
        <v>31</v>
      </c>
    </row>
    <row r="20" spans="2:10" x14ac:dyDescent="0.3">
      <c r="B20" s="14"/>
      <c r="C20" s="54"/>
      <c r="D20" s="69"/>
      <c r="E20" s="69"/>
      <c r="F20" s="69"/>
      <c r="G20" s="69"/>
      <c r="H20" s="69"/>
      <c r="I20" s="48"/>
      <c r="J20" s="69">
        <f t="shared" ref="J20" si="4">SUM(D20:H20)</f>
        <v>0</v>
      </c>
    </row>
    <row r="21" spans="2:10" x14ac:dyDescent="0.3">
      <c r="B21" s="14"/>
      <c r="C21" s="58" t="s">
        <v>13</v>
      </c>
      <c r="D21" s="70">
        <f>SUM(D20:D20)</f>
        <v>0</v>
      </c>
      <c r="E21" s="70">
        <f>SUM(E20:E20)</f>
        <v>0</v>
      </c>
      <c r="F21" s="70">
        <f>SUM(F20:F20)</f>
        <v>0</v>
      </c>
      <c r="G21" s="70">
        <f>SUM(G20:G20)</f>
        <v>0</v>
      </c>
      <c r="H21" s="70">
        <f>SUM(H20:H20)</f>
        <v>0</v>
      </c>
      <c r="I21" s="49"/>
      <c r="J21" s="70">
        <f>SUM(D21:H21)</f>
        <v>0</v>
      </c>
    </row>
    <row r="22" spans="2:10" x14ac:dyDescent="0.3">
      <c r="B22" s="14"/>
      <c r="C22" s="63" t="s">
        <v>34</v>
      </c>
      <c r="D22" s="69"/>
      <c r="E22" s="63"/>
      <c r="F22" s="63"/>
      <c r="G22" s="63"/>
      <c r="H22" s="63"/>
      <c r="I22" s="49"/>
      <c r="J22" s="69" t="s">
        <v>19</v>
      </c>
    </row>
    <row r="23" spans="2:10" ht="28.8" x14ac:dyDescent="0.3">
      <c r="B23" s="14"/>
      <c r="C23" s="91" t="s">
        <v>120</v>
      </c>
      <c r="D23" s="108" t="s">
        <v>31</v>
      </c>
      <c r="E23" s="105">
        <f>(25000*4)/2</f>
        <v>50000</v>
      </c>
      <c r="F23" s="105">
        <f>(25000*4)/2</f>
        <v>50000</v>
      </c>
      <c r="G23" s="108"/>
      <c r="H23" s="108" t="s">
        <v>31</v>
      </c>
      <c r="I23" s="90"/>
      <c r="J23" s="106">
        <f t="shared" ref="J23:J31" si="5">SUM(D23:H23)</f>
        <v>100000</v>
      </c>
    </row>
    <row r="24" spans="2:10" ht="28.8" x14ac:dyDescent="0.3">
      <c r="B24" s="14"/>
      <c r="C24" s="109" t="s">
        <v>121</v>
      </c>
      <c r="D24" s="100" t="s">
        <v>31</v>
      </c>
      <c r="E24" s="107">
        <v>287622</v>
      </c>
      <c r="F24" s="107">
        <v>287622</v>
      </c>
      <c r="G24" s="100"/>
      <c r="H24" s="100" t="s">
        <v>31</v>
      </c>
      <c r="I24" s="90"/>
      <c r="J24" s="106">
        <f t="shared" si="5"/>
        <v>575244</v>
      </c>
    </row>
    <row r="25" spans="2:10" ht="28.8" x14ac:dyDescent="0.3">
      <c r="B25" s="14"/>
      <c r="C25" s="109" t="s">
        <v>122</v>
      </c>
      <c r="D25" s="100" t="s">
        <v>31</v>
      </c>
      <c r="E25" s="100" t="s">
        <v>31</v>
      </c>
      <c r="F25" s="107">
        <v>13578</v>
      </c>
      <c r="G25" s="100"/>
      <c r="H25" s="100" t="s">
        <v>31</v>
      </c>
      <c r="I25" s="90"/>
      <c r="J25" s="106">
        <f t="shared" si="5"/>
        <v>13578</v>
      </c>
    </row>
    <row r="26" spans="2:10" ht="28.8" x14ac:dyDescent="0.3">
      <c r="B26" s="14"/>
      <c r="C26" s="109" t="s">
        <v>123</v>
      </c>
      <c r="D26" s="92" t="s">
        <v>31</v>
      </c>
      <c r="E26" s="92" t="s">
        <v>31</v>
      </c>
      <c r="F26" s="110">
        <v>10000</v>
      </c>
      <c r="G26" s="92"/>
      <c r="H26" s="92" t="s">
        <v>31</v>
      </c>
      <c r="I26" s="90"/>
      <c r="J26" s="106">
        <f t="shared" si="5"/>
        <v>10000</v>
      </c>
    </row>
    <row r="27" spans="2:10" ht="28.8" x14ac:dyDescent="0.3">
      <c r="B27" s="14" t="s">
        <v>35</v>
      </c>
      <c r="C27" s="111" t="s">
        <v>124</v>
      </c>
      <c r="D27" s="93" t="s">
        <v>31</v>
      </c>
      <c r="E27" s="112">
        <v>222212.5</v>
      </c>
      <c r="F27" s="112">
        <v>222212.5</v>
      </c>
      <c r="G27" s="93"/>
      <c r="H27" s="93" t="s">
        <v>31</v>
      </c>
      <c r="I27" s="90"/>
      <c r="J27" s="106">
        <f t="shared" si="5"/>
        <v>444425</v>
      </c>
    </row>
    <row r="28" spans="2:10" ht="28.8" x14ac:dyDescent="0.3">
      <c r="B28" s="14"/>
      <c r="C28" s="111" t="s">
        <v>125</v>
      </c>
      <c r="D28" s="94"/>
      <c r="E28" s="113">
        <f>600000/2</f>
        <v>300000</v>
      </c>
      <c r="F28" s="113">
        <v>300000</v>
      </c>
      <c r="G28" s="114"/>
      <c r="H28" s="94"/>
      <c r="I28" s="95"/>
      <c r="J28" s="106">
        <f t="shared" si="5"/>
        <v>600000</v>
      </c>
    </row>
    <row r="29" spans="2:10" ht="28.8" x14ac:dyDescent="0.3">
      <c r="B29" s="14"/>
      <c r="C29" s="111" t="s">
        <v>126</v>
      </c>
      <c r="D29" s="96" t="s">
        <v>31</v>
      </c>
      <c r="E29" s="115">
        <v>215000</v>
      </c>
      <c r="F29" s="115" t="s">
        <v>31</v>
      </c>
      <c r="G29" s="116" t="s">
        <v>31</v>
      </c>
      <c r="H29" s="96" t="s">
        <v>31</v>
      </c>
      <c r="I29" s="97"/>
      <c r="J29" s="106">
        <f t="shared" si="5"/>
        <v>215000</v>
      </c>
    </row>
    <row r="30" spans="2:10" ht="28.8" x14ac:dyDescent="0.3">
      <c r="B30" s="14"/>
      <c r="C30" s="111" t="s">
        <v>127</v>
      </c>
      <c r="D30" s="96" t="s">
        <v>31</v>
      </c>
      <c r="E30" s="115">
        <v>11100</v>
      </c>
      <c r="F30" s="115" t="s">
        <v>31</v>
      </c>
      <c r="G30" s="116" t="s">
        <v>31</v>
      </c>
      <c r="H30" s="96" t="s">
        <v>31</v>
      </c>
      <c r="I30" s="97"/>
      <c r="J30" s="106">
        <f t="shared" si="5"/>
        <v>11100</v>
      </c>
    </row>
    <row r="31" spans="2:10" ht="28.8" x14ac:dyDescent="0.3">
      <c r="B31" s="14"/>
      <c r="C31" s="111" t="s">
        <v>128</v>
      </c>
      <c r="D31" s="96" t="s">
        <v>31</v>
      </c>
      <c r="E31" s="115" t="s">
        <v>31</v>
      </c>
      <c r="F31" s="115">
        <v>14000</v>
      </c>
      <c r="G31" s="116" t="s">
        <v>31</v>
      </c>
      <c r="H31" s="96" t="s">
        <v>31</v>
      </c>
      <c r="I31" s="97"/>
      <c r="J31" s="106">
        <f t="shared" si="5"/>
        <v>14000</v>
      </c>
    </row>
    <row r="32" spans="2:10" x14ac:dyDescent="0.3">
      <c r="B32" s="14"/>
      <c r="C32" s="109"/>
      <c r="D32" s="96"/>
      <c r="E32" s="116"/>
      <c r="F32" s="115"/>
      <c r="G32" s="116"/>
      <c r="H32" s="96"/>
      <c r="I32" s="97"/>
      <c r="J32" s="117"/>
    </row>
    <row r="33" spans="2:10" x14ac:dyDescent="0.3">
      <c r="B33" s="14"/>
      <c r="C33" s="58" t="s">
        <v>14</v>
      </c>
      <c r="D33" s="87">
        <f>SUM(D23:D31)</f>
        <v>0</v>
      </c>
      <c r="E33" s="87">
        <f t="shared" ref="E33:H33" si="6">SUM(E23:E31)</f>
        <v>1085934.5</v>
      </c>
      <c r="F33" s="87">
        <f t="shared" si="6"/>
        <v>897412.5</v>
      </c>
      <c r="G33" s="87">
        <f t="shared" si="6"/>
        <v>0</v>
      </c>
      <c r="H33" s="87">
        <f t="shared" si="6"/>
        <v>0</v>
      </c>
      <c r="I33" s="49"/>
      <c r="J33" s="98">
        <f>SUM(D33:H33)</f>
        <v>1983347</v>
      </c>
    </row>
    <row r="34" spans="2:10" x14ac:dyDescent="0.3">
      <c r="B34" s="14"/>
      <c r="C34" s="63" t="s">
        <v>36</v>
      </c>
      <c r="D34" s="63" t="s">
        <v>31</v>
      </c>
      <c r="E34" s="63"/>
      <c r="F34" s="63"/>
      <c r="G34" s="63"/>
      <c r="H34" s="63"/>
      <c r="I34" s="49"/>
      <c r="J34" s="69"/>
    </row>
    <row r="35" spans="2:10" ht="28.8" x14ac:dyDescent="0.3">
      <c r="B35" s="14"/>
      <c r="C35" s="91" t="s">
        <v>129</v>
      </c>
      <c r="D35" s="108" t="s">
        <v>31</v>
      </c>
      <c r="E35" s="105">
        <v>0</v>
      </c>
      <c r="F35" s="105">
        <v>5000</v>
      </c>
      <c r="G35" s="105"/>
      <c r="H35" s="105">
        <v>0</v>
      </c>
      <c r="I35" s="90"/>
      <c r="J35" s="106">
        <f>SUM(D35:H35)</f>
        <v>5000</v>
      </c>
    </row>
    <row r="36" spans="2:10" x14ac:dyDescent="0.3">
      <c r="B36" s="14"/>
      <c r="C36" s="54"/>
      <c r="D36" s="69"/>
      <c r="E36" s="69"/>
      <c r="F36" s="69"/>
      <c r="G36" s="69"/>
      <c r="H36" s="69"/>
      <c r="I36" s="49"/>
      <c r="J36" s="69">
        <f t="shared" ref="J36:J55" si="7">SUM(D36:H36)</f>
        <v>0</v>
      </c>
    </row>
    <row r="37" spans="2:10" x14ac:dyDescent="0.3">
      <c r="B37" s="14"/>
      <c r="C37" s="58" t="s">
        <v>15</v>
      </c>
      <c r="D37" s="70">
        <f>SUM(D35:D36)</f>
        <v>0</v>
      </c>
      <c r="E37" s="70">
        <f t="shared" ref="E37:H37" si="8">SUM(E35:E36)</f>
        <v>0</v>
      </c>
      <c r="F37" s="70">
        <f t="shared" si="8"/>
        <v>5000</v>
      </c>
      <c r="G37" s="70">
        <f t="shared" si="8"/>
        <v>0</v>
      </c>
      <c r="H37" s="70">
        <f t="shared" si="8"/>
        <v>0</v>
      </c>
      <c r="I37" s="49"/>
      <c r="J37" s="70">
        <f>SUM(D37:H37)</f>
        <v>5000</v>
      </c>
    </row>
    <row r="38" spans="2:10" x14ac:dyDescent="0.3">
      <c r="B38" s="14"/>
      <c r="C38" s="63" t="s">
        <v>37</v>
      </c>
      <c r="D38" s="63" t="s">
        <v>31</v>
      </c>
      <c r="E38" s="63"/>
      <c r="F38" s="63"/>
      <c r="G38" s="63"/>
      <c r="H38" s="63"/>
      <c r="I38" s="49"/>
      <c r="J38" s="99"/>
    </row>
    <row r="39" spans="2:10" x14ac:dyDescent="0.3">
      <c r="B39" s="14"/>
      <c r="C39" s="109" t="s">
        <v>130</v>
      </c>
      <c r="D39" s="100" t="s">
        <v>31</v>
      </c>
      <c r="E39" s="105">
        <f>444425/2</f>
        <v>222212.5</v>
      </c>
      <c r="F39" s="105">
        <f>444425/2</f>
        <v>222212.5</v>
      </c>
      <c r="G39" s="100" t="s">
        <v>31</v>
      </c>
      <c r="H39" s="100" t="s">
        <v>31</v>
      </c>
      <c r="I39" s="90"/>
      <c r="J39" s="112">
        <f>SUM(D39:H39)</f>
        <v>444425</v>
      </c>
    </row>
    <row r="40" spans="2:10" x14ac:dyDescent="0.3">
      <c r="B40" s="14"/>
      <c r="C40" s="109" t="s">
        <v>131</v>
      </c>
      <c r="D40" s="105">
        <v>100000</v>
      </c>
      <c r="E40" s="105">
        <v>100000</v>
      </c>
      <c r="F40" s="105"/>
      <c r="G40" s="100"/>
      <c r="H40" s="100"/>
      <c r="I40" s="90"/>
      <c r="J40" s="112">
        <v>200000</v>
      </c>
    </row>
    <row r="41" spans="2:10" x14ac:dyDescent="0.3">
      <c r="B41" s="14"/>
      <c r="C41" s="111" t="s">
        <v>132</v>
      </c>
      <c r="D41" s="69"/>
      <c r="E41" s="105">
        <v>100000</v>
      </c>
      <c r="F41" s="105">
        <v>100000</v>
      </c>
      <c r="G41" s="69"/>
      <c r="H41" s="69"/>
      <c r="I41" s="48"/>
      <c r="J41" s="112">
        <f t="shared" si="7"/>
        <v>200000</v>
      </c>
    </row>
    <row r="42" spans="2:10" ht="28.8" x14ac:dyDescent="0.3">
      <c r="B42" s="14"/>
      <c r="C42" s="118" t="s">
        <v>133</v>
      </c>
      <c r="D42" s="119" t="s">
        <v>31</v>
      </c>
      <c r="E42" s="120">
        <v>500000</v>
      </c>
      <c r="F42" s="120"/>
      <c r="G42" s="101" t="s">
        <v>31</v>
      </c>
      <c r="H42" s="101" t="s">
        <v>31</v>
      </c>
      <c r="I42" s="48"/>
      <c r="J42" s="121">
        <f>SUM(D42:H42)</f>
        <v>500000</v>
      </c>
    </row>
    <row r="43" spans="2:10" x14ac:dyDescent="0.3">
      <c r="B43" s="14"/>
      <c r="C43" s="122"/>
      <c r="D43" s="102"/>
      <c r="E43" s="123"/>
      <c r="F43" s="102"/>
      <c r="G43" s="102"/>
      <c r="H43" s="102"/>
      <c r="I43" s="48"/>
      <c r="J43" s="121"/>
    </row>
    <row r="44" spans="2:10" x14ac:dyDescent="0.3">
      <c r="B44" s="14"/>
      <c r="C44" s="122"/>
      <c r="D44" s="102"/>
      <c r="E44" s="123"/>
      <c r="F44" s="102"/>
      <c r="G44" s="102"/>
      <c r="H44" s="102"/>
      <c r="I44" s="48"/>
      <c r="J44" s="121"/>
    </row>
    <row r="45" spans="2:10" x14ac:dyDescent="0.3">
      <c r="B45" s="14"/>
      <c r="C45" s="122"/>
      <c r="D45" s="102"/>
      <c r="E45" s="102"/>
      <c r="F45" s="123"/>
      <c r="G45" s="102"/>
      <c r="H45" s="102"/>
      <c r="I45" s="48"/>
      <c r="J45" s="121"/>
    </row>
    <row r="46" spans="2:10" x14ac:dyDescent="0.3">
      <c r="B46" s="14"/>
      <c r="C46" s="54"/>
      <c r="D46" s="69"/>
      <c r="E46" s="69"/>
      <c r="F46" s="69"/>
      <c r="G46" s="69"/>
      <c r="H46" s="69"/>
      <c r="I46" s="49"/>
      <c r="J46" s="103">
        <f t="shared" si="7"/>
        <v>0</v>
      </c>
    </row>
    <row r="47" spans="2:10" x14ac:dyDescent="0.3">
      <c r="B47" s="14"/>
      <c r="C47" s="58" t="s">
        <v>16</v>
      </c>
      <c r="D47" s="70">
        <f>SUM(D39:D46)</f>
        <v>100000</v>
      </c>
      <c r="E47" s="70">
        <f>SUM(E39:E46)</f>
        <v>922212.5</v>
      </c>
      <c r="F47" s="70">
        <f t="shared" ref="F47:H47" si="9">SUM(F39:F46)</f>
        <v>322212.5</v>
      </c>
      <c r="G47" s="70">
        <f t="shared" si="9"/>
        <v>0</v>
      </c>
      <c r="H47" s="70">
        <f t="shared" si="9"/>
        <v>0</v>
      </c>
      <c r="I47" s="49"/>
      <c r="J47" s="98">
        <f>SUM(D47:H47)</f>
        <v>1344425</v>
      </c>
    </row>
    <row r="48" spans="2:10" x14ac:dyDescent="0.3">
      <c r="B48" s="14"/>
      <c r="C48" s="63" t="s">
        <v>38</v>
      </c>
      <c r="D48" s="63" t="s">
        <v>31</v>
      </c>
      <c r="E48" s="63"/>
      <c r="F48" s="63"/>
      <c r="G48" s="63"/>
      <c r="H48" s="63"/>
      <c r="I48" s="49"/>
      <c r="J48" s="69"/>
    </row>
    <row r="49" spans="2:10" x14ac:dyDescent="0.3">
      <c r="B49" s="14"/>
      <c r="C49" s="54"/>
      <c r="D49" s="69"/>
      <c r="E49" s="69"/>
      <c r="F49" s="69"/>
      <c r="G49" s="69"/>
      <c r="H49" s="69"/>
      <c r="I49" s="48"/>
      <c r="J49" s="69">
        <f t="shared" si="7"/>
        <v>0</v>
      </c>
    </row>
    <row r="50" spans="2:10" x14ac:dyDescent="0.3">
      <c r="B50" s="14"/>
      <c r="C50" s="54"/>
      <c r="D50" s="69"/>
      <c r="E50" s="69"/>
      <c r="F50" s="69"/>
      <c r="G50" s="69"/>
      <c r="H50" s="69"/>
      <c r="I50" s="48"/>
      <c r="J50" s="69">
        <f t="shared" si="7"/>
        <v>0</v>
      </c>
    </row>
    <row r="51" spans="2:10" x14ac:dyDescent="0.3">
      <c r="B51" s="14"/>
      <c r="C51" s="54"/>
      <c r="D51" s="69"/>
      <c r="E51" s="69"/>
      <c r="F51" s="69"/>
      <c r="G51" s="69"/>
      <c r="H51" s="69"/>
      <c r="I51" s="48"/>
      <c r="J51" s="69">
        <f t="shared" si="7"/>
        <v>0</v>
      </c>
    </row>
    <row r="52" spans="2:10" x14ac:dyDescent="0.3">
      <c r="B52" s="14"/>
      <c r="C52" s="54"/>
      <c r="D52" s="69"/>
      <c r="E52" s="69"/>
      <c r="F52" s="69"/>
      <c r="G52" s="69"/>
      <c r="H52" s="69"/>
      <c r="I52" s="49"/>
      <c r="J52" s="69">
        <f t="shared" si="7"/>
        <v>0</v>
      </c>
    </row>
    <row r="53" spans="2:10" x14ac:dyDescent="0.3">
      <c r="B53" s="14"/>
      <c r="C53" s="54"/>
      <c r="D53" s="69"/>
      <c r="E53" s="69"/>
      <c r="F53" s="69"/>
      <c r="G53" s="69"/>
      <c r="H53" s="69"/>
      <c r="I53" s="49"/>
      <c r="J53" s="69">
        <f t="shared" si="7"/>
        <v>0</v>
      </c>
    </row>
    <row r="54" spans="2:10" x14ac:dyDescent="0.3">
      <c r="B54" s="14"/>
      <c r="C54" s="63"/>
      <c r="D54" s="69"/>
      <c r="E54" s="69"/>
      <c r="F54" s="69"/>
      <c r="G54" s="69"/>
      <c r="H54" s="69"/>
      <c r="I54" s="49"/>
      <c r="J54" s="69">
        <f t="shared" si="7"/>
        <v>0</v>
      </c>
    </row>
    <row r="55" spans="2:10" x14ac:dyDescent="0.3">
      <c r="B55" s="15"/>
      <c r="C55" s="58" t="s">
        <v>17</v>
      </c>
      <c r="D55" s="70">
        <f>SUM(D49:D54)</f>
        <v>0</v>
      </c>
      <c r="E55" s="70">
        <f t="shared" ref="E55:H55" si="10">SUM(E49:E54)</f>
        <v>0</v>
      </c>
      <c r="F55" s="70">
        <f t="shared" si="10"/>
        <v>0</v>
      </c>
      <c r="G55" s="70">
        <f t="shared" si="10"/>
        <v>0</v>
      </c>
      <c r="H55" s="70">
        <f t="shared" si="10"/>
        <v>0</v>
      </c>
      <c r="I55" s="49"/>
      <c r="J55" s="70">
        <f t="shared" si="7"/>
        <v>0</v>
      </c>
    </row>
    <row r="56" spans="2:10" x14ac:dyDescent="0.3">
      <c r="B56" s="15"/>
      <c r="C56" s="58" t="s">
        <v>18</v>
      </c>
      <c r="D56" s="70">
        <f>SUM(D55,D47,D37,D33,D21,D18,D13)</f>
        <v>138634.61799999999</v>
      </c>
      <c r="E56" s="70">
        <f>SUM(E55,E47,E37,E33,E21,E18,E13)</f>
        <v>2049210.66</v>
      </c>
      <c r="F56" s="70">
        <f>SUM(F55,F47,F37,F33,F21,F18,F13)</f>
        <v>1273504.98</v>
      </c>
      <c r="G56" s="70">
        <f>SUM(G55,G47,G37,G33,G21,G18,G13)</f>
        <v>51323.42</v>
      </c>
      <c r="H56" s="70">
        <f>SUM(H55,H47,H37,H33,H21,H18,H13)</f>
        <v>82450.459999999992</v>
      </c>
      <c r="I56" s="49"/>
      <c r="J56" s="70">
        <f>SUM(D56:H56)</f>
        <v>3595124.1379999998</v>
      </c>
    </row>
    <row r="57" spans="2:10" x14ac:dyDescent="0.3">
      <c r="B57" s="4"/>
      <c r="C57" s="49"/>
      <c r="D57" s="49"/>
      <c r="E57" s="49"/>
      <c r="F57" s="49"/>
      <c r="G57" s="49"/>
      <c r="H57" s="49"/>
      <c r="I57" s="49"/>
      <c r="J57" s="49" t="s">
        <v>19</v>
      </c>
    </row>
    <row r="58" spans="2:10" ht="28.8" x14ac:dyDescent="0.3">
      <c r="B58" s="43" t="s">
        <v>39</v>
      </c>
      <c r="C58" s="68" t="s">
        <v>39</v>
      </c>
      <c r="D58" s="68"/>
      <c r="E58" s="68"/>
      <c r="F58" s="68"/>
      <c r="G58" s="68"/>
      <c r="H58" s="68"/>
      <c r="I58" s="49"/>
      <c r="J58" s="68" t="s">
        <v>19</v>
      </c>
    </row>
    <row r="59" spans="2:10" ht="28.8" x14ac:dyDescent="0.3">
      <c r="B59" s="14"/>
      <c r="C59" s="63" t="s">
        <v>134</v>
      </c>
      <c r="D59" s="124">
        <f>SUM(D13)*0.0677</f>
        <v>2098.5713699999997</v>
      </c>
      <c r="E59" s="124">
        <f>SUM(E13)*0.0677</f>
        <v>1727.2301</v>
      </c>
      <c r="F59" s="124">
        <f>SUM(F13)*0.0677</f>
        <v>2092.2684999999997</v>
      </c>
      <c r="G59" s="124">
        <f>SUM(G13)*0.0677</f>
        <v>2196.8649999999998</v>
      </c>
      <c r="H59" s="124">
        <f>SUM(H13)*0.0677</f>
        <v>3538.2050999999997</v>
      </c>
      <c r="I59" s="49"/>
      <c r="J59" s="69">
        <f>SUM(D59:H59)</f>
        <v>11653.140069999998</v>
      </c>
    </row>
    <row r="60" spans="2:10" x14ac:dyDescent="0.3">
      <c r="B60" s="14"/>
      <c r="C60" s="54"/>
      <c r="D60" s="63"/>
      <c r="E60" s="63"/>
      <c r="F60" s="63"/>
      <c r="G60" s="63"/>
      <c r="H60" s="63"/>
      <c r="I60" s="49"/>
      <c r="J60" s="69">
        <f t="shared" ref="J60" si="11">SUM(D60:H60)</f>
        <v>0</v>
      </c>
    </row>
    <row r="61" spans="2:10" x14ac:dyDescent="0.3">
      <c r="B61" s="15"/>
      <c r="C61" s="58" t="s">
        <v>20</v>
      </c>
      <c r="D61" s="70">
        <f>SUM(D59:D60)</f>
        <v>2098.5713699999997</v>
      </c>
      <c r="E61" s="70">
        <f>SUM(E59:E60)</f>
        <v>1727.2301</v>
      </c>
      <c r="F61" s="70">
        <f>SUM(F59:F60)</f>
        <v>2092.2684999999997</v>
      </c>
      <c r="G61" s="70">
        <f>SUM(G59:G60)</f>
        <v>2196.8649999999998</v>
      </c>
      <c r="H61" s="70">
        <f>SUM(H59:H60)</f>
        <v>3538.2050999999997</v>
      </c>
      <c r="I61" s="49"/>
      <c r="J61" s="70">
        <f>SUM(D61:H61)</f>
        <v>11653.140069999998</v>
      </c>
    </row>
    <row r="62" spans="2:10" ht="15" thickBot="1" x14ac:dyDescent="0.35">
      <c r="B62" s="4"/>
      <c r="C62" s="49"/>
      <c r="D62" s="49"/>
      <c r="E62" s="49"/>
      <c r="F62" s="49"/>
      <c r="G62" s="49"/>
      <c r="H62" s="49"/>
      <c r="I62" s="49"/>
      <c r="J62" s="49" t="s">
        <v>19</v>
      </c>
    </row>
    <row r="63" spans="2:10" s="1" customFormat="1" ht="28.8" x14ac:dyDescent="0.3">
      <c r="B63" s="127" t="s">
        <v>21</v>
      </c>
      <c r="C63" s="125"/>
      <c r="D63" s="126">
        <f>SUM(D61,D56)</f>
        <v>140733.18936999998</v>
      </c>
      <c r="E63" s="126">
        <f t="shared" ref="E63:H63" si="12">SUM(E61,E56)</f>
        <v>2050937.8901</v>
      </c>
      <c r="F63" s="126">
        <f t="shared" si="12"/>
        <v>1275597.2485</v>
      </c>
      <c r="G63" s="126">
        <f t="shared" si="12"/>
        <v>53520.284999999996</v>
      </c>
      <c r="H63" s="126">
        <f t="shared" si="12"/>
        <v>85988.665099999998</v>
      </c>
      <c r="I63" s="49"/>
      <c r="J63" s="126">
        <f>SUM(J61,J56)</f>
        <v>3606777.27807</v>
      </c>
    </row>
    <row r="64" spans="2:10" x14ac:dyDescent="0.3">
      <c r="B64" s="4"/>
    </row>
    <row r="65" spans="2:2" x14ac:dyDescent="0.3">
      <c r="B65" s="4"/>
    </row>
    <row r="66" spans="2:2" x14ac:dyDescent="0.3">
      <c r="B66" s="4"/>
    </row>
    <row r="67" spans="2:2" x14ac:dyDescent="0.3">
      <c r="B67" s="4"/>
    </row>
    <row r="68" spans="2:2" x14ac:dyDescent="0.3">
      <c r="B68" s="4"/>
    </row>
    <row r="69" spans="2:2" x14ac:dyDescent="0.3">
      <c r="B69" s="4"/>
    </row>
    <row r="70" spans="2:2" x14ac:dyDescent="0.3">
      <c r="B70" s="4"/>
    </row>
    <row r="71" spans="2:2" x14ac:dyDescent="0.3">
      <c r="B71" s="4"/>
    </row>
    <row r="72" spans="2:2" x14ac:dyDescent="0.3">
      <c r="B72" s="4"/>
    </row>
    <row r="73" spans="2:2" x14ac:dyDescent="0.3">
      <c r="B73" s="4"/>
    </row>
    <row r="74" spans="2:2" x14ac:dyDescent="0.3">
      <c r="B74" s="4"/>
    </row>
    <row r="75" spans="2:2" x14ac:dyDescent="0.3">
      <c r="B75" s="4"/>
    </row>
    <row r="76" spans="2:2" x14ac:dyDescent="0.3">
      <c r="B76" s="4"/>
    </row>
    <row r="77" spans="2:2" x14ac:dyDescent="0.3">
      <c r="B77" s="4"/>
    </row>
    <row r="78" spans="2:2" x14ac:dyDescent="0.3">
      <c r="B78" s="4"/>
    </row>
  </sheetData>
  <sheetProtection sheet="1" objects="1" scenarios="1" selectLockedCells="1" selectUnlockedCells="1"/>
  <pageMargins left="0.7" right="0.7" top="0.75" bottom="0.75" header="0.3" footer="0.3"/>
  <pageSetup scale="89" fitToHeight="0" orientation="landscape" r:id="rId1"/>
  <ignoredErrors>
    <ignoredError sqref="J49:J51 J41 J20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J78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I1" sqref="I1:I1048576"/>
    </sheetView>
  </sheetViews>
  <sheetFormatPr defaultColWidth="9.33203125" defaultRowHeight="14.4" x14ac:dyDescent="0.3"/>
  <cols>
    <col min="1" max="1" width="3.33203125" style="89" customWidth="1"/>
    <col min="2" max="2" width="13.33203125" style="89" customWidth="1"/>
    <col min="3" max="3" width="44.44140625" style="89" customWidth="1"/>
    <col min="4" max="4" width="12.6640625" style="128" customWidth="1"/>
    <col min="5" max="5" width="12.44140625" style="129" customWidth="1"/>
    <col min="6" max="7" width="12.6640625" style="89" customWidth="1"/>
    <col min="8" max="8" width="13.44140625" style="129" customWidth="1"/>
    <col min="9" max="9" width="12.21875" style="5" hidden="1" customWidth="1"/>
    <col min="10" max="10" width="14.44140625" style="89" customWidth="1"/>
    <col min="11" max="11" width="10.33203125" style="89" customWidth="1"/>
    <col min="12" max="16384" width="9.33203125" style="89"/>
  </cols>
  <sheetData>
    <row r="2" spans="2:10" ht="23.4" x14ac:dyDescent="0.45">
      <c r="B2" s="19" t="s">
        <v>29</v>
      </c>
    </row>
    <row r="3" spans="2:10" x14ac:dyDescent="0.3">
      <c r="B3" s="89" t="s">
        <v>135</v>
      </c>
    </row>
    <row r="5" spans="2:10" ht="18" x14ac:dyDescent="0.35">
      <c r="B5" s="21" t="s">
        <v>1</v>
      </c>
      <c r="C5" s="22"/>
      <c r="D5" s="22"/>
      <c r="E5" s="22"/>
      <c r="F5" s="22"/>
      <c r="G5" s="22"/>
      <c r="H5" s="22"/>
      <c r="I5" s="22"/>
      <c r="J5" s="23"/>
    </row>
    <row r="6" spans="2:10" x14ac:dyDescent="0.3">
      <c r="B6" s="24" t="s">
        <v>2</v>
      </c>
      <c r="C6" s="24" t="s">
        <v>3</v>
      </c>
      <c r="D6" s="24" t="s">
        <v>4</v>
      </c>
      <c r="E6" s="25" t="s">
        <v>5</v>
      </c>
      <c r="F6" s="25" t="s">
        <v>6</v>
      </c>
      <c r="G6" s="25" t="s">
        <v>7</v>
      </c>
      <c r="H6" s="26" t="s">
        <v>8</v>
      </c>
      <c r="I6" s="27"/>
      <c r="J6" s="28" t="s">
        <v>9</v>
      </c>
    </row>
    <row r="7" spans="2:10" x14ac:dyDescent="0.3">
      <c r="B7" s="13" t="s">
        <v>10</v>
      </c>
      <c r="C7" s="17" t="s">
        <v>30</v>
      </c>
      <c r="D7" s="8" t="s">
        <v>31</v>
      </c>
      <c r="E7" s="8" t="s">
        <v>31</v>
      </c>
      <c r="F7" s="8" t="s">
        <v>31</v>
      </c>
      <c r="G7" s="8"/>
      <c r="H7" s="8" t="s">
        <v>31</v>
      </c>
      <c r="J7" s="6" t="s">
        <v>31</v>
      </c>
    </row>
    <row r="8" spans="2:10" x14ac:dyDescent="0.3">
      <c r="B8" s="130"/>
      <c r="C8" s="18" t="s">
        <v>136</v>
      </c>
      <c r="D8" s="9">
        <v>47685</v>
      </c>
      <c r="E8" s="9">
        <v>47685</v>
      </c>
      <c r="F8" s="9">
        <v>47685</v>
      </c>
      <c r="G8" s="9">
        <v>0</v>
      </c>
      <c r="H8" s="9">
        <v>0</v>
      </c>
      <c r="I8" s="20"/>
      <c r="J8" s="9">
        <f>SUM(D8:H8)</f>
        <v>143055</v>
      </c>
    </row>
    <row r="9" spans="2:10" x14ac:dyDescent="0.3">
      <c r="B9" s="130"/>
      <c r="C9" s="18" t="s">
        <v>137</v>
      </c>
      <c r="D9" s="9">
        <v>28611</v>
      </c>
      <c r="E9" s="9">
        <v>28611</v>
      </c>
      <c r="F9" s="9">
        <v>28611</v>
      </c>
      <c r="G9" s="9">
        <v>28611</v>
      </c>
      <c r="H9" s="9">
        <v>28611</v>
      </c>
      <c r="J9" s="9">
        <f>SUM(D9:H9)</f>
        <v>143055</v>
      </c>
    </row>
    <row r="10" spans="2:10" x14ac:dyDescent="0.3">
      <c r="B10" s="130"/>
      <c r="C10" s="18"/>
      <c r="D10" s="9"/>
      <c r="E10" s="9"/>
      <c r="F10" s="9"/>
      <c r="G10" s="9"/>
      <c r="H10" s="9"/>
      <c r="J10" s="9">
        <f>SUM(D10:H10)</f>
        <v>0</v>
      </c>
    </row>
    <row r="11" spans="2:10" x14ac:dyDescent="0.3">
      <c r="B11" s="130"/>
      <c r="C11" s="7" t="s">
        <v>11</v>
      </c>
      <c r="D11" s="37">
        <f>SUM(D8:D10)</f>
        <v>76296</v>
      </c>
      <c r="E11" s="37">
        <f t="shared" ref="E11:G11" si="0">SUM(E8:E10)</f>
        <v>76296</v>
      </c>
      <c r="F11" s="37">
        <f t="shared" si="0"/>
        <v>76296</v>
      </c>
      <c r="G11" s="37">
        <f t="shared" si="0"/>
        <v>28611</v>
      </c>
      <c r="H11" s="37">
        <f>SUM(H8:H10)</f>
        <v>28611</v>
      </c>
      <c r="J11" s="37">
        <f>SUM(D11:H11)</f>
        <v>286110</v>
      </c>
    </row>
    <row r="12" spans="2:10" x14ac:dyDescent="0.3">
      <c r="B12" s="130"/>
      <c r="C12" s="10" t="s">
        <v>68</v>
      </c>
      <c r="D12" s="5"/>
      <c r="E12" s="8"/>
      <c r="F12" s="8"/>
      <c r="G12" s="8"/>
      <c r="H12" s="8"/>
      <c r="J12" s="6" t="s">
        <v>31</v>
      </c>
    </row>
    <row r="13" spans="2:10" x14ac:dyDescent="0.3">
      <c r="B13" s="130"/>
      <c r="C13" s="18" t="s">
        <v>136</v>
      </c>
      <c r="D13" s="47">
        <v>11691.78</v>
      </c>
      <c r="E13" s="47">
        <v>11691.78</v>
      </c>
      <c r="F13" s="47">
        <v>11691.78</v>
      </c>
      <c r="G13" s="47">
        <v>0</v>
      </c>
      <c r="H13" s="47">
        <v>0</v>
      </c>
      <c r="J13" s="9">
        <f>SUM(D13:H13)</f>
        <v>35075.340000000004</v>
      </c>
    </row>
    <row r="14" spans="2:10" x14ac:dyDescent="0.3">
      <c r="B14" s="130"/>
      <c r="C14" s="18" t="s">
        <v>137</v>
      </c>
      <c r="D14" s="47">
        <v>7015.05</v>
      </c>
      <c r="E14" s="47">
        <v>7015.05</v>
      </c>
      <c r="F14" s="47">
        <v>7015.05</v>
      </c>
      <c r="G14" s="47">
        <v>7015.05</v>
      </c>
      <c r="H14" s="47">
        <v>7015.05</v>
      </c>
      <c r="J14" s="9">
        <f t="shared" ref="J14:J15" si="1">SUM(D14:H14)</f>
        <v>35075.25</v>
      </c>
    </row>
    <row r="15" spans="2:10" x14ac:dyDescent="0.3">
      <c r="B15" s="130"/>
      <c r="C15" s="8"/>
      <c r="D15" s="9"/>
      <c r="E15" s="9"/>
      <c r="F15" s="9"/>
      <c r="G15" s="9"/>
      <c r="H15" s="9"/>
      <c r="J15" s="9">
        <f t="shared" si="1"/>
        <v>0</v>
      </c>
    </row>
    <row r="16" spans="2:10" x14ac:dyDescent="0.3">
      <c r="B16" s="130"/>
      <c r="C16" s="7" t="s">
        <v>12</v>
      </c>
      <c r="D16" s="37">
        <f>SUM(D13:D15)</f>
        <v>18706.830000000002</v>
      </c>
      <c r="E16" s="37">
        <f t="shared" ref="E16:F16" si="2">SUM(E13:E15)</f>
        <v>18706.830000000002</v>
      </c>
      <c r="F16" s="37">
        <f t="shared" si="2"/>
        <v>18706.830000000002</v>
      </c>
      <c r="G16" s="37">
        <f>SUM(G13:G15)</f>
        <v>7015.05</v>
      </c>
      <c r="H16" s="37">
        <f>SUM(H13:H15)</f>
        <v>7015.05</v>
      </c>
      <c r="J16" s="37">
        <f>SUM(D16:H16)</f>
        <v>70150.590000000011</v>
      </c>
    </row>
    <row r="17" spans="2:10" x14ac:dyDescent="0.3">
      <c r="B17" s="130"/>
      <c r="C17" s="10" t="s">
        <v>33</v>
      </c>
      <c r="D17" s="8" t="s">
        <v>31</v>
      </c>
      <c r="E17" s="8"/>
      <c r="F17" s="8"/>
      <c r="G17" s="8"/>
      <c r="H17" s="8"/>
      <c r="J17" s="6" t="s">
        <v>31</v>
      </c>
    </row>
    <row r="18" spans="2:10" x14ac:dyDescent="0.3">
      <c r="B18" s="130"/>
      <c r="C18" s="18"/>
      <c r="D18" s="9"/>
      <c r="E18" s="9"/>
      <c r="F18" s="9"/>
      <c r="G18" s="9"/>
      <c r="H18" s="9"/>
      <c r="I18" s="20"/>
      <c r="J18" s="9">
        <f t="shared" ref="J18" si="3">SUM(D18:H18)</f>
        <v>0</v>
      </c>
    </row>
    <row r="19" spans="2:10" x14ac:dyDescent="0.3">
      <c r="B19" s="130"/>
      <c r="C19" s="7" t="s">
        <v>13</v>
      </c>
      <c r="D19" s="37">
        <f>SUM(D18:D18)</f>
        <v>0</v>
      </c>
      <c r="E19" s="37">
        <f>SUM(E18:E18)</f>
        <v>0</v>
      </c>
      <c r="F19" s="37">
        <f>SUM(F18:F18)</f>
        <v>0</v>
      </c>
      <c r="G19" s="37">
        <f>SUM(G18:G18)</f>
        <v>0</v>
      </c>
      <c r="H19" s="37">
        <f>SUM(H18:H18)</f>
        <v>0</v>
      </c>
      <c r="J19" s="37">
        <f>SUM(J18:J18)</f>
        <v>0</v>
      </c>
    </row>
    <row r="20" spans="2:10" x14ac:dyDescent="0.3">
      <c r="B20" s="130"/>
      <c r="C20" s="10" t="s">
        <v>34</v>
      </c>
      <c r="D20" s="9"/>
      <c r="E20" s="8"/>
      <c r="F20" s="8"/>
      <c r="G20" s="8"/>
      <c r="H20" s="8"/>
      <c r="J20" s="9" t="s">
        <v>19</v>
      </c>
    </row>
    <row r="21" spans="2:10" x14ac:dyDescent="0.3">
      <c r="B21" s="130"/>
      <c r="C21" s="131" t="s">
        <v>138</v>
      </c>
      <c r="D21" s="9"/>
      <c r="E21" s="47">
        <v>86000</v>
      </c>
      <c r="F21" s="8"/>
      <c r="G21" s="8"/>
      <c r="H21" s="8"/>
      <c r="J21" s="9">
        <f>SUM(D21:H21)</f>
        <v>86000</v>
      </c>
    </row>
    <row r="22" spans="2:10" x14ac:dyDescent="0.3">
      <c r="B22" s="130"/>
      <c r="C22" s="131" t="s">
        <v>139</v>
      </c>
      <c r="D22" s="9"/>
      <c r="E22" s="47">
        <v>200000</v>
      </c>
      <c r="F22" s="8"/>
      <c r="G22" s="8"/>
      <c r="H22" s="8"/>
      <c r="J22" s="9">
        <f t="shared" ref="J22:J28" si="4">SUM(D22:H22)</f>
        <v>200000</v>
      </c>
    </row>
    <row r="23" spans="2:10" x14ac:dyDescent="0.3">
      <c r="B23" s="130"/>
      <c r="C23" s="131" t="s">
        <v>140</v>
      </c>
      <c r="D23" s="9"/>
      <c r="E23" s="47">
        <v>20000</v>
      </c>
      <c r="F23" s="8"/>
      <c r="G23" s="8"/>
      <c r="H23" s="8"/>
      <c r="J23" s="9">
        <f t="shared" si="4"/>
        <v>20000</v>
      </c>
    </row>
    <row r="24" spans="2:10" x14ac:dyDescent="0.3">
      <c r="B24" s="130"/>
      <c r="C24" s="131" t="s">
        <v>141</v>
      </c>
      <c r="D24" s="9"/>
      <c r="E24" s="47">
        <v>540000</v>
      </c>
      <c r="F24" s="8"/>
      <c r="G24" s="8"/>
      <c r="H24" s="8"/>
      <c r="J24" s="9">
        <f t="shared" si="4"/>
        <v>540000</v>
      </c>
    </row>
    <row r="25" spans="2:10" x14ac:dyDescent="0.3">
      <c r="B25" s="130"/>
      <c r="C25" s="131" t="s">
        <v>142</v>
      </c>
      <c r="D25" s="9"/>
      <c r="E25" s="47">
        <v>15000</v>
      </c>
      <c r="F25" s="8"/>
      <c r="G25" s="8"/>
      <c r="H25" s="8"/>
      <c r="J25" s="9">
        <f t="shared" si="4"/>
        <v>15000</v>
      </c>
    </row>
    <row r="26" spans="2:10" x14ac:dyDescent="0.3">
      <c r="B26" s="130"/>
      <c r="C26" s="131" t="s">
        <v>143</v>
      </c>
      <c r="D26" s="9"/>
      <c r="E26" s="47">
        <v>35000</v>
      </c>
      <c r="F26" s="8"/>
      <c r="G26" s="8"/>
      <c r="H26" s="8"/>
      <c r="J26" s="9">
        <f t="shared" si="4"/>
        <v>35000</v>
      </c>
    </row>
    <row r="27" spans="2:10" x14ac:dyDescent="0.3">
      <c r="B27" s="130"/>
      <c r="C27" s="131" t="s">
        <v>144</v>
      </c>
      <c r="D27" s="9"/>
      <c r="E27" s="47">
        <v>8000</v>
      </c>
      <c r="F27" s="8"/>
      <c r="G27" s="8"/>
      <c r="H27" s="8"/>
      <c r="J27" s="9">
        <f t="shared" si="4"/>
        <v>8000</v>
      </c>
    </row>
    <row r="28" spans="2:10" x14ac:dyDescent="0.3">
      <c r="B28" s="130"/>
      <c r="C28" s="132" t="s">
        <v>145</v>
      </c>
      <c r="D28" s="9"/>
      <c r="E28" s="47">
        <v>3000</v>
      </c>
      <c r="F28" s="8"/>
      <c r="G28" s="8"/>
      <c r="H28" s="8"/>
      <c r="J28" s="9">
        <f t="shared" si="4"/>
        <v>3000</v>
      </c>
    </row>
    <row r="29" spans="2:10" x14ac:dyDescent="0.3">
      <c r="B29" s="133"/>
      <c r="C29" s="67" t="s">
        <v>146</v>
      </c>
      <c r="D29" s="134"/>
      <c r="E29" s="47">
        <v>600000</v>
      </c>
      <c r="F29" s="8"/>
      <c r="G29" s="8"/>
      <c r="H29" s="8"/>
      <c r="J29" s="9">
        <f t="shared" ref="J29:J33" si="5">SUM(D29:H29)</f>
        <v>600000</v>
      </c>
    </row>
    <row r="30" spans="2:10" x14ac:dyDescent="0.3">
      <c r="B30" s="133"/>
      <c r="C30" s="135" t="s">
        <v>147</v>
      </c>
      <c r="D30" s="134"/>
      <c r="E30" s="47">
        <v>20000</v>
      </c>
      <c r="F30" s="8"/>
      <c r="G30" s="8"/>
      <c r="H30" s="8"/>
      <c r="J30" s="9">
        <f t="shared" si="5"/>
        <v>20000</v>
      </c>
    </row>
    <row r="31" spans="2:10" x14ac:dyDescent="0.3">
      <c r="B31" s="133"/>
      <c r="C31" s="67" t="s">
        <v>148</v>
      </c>
      <c r="D31" s="134"/>
      <c r="E31" s="47">
        <v>15000</v>
      </c>
      <c r="F31" s="8"/>
      <c r="G31" s="8"/>
      <c r="H31" s="8"/>
      <c r="J31" s="9">
        <f t="shared" si="5"/>
        <v>15000</v>
      </c>
    </row>
    <row r="32" spans="2:10" x14ac:dyDescent="0.3">
      <c r="B32" s="133"/>
      <c r="C32" s="136" t="s">
        <v>149</v>
      </c>
      <c r="D32" s="137"/>
      <c r="E32" s="47">
        <v>650000</v>
      </c>
      <c r="F32" s="47"/>
      <c r="G32" s="47"/>
      <c r="H32" s="47"/>
      <c r="J32" s="9">
        <f t="shared" si="5"/>
        <v>650000</v>
      </c>
    </row>
    <row r="33" spans="2:10" x14ac:dyDescent="0.3">
      <c r="B33" s="133" t="s">
        <v>35</v>
      </c>
      <c r="C33" s="138"/>
      <c r="D33" s="137" t="s">
        <v>31</v>
      </c>
      <c r="E33" s="47"/>
      <c r="F33" s="47"/>
      <c r="G33" s="47"/>
      <c r="H33" s="47"/>
      <c r="J33" s="9">
        <f t="shared" si="5"/>
        <v>0</v>
      </c>
    </row>
    <row r="34" spans="2:10" x14ac:dyDescent="0.3">
      <c r="B34" s="130"/>
      <c r="C34" s="45" t="s">
        <v>14</v>
      </c>
      <c r="D34" s="139">
        <f>SUM(D21:D33)</f>
        <v>0</v>
      </c>
      <c r="E34" s="139">
        <f>SUM(E21:E33)</f>
        <v>2192000</v>
      </c>
      <c r="F34" s="139">
        <f t="shared" ref="F34:H34" si="6">SUM(F21:F33)</f>
        <v>0</v>
      </c>
      <c r="G34" s="139">
        <f t="shared" si="6"/>
        <v>0</v>
      </c>
      <c r="H34" s="139">
        <f t="shared" si="6"/>
        <v>0</v>
      </c>
      <c r="J34" s="37">
        <f>SUM(D34:H34)</f>
        <v>2192000</v>
      </c>
    </row>
    <row r="35" spans="2:10" x14ac:dyDescent="0.3">
      <c r="B35" s="130"/>
      <c r="C35" s="10" t="s">
        <v>36</v>
      </c>
      <c r="D35" s="8" t="s">
        <v>31</v>
      </c>
      <c r="E35" s="8"/>
      <c r="F35" s="8"/>
      <c r="G35" s="8"/>
      <c r="H35" s="8"/>
      <c r="J35" s="9"/>
    </row>
    <row r="36" spans="2:10" x14ac:dyDescent="0.3">
      <c r="B36" s="130"/>
      <c r="C36" s="18" t="s">
        <v>150</v>
      </c>
      <c r="D36" s="9"/>
      <c r="E36" s="9">
        <v>500</v>
      </c>
      <c r="F36" s="9"/>
      <c r="G36" s="9"/>
      <c r="H36" s="9"/>
      <c r="I36" s="20"/>
      <c r="J36" s="9">
        <f t="shared" ref="J36:J54" si="7">SUM(D36:H36)</f>
        <v>500</v>
      </c>
    </row>
    <row r="37" spans="2:10" x14ac:dyDescent="0.3">
      <c r="B37" s="130"/>
      <c r="C37" s="18"/>
      <c r="D37" s="9"/>
      <c r="E37" s="9"/>
      <c r="F37" s="9"/>
      <c r="G37" s="9"/>
      <c r="H37" s="9"/>
      <c r="J37" s="9">
        <f t="shared" si="7"/>
        <v>0</v>
      </c>
    </row>
    <row r="38" spans="2:10" x14ac:dyDescent="0.3">
      <c r="B38" s="130"/>
      <c r="C38" s="7" t="s">
        <v>15</v>
      </c>
      <c r="D38" s="37">
        <f>SUM(D36:D37)</f>
        <v>0</v>
      </c>
      <c r="E38" s="37">
        <f>SUM(E36:E37)</f>
        <v>500</v>
      </c>
      <c r="F38" s="37">
        <f t="shared" ref="F38:H38" si="8">SUM(F36:F37)</f>
        <v>0</v>
      </c>
      <c r="G38" s="37">
        <f t="shared" si="8"/>
        <v>0</v>
      </c>
      <c r="H38" s="37">
        <f t="shared" si="8"/>
        <v>0</v>
      </c>
      <c r="J38" s="37">
        <f>SUM(D38:H38)</f>
        <v>500</v>
      </c>
    </row>
    <row r="39" spans="2:10" x14ac:dyDescent="0.3">
      <c r="B39" s="130"/>
      <c r="C39" s="10" t="s">
        <v>37</v>
      </c>
      <c r="D39" s="8" t="s">
        <v>31</v>
      </c>
      <c r="E39" s="8"/>
      <c r="F39" s="8"/>
      <c r="G39" s="8"/>
      <c r="H39" s="8"/>
      <c r="J39" s="9"/>
    </row>
    <row r="40" spans="2:10" x14ac:dyDescent="0.3">
      <c r="B40" s="130"/>
      <c r="C40" s="8" t="s">
        <v>151</v>
      </c>
      <c r="D40" s="9"/>
      <c r="E40" s="9">
        <v>20000</v>
      </c>
      <c r="F40" s="9"/>
      <c r="G40" s="9"/>
      <c r="H40" s="9"/>
      <c r="I40" s="20"/>
      <c r="J40" s="9">
        <f>SUM(D40:H40)</f>
        <v>20000</v>
      </c>
    </row>
    <row r="41" spans="2:10" x14ac:dyDescent="0.3">
      <c r="B41" s="130"/>
      <c r="C41" s="8" t="s">
        <v>152</v>
      </c>
      <c r="D41" s="9"/>
      <c r="E41" s="9">
        <v>208000</v>
      </c>
      <c r="F41" s="9"/>
      <c r="G41" s="9"/>
      <c r="H41" s="9"/>
      <c r="I41" s="20"/>
      <c r="J41" s="9">
        <f t="shared" si="7"/>
        <v>208000</v>
      </c>
    </row>
    <row r="42" spans="2:10" x14ac:dyDescent="0.3">
      <c r="B42" s="130"/>
      <c r="C42" s="8" t="s">
        <v>153</v>
      </c>
      <c r="D42" s="9"/>
      <c r="E42" s="9">
        <v>36000</v>
      </c>
      <c r="F42" s="9"/>
      <c r="G42" s="9"/>
      <c r="H42" s="9"/>
      <c r="I42" s="20"/>
      <c r="J42" s="9">
        <f t="shared" si="7"/>
        <v>36000</v>
      </c>
    </row>
    <row r="43" spans="2:10" x14ac:dyDescent="0.3">
      <c r="B43" s="130"/>
      <c r="C43" s="8" t="s">
        <v>154</v>
      </c>
      <c r="D43" s="9"/>
      <c r="E43" s="9">
        <v>60000</v>
      </c>
      <c r="F43" s="9"/>
      <c r="G43" s="9"/>
      <c r="H43" s="9"/>
      <c r="I43" s="20"/>
      <c r="J43" s="9">
        <f t="shared" si="7"/>
        <v>60000</v>
      </c>
    </row>
    <row r="44" spans="2:10" x14ac:dyDescent="0.3">
      <c r="B44" s="130"/>
      <c r="C44" s="8" t="s">
        <v>155</v>
      </c>
      <c r="D44" s="9"/>
      <c r="E44" s="9">
        <v>125000</v>
      </c>
      <c r="F44" s="9"/>
      <c r="G44" s="9"/>
      <c r="H44" s="9"/>
      <c r="I44" s="20"/>
      <c r="J44" s="9">
        <f t="shared" si="7"/>
        <v>125000</v>
      </c>
    </row>
    <row r="45" spans="2:10" x14ac:dyDescent="0.3">
      <c r="B45" s="130"/>
      <c r="C45" s="8" t="s">
        <v>156</v>
      </c>
      <c r="D45" s="9"/>
      <c r="E45" s="9">
        <v>40000</v>
      </c>
      <c r="F45" s="9"/>
      <c r="G45" s="9"/>
      <c r="H45" s="9"/>
      <c r="I45" s="20"/>
      <c r="J45" s="9">
        <f t="shared" si="7"/>
        <v>40000</v>
      </c>
    </row>
    <row r="46" spans="2:10" x14ac:dyDescent="0.3">
      <c r="B46" s="130"/>
      <c r="C46" s="8" t="s">
        <v>157</v>
      </c>
      <c r="D46" s="9"/>
      <c r="E46" s="9">
        <v>150000</v>
      </c>
      <c r="F46" s="9"/>
      <c r="G46" s="9"/>
      <c r="H46" s="9"/>
      <c r="I46" s="20"/>
      <c r="J46" s="9">
        <f t="shared" si="7"/>
        <v>150000</v>
      </c>
    </row>
    <row r="47" spans="2:10" x14ac:dyDescent="0.3">
      <c r="B47" s="130"/>
      <c r="C47" s="131" t="s">
        <v>158</v>
      </c>
      <c r="D47" s="9">
        <v>20000</v>
      </c>
      <c r="E47" s="9"/>
      <c r="F47" s="9"/>
      <c r="G47" s="9"/>
      <c r="H47" s="9"/>
      <c r="J47" s="9">
        <f t="shared" si="7"/>
        <v>20000</v>
      </c>
    </row>
    <row r="48" spans="2:10" x14ac:dyDescent="0.3">
      <c r="B48" s="130"/>
      <c r="C48" s="7" t="s">
        <v>16</v>
      </c>
      <c r="D48" s="37">
        <f>SUM(D40:D47)</f>
        <v>20000</v>
      </c>
      <c r="E48" s="37">
        <f>SUM(E40:E47)</f>
        <v>639000</v>
      </c>
      <c r="F48" s="37">
        <f t="shared" ref="F48:H48" si="9">SUM(F40:F47)</f>
        <v>0</v>
      </c>
      <c r="G48" s="37">
        <f t="shared" si="9"/>
        <v>0</v>
      </c>
      <c r="H48" s="37">
        <f t="shared" si="9"/>
        <v>0</v>
      </c>
      <c r="J48" s="37">
        <f>SUM(D48:H48)</f>
        <v>659000</v>
      </c>
    </row>
    <row r="49" spans="2:10" x14ac:dyDescent="0.3">
      <c r="B49" s="130"/>
      <c r="C49" s="10" t="s">
        <v>38</v>
      </c>
      <c r="D49" s="8" t="s">
        <v>31</v>
      </c>
      <c r="E49" s="8"/>
      <c r="F49" s="8"/>
      <c r="G49" s="8"/>
      <c r="H49" s="8"/>
      <c r="J49" s="9"/>
    </row>
    <row r="50" spans="2:10" x14ac:dyDescent="0.3">
      <c r="B50" s="130"/>
      <c r="C50" s="131" t="s">
        <v>159</v>
      </c>
      <c r="D50" s="9"/>
      <c r="E50" s="9">
        <v>61000</v>
      </c>
      <c r="F50" s="9"/>
      <c r="G50" s="9"/>
      <c r="H50" s="9"/>
      <c r="I50" s="20"/>
      <c r="J50" s="9">
        <f t="shared" si="7"/>
        <v>61000</v>
      </c>
    </row>
    <row r="51" spans="2:10" x14ac:dyDescent="0.3">
      <c r="B51" s="130"/>
      <c r="C51" s="131" t="s">
        <v>160</v>
      </c>
      <c r="D51" s="9"/>
      <c r="E51" s="9">
        <v>15000</v>
      </c>
      <c r="F51" s="9"/>
      <c r="G51" s="9"/>
      <c r="H51" s="9"/>
      <c r="I51" s="20"/>
      <c r="J51" s="9">
        <f t="shared" si="7"/>
        <v>15000</v>
      </c>
    </row>
    <row r="52" spans="2:10" x14ac:dyDescent="0.3">
      <c r="B52" s="130"/>
      <c r="C52" s="131" t="s">
        <v>161</v>
      </c>
      <c r="D52" s="9">
        <v>30000</v>
      </c>
      <c r="E52" s="9"/>
      <c r="F52" s="9"/>
      <c r="G52" s="9"/>
      <c r="H52" s="9"/>
      <c r="I52" s="20"/>
      <c r="J52" s="9">
        <f t="shared" si="7"/>
        <v>30000</v>
      </c>
    </row>
    <row r="53" spans="2:10" x14ac:dyDescent="0.3">
      <c r="B53" s="130"/>
      <c r="C53" s="131" t="s">
        <v>162</v>
      </c>
      <c r="D53" s="9"/>
      <c r="E53" s="9">
        <v>257500</v>
      </c>
      <c r="F53" s="9"/>
      <c r="G53" s="9"/>
      <c r="H53" s="9"/>
      <c r="J53" s="9">
        <f t="shared" si="7"/>
        <v>257500</v>
      </c>
    </row>
    <row r="54" spans="2:10" x14ac:dyDescent="0.3">
      <c r="B54" s="130"/>
      <c r="C54" s="8"/>
      <c r="D54" s="9"/>
      <c r="E54" s="9"/>
      <c r="F54" s="9"/>
      <c r="G54" s="9"/>
      <c r="H54" s="9"/>
      <c r="J54" s="9">
        <f t="shared" si="7"/>
        <v>0</v>
      </c>
    </row>
    <row r="55" spans="2:10" x14ac:dyDescent="0.3">
      <c r="B55" s="140"/>
      <c r="C55" s="7" t="s">
        <v>17</v>
      </c>
      <c r="D55" s="37">
        <f>SUM(D50:D54)</f>
        <v>30000</v>
      </c>
      <c r="E55" s="37">
        <f>SUM(E50:E54)</f>
        <v>333500</v>
      </c>
      <c r="F55" s="37">
        <f t="shared" ref="F55:H55" si="10">SUM(F50:F54)</f>
        <v>0</v>
      </c>
      <c r="G55" s="37">
        <f t="shared" si="10"/>
        <v>0</v>
      </c>
      <c r="H55" s="37">
        <f t="shared" si="10"/>
        <v>0</v>
      </c>
      <c r="J55" s="37">
        <f>SUM(D55:H55)</f>
        <v>363500</v>
      </c>
    </row>
    <row r="56" spans="2:10" x14ac:dyDescent="0.3">
      <c r="B56" s="140"/>
      <c r="C56" s="7" t="s">
        <v>18</v>
      </c>
      <c r="D56" s="37">
        <f>SUM(D55,D48,D38,D34,D19,D16,D11)</f>
        <v>145002.83000000002</v>
      </c>
      <c r="E56" s="37">
        <f>SUM(E55,E48,E38,E34,E19,E16,E11)</f>
        <v>3260002.83</v>
      </c>
      <c r="F56" s="37">
        <f>SUM(F55,F48,F38,F34,F19,F16,F11)</f>
        <v>95002.83</v>
      </c>
      <c r="G56" s="37">
        <f>SUM(G55,G48,G38,G34,G19,G16,G11)</f>
        <v>35626.050000000003</v>
      </c>
      <c r="H56" s="37">
        <f>SUM(H55,H48,H38,H34,H19,H16,H11)</f>
        <v>35626.050000000003</v>
      </c>
      <c r="J56" s="37">
        <f>SUM(D56:H56)</f>
        <v>3571260.59</v>
      </c>
    </row>
    <row r="57" spans="2:10" x14ac:dyDescent="0.3">
      <c r="B57" s="128"/>
      <c r="C57" s="5"/>
      <c r="D57" s="5"/>
      <c r="E57" s="5"/>
      <c r="F57" s="5"/>
      <c r="G57" s="5"/>
      <c r="H57" s="5"/>
      <c r="J57" s="5" t="s">
        <v>19</v>
      </c>
    </row>
    <row r="58" spans="2:10" x14ac:dyDescent="0.3">
      <c r="B58" s="13" t="s">
        <v>39</v>
      </c>
      <c r="C58" s="46" t="s">
        <v>39</v>
      </c>
      <c r="D58" s="6"/>
      <c r="E58" s="6"/>
      <c r="F58" s="6"/>
      <c r="G58" s="6"/>
      <c r="H58" s="6"/>
      <c r="J58" s="6" t="s">
        <v>19</v>
      </c>
    </row>
    <row r="59" spans="2:10" x14ac:dyDescent="0.3">
      <c r="B59" s="130"/>
      <c r="C59" s="131" t="s">
        <v>163</v>
      </c>
      <c r="D59" s="47">
        <v>7629.6</v>
      </c>
      <c r="E59" s="47">
        <v>7629.6</v>
      </c>
      <c r="F59" s="47">
        <v>7629.6</v>
      </c>
      <c r="G59" s="47">
        <v>2861</v>
      </c>
      <c r="H59" s="47">
        <v>2861</v>
      </c>
      <c r="J59" s="9">
        <f>SUM(D59:H59)</f>
        <v>28610.800000000003</v>
      </c>
    </row>
    <row r="60" spans="2:10" x14ac:dyDescent="0.3">
      <c r="B60" s="130"/>
      <c r="C60" s="18"/>
      <c r="D60" s="47"/>
      <c r="E60" s="47"/>
      <c r="F60" s="47"/>
      <c r="G60" s="47"/>
      <c r="H60" s="47"/>
      <c r="J60" s="9">
        <f t="shared" ref="J60" si="11">SUM(D60:H60)</f>
        <v>0</v>
      </c>
    </row>
    <row r="61" spans="2:10" x14ac:dyDescent="0.3">
      <c r="B61" s="140"/>
      <c r="C61" s="7" t="s">
        <v>20</v>
      </c>
      <c r="D61" s="37">
        <f>SUM(D59:D60)</f>
        <v>7629.6</v>
      </c>
      <c r="E61" s="37">
        <f t="shared" ref="E61:H61" si="12">SUM(E59:E60)</f>
        <v>7629.6</v>
      </c>
      <c r="F61" s="37">
        <f t="shared" si="12"/>
        <v>7629.6</v>
      </c>
      <c r="G61" s="37">
        <f t="shared" si="12"/>
        <v>2861</v>
      </c>
      <c r="H61" s="37">
        <f t="shared" si="12"/>
        <v>2861</v>
      </c>
      <c r="J61" s="37">
        <f>SUM(D61:H61)</f>
        <v>28610.800000000003</v>
      </c>
    </row>
    <row r="62" spans="2:10" x14ac:dyDescent="0.3">
      <c r="B62" s="128"/>
      <c r="C62" s="5"/>
      <c r="D62" s="5"/>
      <c r="E62" s="5"/>
      <c r="F62" s="5"/>
      <c r="G62" s="5"/>
      <c r="H62" s="5"/>
      <c r="J62" s="5" t="s">
        <v>19</v>
      </c>
    </row>
    <row r="63" spans="2:10" s="1" customFormat="1" ht="28.8" x14ac:dyDescent="0.3">
      <c r="B63" s="12" t="s">
        <v>21</v>
      </c>
      <c r="C63" s="12"/>
      <c r="D63" s="141">
        <f t="shared" ref="D63:J63" si="13">SUM(D61,D56)</f>
        <v>152632.43000000002</v>
      </c>
      <c r="E63" s="141">
        <f t="shared" si="13"/>
        <v>3267632.43</v>
      </c>
      <c r="F63" s="141">
        <f t="shared" si="13"/>
        <v>102632.43000000001</v>
      </c>
      <c r="G63" s="141">
        <f t="shared" si="13"/>
        <v>38487.050000000003</v>
      </c>
      <c r="H63" s="141">
        <f t="shared" si="13"/>
        <v>38487.050000000003</v>
      </c>
      <c r="I63" s="5"/>
      <c r="J63" s="141">
        <f t="shared" si="13"/>
        <v>3599871.3899999997</v>
      </c>
    </row>
    <row r="64" spans="2:10" x14ac:dyDescent="0.3">
      <c r="B64" s="128"/>
    </row>
    <row r="65" spans="2:2" x14ac:dyDescent="0.3">
      <c r="B65" s="128"/>
    </row>
    <row r="66" spans="2:2" x14ac:dyDescent="0.3">
      <c r="B66" s="128"/>
    </row>
    <row r="67" spans="2:2" x14ac:dyDescent="0.3">
      <c r="B67" s="128"/>
    </row>
    <row r="68" spans="2:2" x14ac:dyDescent="0.3">
      <c r="B68" s="128"/>
    </row>
    <row r="69" spans="2:2" x14ac:dyDescent="0.3">
      <c r="B69" s="128"/>
    </row>
    <row r="70" spans="2:2" x14ac:dyDescent="0.3">
      <c r="B70" s="128"/>
    </row>
    <row r="71" spans="2:2" x14ac:dyDescent="0.3">
      <c r="B71" s="128"/>
    </row>
    <row r="72" spans="2:2" x14ac:dyDescent="0.3">
      <c r="B72" s="128"/>
    </row>
    <row r="73" spans="2:2" x14ac:dyDescent="0.3">
      <c r="B73" s="128"/>
    </row>
    <row r="74" spans="2:2" x14ac:dyDescent="0.3">
      <c r="B74" s="128"/>
    </row>
    <row r="75" spans="2:2" x14ac:dyDescent="0.3">
      <c r="B75" s="128"/>
    </row>
    <row r="76" spans="2:2" x14ac:dyDescent="0.3">
      <c r="B76" s="128"/>
    </row>
    <row r="77" spans="2:2" x14ac:dyDescent="0.3">
      <c r="B77" s="128"/>
    </row>
    <row r="78" spans="2:2" x14ac:dyDescent="0.3">
      <c r="B78" s="128"/>
    </row>
  </sheetData>
  <sheetProtection sheet="1" objects="1" scenarios="1" selectLockedCells="1" selectUnlockedCells="1"/>
  <pageMargins left="0.7" right="0.7" top="0.75" bottom="0.75" header="0.3" footer="0.3"/>
  <pageSetup scale="89" fitToHeight="0" orientation="landscape" r:id="rId1"/>
  <ignoredErrors>
    <ignoredError sqref="J8 J18 J36 J50:J52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S68"/>
  <sheetViews>
    <sheetView showGridLines="0" topLeftCell="A25" zoomScale="85" zoomScaleNormal="85" workbookViewId="0">
      <selection activeCell="I1" sqref="I1:I1048576"/>
    </sheetView>
  </sheetViews>
  <sheetFormatPr defaultColWidth="9.33203125" defaultRowHeight="14.4" x14ac:dyDescent="0.3"/>
  <cols>
    <col min="1" max="1" width="3.33203125" style="49" customWidth="1"/>
    <col min="2" max="2" width="14.33203125" style="49" customWidth="1"/>
    <col min="3" max="3" width="48.44140625" style="49" customWidth="1"/>
    <col min="4" max="4" width="14.6640625" style="59" customWidth="1"/>
    <col min="5" max="5" width="14.109375" style="72" customWidth="1"/>
    <col min="6" max="6" width="15.88671875" style="49" customWidth="1"/>
    <col min="7" max="7" width="14.44140625" style="49" customWidth="1"/>
    <col min="8" max="8" width="14.6640625" style="72" customWidth="1"/>
    <col min="9" max="9" width="13" style="49" hidden="1" customWidth="1"/>
    <col min="10" max="10" width="12.6640625" style="49" bestFit="1" customWidth="1"/>
    <col min="11" max="11" width="10.33203125" style="49" customWidth="1"/>
    <col min="12" max="12" width="12" style="49" customWidth="1"/>
    <col min="13" max="13" width="15.5546875" style="49" customWidth="1"/>
    <col min="14" max="14" width="13.6640625" style="49" bestFit="1" customWidth="1"/>
    <col min="15" max="15" width="13.33203125" style="49" customWidth="1"/>
    <col min="16" max="17" width="13.6640625" style="49" bestFit="1" customWidth="1"/>
    <col min="18" max="18" width="12" style="49" bestFit="1" customWidth="1"/>
    <col min="19" max="19" width="12.44140625" style="49" bestFit="1" customWidth="1"/>
    <col min="20" max="16384" width="9.33203125" style="49"/>
  </cols>
  <sheetData>
    <row r="2" spans="2:15" ht="23.4" x14ac:dyDescent="0.45">
      <c r="B2" s="71" t="s">
        <v>29</v>
      </c>
    </row>
    <row r="3" spans="2:15" x14ac:dyDescent="0.3">
      <c r="B3" s="49" t="s">
        <v>164</v>
      </c>
    </row>
    <row r="5" spans="2:15" ht="18" x14ac:dyDescent="0.35">
      <c r="B5" s="73" t="s">
        <v>1</v>
      </c>
      <c r="C5" s="74"/>
      <c r="D5" s="74"/>
      <c r="E5" s="74"/>
      <c r="F5" s="74"/>
      <c r="G5" s="74"/>
      <c r="H5" s="74"/>
      <c r="I5" s="74"/>
      <c r="J5" s="75"/>
    </row>
    <row r="6" spans="2:15" x14ac:dyDescent="0.3">
      <c r="B6" s="76" t="s">
        <v>2</v>
      </c>
      <c r="C6" s="76" t="s">
        <v>3</v>
      </c>
      <c r="D6" s="76" t="s">
        <v>165</v>
      </c>
      <c r="E6" s="77" t="s">
        <v>166</v>
      </c>
      <c r="F6" s="77" t="s">
        <v>167</v>
      </c>
      <c r="G6" s="77" t="s">
        <v>168</v>
      </c>
      <c r="H6" s="78" t="s">
        <v>169</v>
      </c>
      <c r="I6" s="79"/>
      <c r="J6" s="80" t="s">
        <v>9</v>
      </c>
    </row>
    <row r="7" spans="2:15" x14ac:dyDescent="0.3">
      <c r="B7" s="81" t="s">
        <v>10</v>
      </c>
      <c r="C7" s="81" t="s">
        <v>30</v>
      </c>
      <c r="D7" s="142"/>
      <c r="E7" s="142"/>
      <c r="F7" s="142"/>
      <c r="G7" s="142"/>
      <c r="H7" s="142"/>
      <c r="J7" s="68" t="s">
        <v>31</v>
      </c>
    </row>
    <row r="8" spans="2:15" x14ac:dyDescent="0.3">
      <c r="B8" s="143"/>
      <c r="C8" s="144" t="s">
        <v>170</v>
      </c>
      <c r="D8" s="145">
        <v>7794.02</v>
      </c>
      <c r="E8" s="146">
        <v>8183.72</v>
      </c>
      <c r="F8" s="146">
        <v>8592.9</v>
      </c>
      <c r="G8" s="146">
        <v>9022.5499999999993</v>
      </c>
      <c r="H8" s="146">
        <v>9473.68</v>
      </c>
      <c r="I8" s="48"/>
      <c r="J8" s="69">
        <f>SUM(D8:H8)</f>
        <v>43066.87</v>
      </c>
      <c r="O8" s="147"/>
    </row>
    <row r="9" spans="2:15" x14ac:dyDescent="0.3">
      <c r="B9" s="143"/>
      <c r="C9" s="144" t="s">
        <v>171</v>
      </c>
      <c r="D9" s="148">
        <v>31176.07</v>
      </c>
      <c r="E9" s="149">
        <v>32734.87</v>
      </c>
      <c r="F9" s="149">
        <v>34371.620000000003</v>
      </c>
      <c r="G9" s="149">
        <v>36090.199999999997</v>
      </c>
      <c r="H9" s="149">
        <v>37894.71</v>
      </c>
      <c r="J9" s="69">
        <f>SUM(D9:H9)</f>
        <v>172267.47</v>
      </c>
    </row>
    <row r="10" spans="2:15" x14ac:dyDescent="0.3">
      <c r="B10" s="56"/>
      <c r="C10" s="150" t="s">
        <v>11</v>
      </c>
      <c r="D10" s="70">
        <f>SUM(D8:D9)</f>
        <v>38970.089999999997</v>
      </c>
      <c r="E10" s="70">
        <f t="shared" ref="E10:H10" si="0">SUM(E8:E9)</f>
        <v>40918.589999999997</v>
      </c>
      <c r="F10" s="70">
        <f t="shared" si="0"/>
        <v>42964.520000000004</v>
      </c>
      <c r="G10" s="70">
        <f t="shared" si="0"/>
        <v>45112.75</v>
      </c>
      <c r="H10" s="70">
        <f t="shared" si="0"/>
        <v>47368.39</v>
      </c>
      <c r="J10" s="70">
        <f>SUM(D10:H10)</f>
        <v>215334.34000000003</v>
      </c>
    </row>
    <row r="11" spans="2:15" x14ac:dyDescent="0.3">
      <c r="B11" s="56"/>
      <c r="C11" s="151" t="s">
        <v>68</v>
      </c>
      <c r="D11" s="63" t="s">
        <v>31</v>
      </c>
      <c r="E11" s="63"/>
      <c r="F11" s="63"/>
      <c r="G11" s="63"/>
      <c r="H11" s="69"/>
      <c r="J11" s="68" t="s">
        <v>31</v>
      </c>
    </row>
    <row r="12" spans="2:15" x14ac:dyDescent="0.3">
      <c r="B12" s="143"/>
      <c r="C12" s="144" t="s">
        <v>172</v>
      </c>
      <c r="D12" s="145">
        <v>4637.74</v>
      </c>
      <c r="E12" s="146">
        <v>4869.63</v>
      </c>
      <c r="F12" s="146">
        <v>5113.1099999999997</v>
      </c>
      <c r="G12" s="146">
        <v>5368.77</v>
      </c>
      <c r="H12" s="146">
        <v>5637.2</v>
      </c>
      <c r="J12" s="69">
        <f>SUM(D12:H12)</f>
        <v>25626.45</v>
      </c>
    </row>
    <row r="13" spans="2:15" x14ac:dyDescent="0.3">
      <c r="B13" s="143"/>
      <c r="C13" s="144" t="s">
        <v>173</v>
      </c>
      <c r="D13" s="148">
        <v>18550.97</v>
      </c>
      <c r="E13" s="149">
        <v>19478.509999999998</v>
      </c>
      <c r="F13" s="149">
        <v>20452.439999999999</v>
      </c>
      <c r="G13" s="149">
        <v>21475.06</v>
      </c>
      <c r="H13" s="149">
        <v>22548.81</v>
      </c>
      <c r="J13" s="69">
        <f t="shared" ref="J13" si="1">SUM(D13:H13)</f>
        <v>102505.79</v>
      </c>
    </row>
    <row r="14" spans="2:15" x14ac:dyDescent="0.3">
      <c r="B14" s="56"/>
      <c r="C14" s="150" t="s">
        <v>12</v>
      </c>
      <c r="D14" s="160">
        <f>SUM(D12:D13)</f>
        <v>23188.71</v>
      </c>
      <c r="E14" s="160">
        <f t="shared" ref="E14:H14" si="2">SUM(E12:E13)</f>
        <v>24348.14</v>
      </c>
      <c r="F14" s="160">
        <f t="shared" si="2"/>
        <v>25565.55</v>
      </c>
      <c r="G14" s="160">
        <f t="shared" si="2"/>
        <v>26843.83</v>
      </c>
      <c r="H14" s="160">
        <f t="shared" si="2"/>
        <v>28186.010000000002</v>
      </c>
      <c r="J14" s="70">
        <f>SUM(D14:H14)</f>
        <v>128132.23999999999</v>
      </c>
    </row>
    <row r="15" spans="2:15" s="89" customFormat="1" x14ac:dyDescent="0.3">
      <c r="B15" s="130"/>
      <c r="C15" s="10" t="s">
        <v>33</v>
      </c>
      <c r="D15" s="8" t="s">
        <v>31</v>
      </c>
      <c r="E15" s="8"/>
      <c r="F15" s="8"/>
      <c r="G15" s="8"/>
      <c r="H15" s="8"/>
      <c r="I15" s="5"/>
      <c r="J15" s="6" t="s">
        <v>31</v>
      </c>
    </row>
    <row r="16" spans="2:15" s="89" customFormat="1" x14ac:dyDescent="0.3">
      <c r="B16" s="130"/>
      <c r="C16" s="18"/>
      <c r="D16" s="9"/>
      <c r="E16" s="9"/>
      <c r="F16" s="9"/>
      <c r="G16" s="9"/>
      <c r="H16" s="9"/>
      <c r="I16" s="20"/>
      <c r="J16" s="9">
        <f t="shared" ref="J16" si="3">SUM(D16:H16)</f>
        <v>0</v>
      </c>
    </row>
    <row r="17" spans="2:19" s="89" customFormat="1" x14ac:dyDescent="0.3">
      <c r="B17" s="130"/>
      <c r="C17" s="7" t="s">
        <v>13</v>
      </c>
      <c r="D17" s="37">
        <f>SUM(D16:D16)</f>
        <v>0</v>
      </c>
      <c r="E17" s="37">
        <f>SUM(E16:E16)</f>
        <v>0</v>
      </c>
      <c r="F17" s="37">
        <f>SUM(F16:F16)</f>
        <v>0</v>
      </c>
      <c r="G17" s="37">
        <f>SUM(G16:G16)</f>
        <v>0</v>
      </c>
      <c r="H17" s="37">
        <f>SUM(H16:H16)</f>
        <v>0</v>
      </c>
      <c r="I17" s="5"/>
      <c r="J17" s="37">
        <f>SUM(J16:J16)</f>
        <v>0</v>
      </c>
    </row>
    <row r="18" spans="2:19" x14ac:dyDescent="0.3">
      <c r="B18" s="56"/>
      <c r="C18" s="152" t="s">
        <v>34</v>
      </c>
      <c r="D18" s="103"/>
      <c r="E18" s="153"/>
      <c r="F18" s="153"/>
      <c r="G18" s="153"/>
      <c r="H18" s="153"/>
      <c r="J18" s="69" t="s">
        <v>19</v>
      </c>
    </row>
    <row r="19" spans="2:19" ht="33" customHeight="1" x14ac:dyDescent="0.3">
      <c r="B19" s="56"/>
      <c r="C19" s="161" t="s">
        <v>174</v>
      </c>
      <c r="D19" s="154"/>
      <c r="E19" s="155"/>
      <c r="F19" s="144"/>
      <c r="G19" s="144"/>
      <c r="H19" s="103">
        <f>1050000*0.4</f>
        <v>420000</v>
      </c>
      <c r="J19" s="69">
        <f t="shared" ref="J19:J25" si="4">SUM(E19:H19)</f>
        <v>420000</v>
      </c>
    </row>
    <row r="20" spans="2:19" ht="43.2" x14ac:dyDescent="0.3">
      <c r="B20" s="56"/>
      <c r="C20" s="161" t="s">
        <v>175</v>
      </c>
      <c r="D20" s="154"/>
      <c r="E20" s="155"/>
      <c r="F20" s="144"/>
      <c r="G20" s="144"/>
      <c r="H20" s="103">
        <f>3065000*0.6</f>
        <v>1839000</v>
      </c>
      <c r="J20" s="69">
        <f t="shared" si="4"/>
        <v>1839000</v>
      </c>
      <c r="M20" s="156"/>
    </row>
    <row r="21" spans="2:19" ht="28.8" x14ac:dyDescent="0.3">
      <c r="B21" s="56"/>
      <c r="C21" s="161" t="s">
        <v>176</v>
      </c>
      <c r="D21" s="154"/>
      <c r="E21" s="155"/>
      <c r="F21" s="144"/>
      <c r="G21" s="155"/>
      <c r="H21" s="103">
        <f>5000000*0.45</f>
        <v>2250000</v>
      </c>
      <c r="J21" s="69">
        <f t="shared" si="4"/>
        <v>2250000</v>
      </c>
    </row>
    <row r="22" spans="2:19" x14ac:dyDescent="0.3">
      <c r="B22" s="56"/>
      <c r="C22" s="161" t="s">
        <v>177</v>
      </c>
      <c r="D22" s="154"/>
      <c r="E22" s="103">
        <v>1200000</v>
      </c>
      <c r="F22" s="155"/>
      <c r="G22" s="155"/>
      <c r="H22" s="155"/>
      <c r="J22" s="69">
        <f>SUM(E22:H22)</f>
        <v>1200000</v>
      </c>
      <c r="M22" s="158"/>
      <c r="N22" s="158"/>
      <c r="O22" s="158"/>
      <c r="P22" s="158"/>
      <c r="Q22" s="158"/>
    </row>
    <row r="23" spans="2:19" ht="57.6" x14ac:dyDescent="0.3">
      <c r="B23" s="56"/>
      <c r="C23" s="161" t="s">
        <v>178</v>
      </c>
      <c r="D23" s="154"/>
      <c r="E23" s="103">
        <f>750000*0.5</f>
        <v>375000</v>
      </c>
      <c r="F23" s="155"/>
      <c r="G23" s="155"/>
      <c r="H23" s="155"/>
      <c r="J23" s="69">
        <f t="shared" si="4"/>
        <v>375000</v>
      </c>
      <c r="M23" s="158"/>
      <c r="N23" s="158"/>
      <c r="O23" s="158"/>
      <c r="P23" s="158"/>
      <c r="Q23" s="158"/>
    </row>
    <row r="24" spans="2:19" x14ac:dyDescent="0.3">
      <c r="B24" s="56"/>
      <c r="C24" s="161" t="s">
        <v>179</v>
      </c>
      <c r="D24" s="154"/>
      <c r="E24" s="155"/>
      <c r="F24" s="144"/>
      <c r="G24" s="155"/>
      <c r="H24" s="103">
        <f>350000*0.4</f>
        <v>140000</v>
      </c>
      <c r="J24" s="69">
        <f t="shared" si="4"/>
        <v>140000</v>
      </c>
      <c r="M24" s="158"/>
      <c r="N24" s="158"/>
      <c r="O24" s="158"/>
      <c r="P24" s="158"/>
      <c r="Q24" s="158"/>
      <c r="S24" s="240"/>
    </row>
    <row r="25" spans="2:19" ht="43.2" x14ac:dyDescent="0.3">
      <c r="B25" s="56"/>
      <c r="C25" s="161" t="s">
        <v>180</v>
      </c>
      <c r="D25" s="154"/>
      <c r="E25" s="155"/>
      <c r="F25" s="144"/>
      <c r="G25" s="155"/>
      <c r="H25" s="103">
        <f>420000*0.6</f>
        <v>252000</v>
      </c>
      <c r="J25" s="69">
        <f t="shared" si="4"/>
        <v>252000</v>
      </c>
    </row>
    <row r="26" spans="2:19" x14ac:dyDescent="0.3">
      <c r="B26" s="56" t="s">
        <v>35</v>
      </c>
      <c r="C26" s="54"/>
      <c r="D26" s="157" t="s">
        <v>31</v>
      </c>
      <c r="E26" s="157"/>
      <c r="F26" s="157"/>
      <c r="G26" s="157"/>
      <c r="H26" s="157"/>
      <c r="J26" s="69">
        <f t="shared" ref="J26" si="5">SUM(D26:H26)</f>
        <v>0</v>
      </c>
      <c r="M26" s="158"/>
      <c r="N26" s="158"/>
      <c r="O26" s="158"/>
      <c r="P26" s="158"/>
      <c r="Q26" s="158"/>
      <c r="R26" s="158"/>
      <c r="S26" s="158"/>
    </row>
    <row r="27" spans="2:19" x14ac:dyDescent="0.3">
      <c r="B27" s="56"/>
      <c r="C27" s="58" t="s">
        <v>14</v>
      </c>
      <c r="D27" s="87">
        <f>SUM(D19:D26)</f>
        <v>0</v>
      </c>
      <c r="E27" s="87">
        <f>SUM(E19:E26)</f>
        <v>1575000</v>
      </c>
      <c r="F27" s="87">
        <f>SUM(F19:F26)</f>
        <v>0</v>
      </c>
      <c r="G27" s="87">
        <f>SUM(G19:G26)</f>
        <v>0</v>
      </c>
      <c r="H27" s="87">
        <f>SUM(H19:H26)</f>
        <v>4901000</v>
      </c>
      <c r="J27" s="70">
        <f>SUM(D27:H27)</f>
        <v>6476000</v>
      </c>
    </row>
    <row r="28" spans="2:19" x14ac:dyDescent="0.3">
      <c r="B28" s="56"/>
      <c r="C28" s="62" t="s">
        <v>36</v>
      </c>
      <c r="D28" s="63" t="s">
        <v>31</v>
      </c>
      <c r="E28" s="63"/>
      <c r="F28" s="63"/>
      <c r="G28" s="63"/>
      <c r="H28" s="63"/>
      <c r="J28" s="69"/>
    </row>
    <row r="29" spans="2:19" x14ac:dyDescent="0.3">
      <c r="B29" s="56"/>
      <c r="C29" s="54"/>
      <c r="D29" s="69"/>
      <c r="E29" s="69"/>
      <c r="F29" s="69"/>
      <c r="G29" s="69"/>
      <c r="H29" s="69"/>
      <c r="I29" s="48"/>
      <c r="J29" s="69">
        <f t="shared" ref="J29:J42" si="6">SUM(D29:H29)</f>
        <v>0</v>
      </c>
    </row>
    <row r="30" spans="2:19" x14ac:dyDescent="0.3">
      <c r="B30" s="56"/>
      <c r="C30" s="54"/>
      <c r="D30" s="69"/>
      <c r="E30" s="69"/>
      <c r="F30" s="69"/>
      <c r="G30" s="69"/>
      <c r="H30" s="69"/>
      <c r="J30" s="69">
        <f t="shared" si="6"/>
        <v>0</v>
      </c>
      <c r="N30" s="158"/>
      <c r="O30" s="158"/>
      <c r="P30" s="158"/>
      <c r="Q30" s="158"/>
    </row>
    <row r="31" spans="2:19" x14ac:dyDescent="0.3">
      <c r="B31" s="56"/>
      <c r="C31" s="58" t="s">
        <v>15</v>
      </c>
      <c r="D31" s="70">
        <f>SUM(D29:D30)</f>
        <v>0</v>
      </c>
      <c r="E31" s="70">
        <f t="shared" ref="E31:H31" si="7">SUM(E29:E30)</f>
        <v>0</v>
      </c>
      <c r="F31" s="70">
        <f t="shared" si="7"/>
        <v>0</v>
      </c>
      <c r="G31" s="70">
        <f t="shared" si="7"/>
        <v>0</v>
      </c>
      <c r="H31" s="70">
        <f t="shared" si="7"/>
        <v>0</v>
      </c>
      <c r="J31" s="70">
        <f t="shared" si="6"/>
        <v>0</v>
      </c>
      <c r="M31" s="240"/>
      <c r="N31" s="158"/>
      <c r="O31" s="158"/>
      <c r="P31" s="158"/>
      <c r="Q31" s="158"/>
    </row>
    <row r="32" spans="2:19" x14ac:dyDescent="0.3">
      <c r="B32" s="56"/>
      <c r="C32" s="62" t="s">
        <v>181</v>
      </c>
      <c r="D32" s="63" t="s">
        <v>31</v>
      </c>
      <c r="E32" s="63"/>
      <c r="F32" s="63"/>
      <c r="G32" s="51"/>
      <c r="H32" s="63"/>
      <c r="J32" s="69"/>
    </row>
    <row r="33" spans="2:13" ht="28.8" x14ac:dyDescent="0.3">
      <c r="B33" s="56"/>
      <c r="C33" s="54" t="s">
        <v>182</v>
      </c>
      <c r="D33" s="69">
        <v>1243681</v>
      </c>
      <c r="E33" s="158">
        <f t="shared" ref="E33" si="8">(D33*0.05)+D33</f>
        <v>1305865.05</v>
      </c>
      <c r="F33" s="69">
        <f>(E33*0.05)+E33</f>
        <v>1371158.3025</v>
      </c>
      <c r="G33" s="69">
        <f>(F33*0.05)+F33</f>
        <v>1439716.217625</v>
      </c>
      <c r="H33" s="69">
        <f>(G33*0.05)+G33</f>
        <v>1511702.0285062501</v>
      </c>
      <c r="J33" s="69">
        <f>SUM(D33:H33)</f>
        <v>6872122.5986312507</v>
      </c>
      <c r="L33" s="158"/>
      <c r="M33" s="195"/>
    </row>
    <row r="34" spans="2:13" x14ac:dyDescent="0.3">
      <c r="B34" s="56"/>
      <c r="C34" s="58" t="s">
        <v>183</v>
      </c>
      <c r="D34" s="70">
        <f>SUM(D33:D33)</f>
        <v>1243681</v>
      </c>
      <c r="E34" s="70">
        <f>SUM(E33:E33)</f>
        <v>1305865.05</v>
      </c>
      <c r="F34" s="70">
        <f>SUM(F33:F33)</f>
        <v>1371158.3025</v>
      </c>
      <c r="G34" s="70">
        <f>SUM(G32:G33)</f>
        <v>1439716.217625</v>
      </c>
      <c r="H34" s="70">
        <f>SUM(H32:H33)</f>
        <v>1511702.0285062501</v>
      </c>
      <c r="J34" s="70">
        <f>SUM(D34:H34)</f>
        <v>6872122.5986312507</v>
      </c>
      <c r="L34" s="158"/>
      <c r="M34" s="240"/>
    </row>
    <row r="35" spans="2:13" x14ac:dyDescent="0.3">
      <c r="B35" s="56"/>
      <c r="C35" s="62" t="s">
        <v>184</v>
      </c>
      <c r="D35" s="63" t="s">
        <v>31</v>
      </c>
      <c r="E35" s="63"/>
      <c r="F35" s="63"/>
      <c r="G35" s="63"/>
      <c r="H35" s="63"/>
      <c r="J35" s="69"/>
      <c r="L35" s="158"/>
      <c r="M35" s="262"/>
    </row>
    <row r="36" spans="2:13" x14ac:dyDescent="0.3">
      <c r="B36" s="56"/>
      <c r="C36" s="54"/>
      <c r="D36" s="69"/>
      <c r="E36" s="69"/>
      <c r="F36" s="69"/>
      <c r="G36" s="69"/>
      <c r="H36" s="69"/>
      <c r="I36" s="48"/>
      <c r="J36" s="69">
        <f t="shared" si="6"/>
        <v>0</v>
      </c>
      <c r="L36" s="158"/>
    </row>
    <row r="37" spans="2:13" x14ac:dyDescent="0.3">
      <c r="B37" s="56"/>
      <c r="C37" s="54"/>
      <c r="D37" s="69"/>
      <c r="E37" s="69"/>
      <c r="F37" s="69"/>
      <c r="G37" s="69"/>
      <c r="H37" s="69"/>
      <c r="I37" s="69"/>
      <c r="J37" s="69">
        <f>SUM(D37:H37)</f>
        <v>0</v>
      </c>
      <c r="M37" s="48"/>
    </row>
    <row r="38" spans="2:13" x14ac:dyDescent="0.3">
      <c r="B38" s="56"/>
      <c r="C38" s="54"/>
      <c r="D38" s="69"/>
      <c r="E38" s="69"/>
      <c r="F38" s="69"/>
      <c r="G38" s="69"/>
      <c r="H38" s="69"/>
      <c r="I38" s="48"/>
      <c r="J38" s="69">
        <f t="shared" si="6"/>
        <v>0</v>
      </c>
      <c r="L38" s="48"/>
      <c r="M38" s="158"/>
    </row>
    <row r="39" spans="2:13" x14ac:dyDescent="0.3">
      <c r="B39" s="56"/>
      <c r="C39" s="54"/>
      <c r="D39" s="69"/>
      <c r="E39" s="69"/>
      <c r="F39" s="69"/>
      <c r="G39" s="69"/>
      <c r="H39" s="69"/>
      <c r="J39" s="69">
        <f t="shared" si="6"/>
        <v>0</v>
      </c>
      <c r="M39" s="48"/>
    </row>
    <row r="40" spans="2:13" x14ac:dyDescent="0.3">
      <c r="B40" s="56"/>
      <c r="C40" s="54"/>
      <c r="D40" s="69"/>
      <c r="E40" s="69"/>
      <c r="F40" s="69"/>
      <c r="G40" s="69"/>
      <c r="H40" s="69"/>
      <c r="J40" s="69">
        <f t="shared" si="6"/>
        <v>0</v>
      </c>
      <c r="M40" s="48"/>
    </row>
    <row r="41" spans="2:13" x14ac:dyDescent="0.3">
      <c r="B41" s="56"/>
      <c r="C41" s="63"/>
      <c r="D41" s="69"/>
      <c r="E41" s="69"/>
      <c r="F41" s="69"/>
      <c r="G41" s="69"/>
      <c r="H41" s="69"/>
      <c r="J41" s="69">
        <f t="shared" si="6"/>
        <v>0</v>
      </c>
      <c r="M41" s="48"/>
    </row>
    <row r="42" spans="2:13" x14ac:dyDescent="0.3">
      <c r="B42" s="56"/>
      <c r="C42" s="58" t="s">
        <v>17</v>
      </c>
      <c r="D42" s="70">
        <f>SUM(D36:D41)</f>
        <v>0</v>
      </c>
      <c r="E42" s="70">
        <f t="shared" ref="E42:H42" si="9">SUM(E36:E41)</f>
        <v>0</v>
      </c>
      <c r="F42" s="70">
        <f t="shared" si="9"/>
        <v>0</v>
      </c>
      <c r="G42" s="70">
        <f t="shared" si="9"/>
        <v>0</v>
      </c>
      <c r="H42" s="70">
        <f t="shared" si="9"/>
        <v>0</v>
      </c>
      <c r="J42" s="70">
        <f t="shared" si="6"/>
        <v>0</v>
      </c>
    </row>
    <row r="43" spans="2:13" x14ac:dyDescent="0.3">
      <c r="B43" s="56"/>
      <c r="C43" s="58" t="s">
        <v>18</v>
      </c>
      <c r="D43" s="70">
        <f>SUM(D42,D34,D31,D27,D17, D14,D10)</f>
        <v>1305839.8</v>
      </c>
      <c r="E43" s="70">
        <f t="shared" ref="E43:H43" si="10">SUM(E42,E34,E31,E27,E17, E14,E10)</f>
        <v>2946131.78</v>
      </c>
      <c r="F43" s="70">
        <f t="shared" si="10"/>
        <v>1439688.3725000001</v>
      </c>
      <c r="G43" s="70">
        <f t="shared" si="10"/>
        <v>1511672.7976250001</v>
      </c>
      <c r="H43" s="70">
        <f t="shared" si="10"/>
        <v>6488256.4285062496</v>
      </c>
      <c r="J43" s="70">
        <f>SUM(D43:H43)</f>
        <v>13691589.17863125</v>
      </c>
    </row>
    <row r="44" spans="2:13" x14ac:dyDescent="0.3">
      <c r="B44" s="56"/>
      <c r="D44" s="49"/>
      <c r="E44" s="49"/>
      <c r="H44" s="49"/>
      <c r="J44" s="49" t="s">
        <v>19</v>
      </c>
    </row>
    <row r="45" spans="2:13" x14ac:dyDescent="0.3">
      <c r="B45" s="57"/>
      <c r="C45" s="84" t="s">
        <v>39</v>
      </c>
      <c r="D45" s="145"/>
      <c r="E45" s="146"/>
      <c r="F45" s="146"/>
      <c r="G45" s="146"/>
      <c r="H45" s="146"/>
      <c r="J45" s="159">
        <f>SUM(D45:H45)</f>
        <v>0</v>
      </c>
    </row>
    <row r="46" spans="2:13" ht="28.8" x14ac:dyDescent="0.3">
      <c r="B46" s="57"/>
      <c r="C46" s="54" t="s">
        <v>185</v>
      </c>
      <c r="D46" s="145">
        <v>3897.01</v>
      </c>
      <c r="E46" s="146">
        <v>4091.86</v>
      </c>
      <c r="F46" s="146">
        <v>4296.45</v>
      </c>
      <c r="G46" s="146">
        <v>4511.2700000000004</v>
      </c>
      <c r="H46" s="146">
        <v>4736.84</v>
      </c>
      <c r="I46" s="146"/>
      <c r="J46" s="69">
        <f>SUM(D46:H46)</f>
        <v>21533.43</v>
      </c>
    </row>
    <row r="47" spans="2:13" x14ac:dyDescent="0.3">
      <c r="B47" s="59"/>
      <c r="C47" s="54"/>
      <c r="D47" s="63"/>
      <c r="E47" s="63"/>
      <c r="F47" s="63"/>
      <c r="G47" s="63"/>
      <c r="H47" s="63"/>
      <c r="J47" s="69">
        <f t="shared" ref="J47" si="11">SUM(D47:H47)</f>
        <v>0</v>
      </c>
    </row>
    <row r="48" spans="2:13" x14ac:dyDescent="0.3">
      <c r="B48" s="83" t="s">
        <v>39</v>
      </c>
      <c r="C48" s="58" t="s">
        <v>20</v>
      </c>
      <c r="D48" s="70">
        <f>SUM(D46:D47)</f>
        <v>3897.01</v>
      </c>
      <c r="E48" s="70">
        <f>SUM(E46:E47)</f>
        <v>4091.86</v>
      </c>
      <c r="F48" s="70">
        <f>SUM(F46:F47)</f>
        <v>4296.45</v>
      </c>
      <c r="G48" s="70">
        <f>SUM(G46:G47)</f>
        <v>4511.2700000000004</v>
      </c>
      <c r="H48" s="70">
        <f>SUM(H46:H47)</f>
        <v>4736.84</v>
      </c>
      <c r="J48" s="70">
        <f>SUM(D48:H48)</f>
        <v>21533.43</v>
      </c>
    </row>
    <row r="49" spans="2:10" ht="15" thickBot="1" x14ac:dyDescent="0.35">
      <c r="B49" s="56"/>
      <c r="D49" s="49"/>
      <c r="E49" s="49"/>
      <c r="H49" s="49"/>
      <c r="J49" s="49" t="s">
        <v>19</v>
      </c>
    </row>
    <row r="50" spans="2:10" ht="15" thickBot="1" x14ac:dyDescent="0.35">
      <c r="B50" s="56"/>
      <c r="C50" s="60"/>
      <c r="D50" s="88">
        <f>SUM(D48,D43)</f>
        <v>1309736.81</v>
      </c>
      <c r="E50" s="88">
        <f t="shared" ref="E50:H50" si="12">SUM(E48,E43)</f>
        <v>2950223.6399999997</v>
      </c>
      <c r="F50" s="88">
        <f t="shared" si="12"/>
        <v>1443984.8225</v>
      </c>
      <c r="G50" s="88">
        <f t="shared" si="12"/>
        <v>1516184.0676250001</v>
      </c>
      <c r="H50" s="88">
        <f t="shared" si="12"/>
        <v>6492993.2685062494</v>
      </c>
      <c r="J50" s="88">
        <f>SUM(J48,J43)</f>
        <v>13713122.60863125</v>
      </c>
    </row>
    <row r="51" spans="2:10" x14ac:dyDescent="0.3">
      <c r="B51" s="57"/>
    </row>
    <row r="52" spans="2:10" ht="15" thickBot="1" x14ac:dyDescent="0.35">
      <c r="B52" s="59"/>
    </row>
    <row r="53" spans="2:10" s="61" customFormat="1" ht="29.4" thickBot="1" x14ac:dyDescent="0.35">
      <c r="B53" s="60" t="s">
        <v>21</v>
      </c>
      <c r="C53" s="49"/>
      <c r="D53" s="59"/>
      <c r="E53" s="72"/>
      <c r="F53" s="49"/>
      <c r="G53" s="49"/>
      <c r="H53" s="72"/>
      <c r="I53" s="49"/>
      <c r="J53" s="49"/>
    </row>
    <row r="54" spans="2:10" x14ac:dyDescent="0.3">
      <c r="B54" s="59"/>
    </row>
    <row r="55" spans="2:10" x14ac:dyDescent="0.3">
      <c r="B55" s="59"/>
    </row>
    <row r="56" spans="2:10" x14ac:dyDescent="0.3">
      <c r="B56" s="59"/>
    </row>
    <row r="57" spans="2:10" x14ac:dyDescent="0.3">
      <c r="B57" s="59"/>
    </row>
    <row r="58" spans="2:10" x14ac:dyDescent="0.3">
      <c r="B58" s="59"/>
    </row>
    <row r="59" spans="2:10" x14ac:dyDescent="0.3">
      <c r="B59" s="59"/>
    </row>
    <row r="60" spans="2:10" x14ac:dyDescent="0.3">
      <c r="B60" s="59"/>
    </row>
    <row r="61" spans="2:10" x14ac:dyDescent="0.3">
      <c r="B61" s="59"/>
    </row>
    <row r="62" spans="2:10" x14ac:dyDescent="0.3">
      <c r="B62" s="59"/>
    </row>
    <row r="63" spans="2:10" x14ac:dyDescent="0.3">
      <c r="B63" s="59"/>
    </row>
    <row r="64" spans="2:10" x14ac:dyDescent="0.3">
      <c r="B64" s="59"/>
    </row>
    <row r="65" spans="2:2" x14ac:dyDescent="0.3">
      <c r="B65" s="59"/>
    </row>
    <row r="66" spans="2:2" x14ac:dyDescent="0.3">
      <c r="B66" s="59"/>
    </row>
    <row r="67" spans="2:2" x14ac:dyDescent="0.3">
      <c r="B67" s="59"/>
    </row>
    <row r="68" spans="2:2" x14ac:dyDescent="0.3">
      <c r="B68" s="59"/>
    </row>
  </sheetData>
  <sheetProtection sheet="1" objects="1" scenarios="1" selectLockedCells="1" selectUnlockedCells="1"/>
  <pageMargins left="0.7" right="0.7" top="0.75" bottom="0.75" header="0.3" footer="0.3"/>
  <pageSetup scale="89" fitToHeight="0" orientation="landscape" r:id="rId1"/>
  <ignoredErrors>
    <ignoredError sqref="J29 J36:J38 J16 J8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O76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I1" sqref="I1:I1048576"/>
    </sheetView>
  </sheetViews>
  <sheetFormatPr defaultColWidth="9.33203125" defaultRowHeight="14.4" x14ac:dyDescent="0.3"/>
  <cols>
    <col min="1" max="1" width="3.33203125" style="49" customWidth="1"/>
    <col min="2" max="2" width="11.33203125" style="49" customWidth="1"/>
    <col min="3" max="3" width="46.44140625" style="49" customWidth="1"/>
    <col min="4" max="4" width="13.33203125" style="59" customWidth="1"/>
    <col min="5" max="5" width="13.33203125" style="72" customWidth="1"/>
    <col min="6" max="7" width="13.33203125" style="49" customWidth="1"/>
    <col min="8" max="8" width="12.6640625" style="72" customWidth="1"/>
    <col min="9" max="9" width="16.6640625" style="49" hidden="1" customWidth="1"/>
    <col min="10" max="10" width="14.5546875" style="49" customWidth="1"/>
    <col min="11" max="11" width="15.88671875" style="49" customWidth="1"/>
    <col min="12" max="16384" width="9.33203125" style="49"/>
  </cols>
  <sheetData>
    <row r="2" spans="2:15" ht="23.4" x14ac:dyDescent="0.45">
      <c r="B2" s="71" t="s">
        <v>29</v>
      </c>
    </row>
    <row r="3" spans="2:15" x14ac:dyDescent="0.3">
      <c r="B3" s="49" t="s">
        <v>186</v>
      </c>
    </row>
    <row r="5" spans="2:15" ht="18" x14ac:dyDescent="0.35">
      <c r="B5" s="73" t="s">
        <v>1</v>
      </c>
      <c r="C5" s="74"/>
      <c r="D5" s="74"/>
      <c r="E5" s="74"/>
      <c r="F5" s="74"/>
      <c r="G5" s="74"/>
      <c r="H5" s="74"/>
      <c r="I5" s="74"/>
      <c r="J5" s="75"/>
    </row>
    <row r="6" spans="2:15" x14ac:dyDescent="0.3">
      <c r="B6" s="76" t="s">
        <v>2</v>
      </c>
      <c r="C6" s="76" t="s">
        <v>3</v>
      </c>
      <c r="D6" s="76" t="s">
        <v>4</v>
      </c>
      <c r="E6" s="77" t="s">
        <v>5</v>
      </c>
      <c r="F6" s="77" t="s">
        <v>6</v>
      </c>
      <c r="G6" s="77" t="s">
        <v>7</v>
      </c>
      <c r="H6" s="78" t="s">
        <v>8</v>
      </c>
      <c r="I6" s="79"/>
      <c r="J6" s="80" t="s">
        <v>9</v>
      </c>
    </row>
    <row r="7" spans="2:15" x14ac:dyDescent="0.3">
      <c r="B7" s="81" t="s">
        <v>10</v>
      </c>
      <c r="C7" s="82" t="s">
        <v>30</v>
      </c>
      <c r="D7" s="63" t="s">
        <v>31</v>
      </c>
      <c r="E7" s="63" t="s">
        <v>31</v>
      </c>
      <c r="F7" s="63" t="s">
        <v>31</v>
      </c>
      <c r="G7" s="63"/>
      <c r="H7" s="63" t="s">
        <v>31</v>
      </c>
      <c r="J7" s="68" t="s">
        <v>31</v>
      </c>
    </row>
    <row r="8" spans="2:15" x14ac:dyDescent="0.3">
      <c r="B8" s="200"/>
      <c r="C8" s="54" t="s">
        <v>187</v>
      </c>
      <c r="D8" s="199">
        <v>23883.1</v>
      </c>
      <c r="E8" s="199">
        <v>23883.1</v>
      </c>
      <c r="F8" s="199">
        <v>35824.65</v>
      </c>
      <c r="G8" s="199">
        <v>4776.62</v>
      </c>
      <c r="H8" s="199">
        <v>4776.62</v>
      </c>
      <c r="I8" s="48"/>
      <c r="J8" s="201">
        <f>SUM(D8:H8)</f>
        <v>93144.09</v>
      </c>
      <c r="M8" s="202"/>
      <c r="N8" s="147"/>
      <c r="O8" s="147"/>
    </row>
    <row r="9" spans="2:15" x14ac:dyDescent="0.3">
      <c r="B9" s="200"/>
      <c r="C9" s="54" t="s">
        <v>188</v>
      </c>
      <c r="D9" s="199">
        <v>10401.65</v>
      </c>
      <c r="E9" s="199">
        <v>10401.65</v>
      </c>
      <c r="F9" s="199">
        <v>10401.65</v>
      </c>
      <c r="G9" s="199">
        <v>10401.65</v>
      </c>
      <c r="H9" s="199">
        <v>10401.65</v>
      </c>
      <c r="I9" s="48"/>
      <c r="J9" s="201">
        <f t="shared" ref="J9:J11" si="0">SUM(D9:H9)</f>
        <v>52008.25</v>
      </c>
      <c r="M9" s="202"/>
      <c r="N9" s="147"/>
      <c r="O9" s="147"/>
    </row>
    <row r="10" spans="2:15" x14ac:dyDescent="0.3">
      <c r="B10" s="200"/>
      <c r="C10" s="54" t="s">
        <v>189</v>
      </c>
      <c r="D10" s="199">
        <v>7071.96</v>
      </c>
      <c r="E10" s="199">
        <v>7071.96</v>
      </c>
      <c r="F10" s="199">
        <v>7071.96</v>
      </c>
      <c r="G10" s="199">
        <v>7071.96</v>
      </c>
      <c r="H10" s="199">
        <v>7071.96</v>
      </c>
      <c r="I10" s="48"/>
      <c r="J10" s="201">
        <f t="shared" si="0"/>
        <v>35359.800000000003</v>
      </c>
      <c r="M10" s="202"/>
      <c r="N10" s="147"/>
      <c r="O10" s="147"/>
    </row>
    <row r="11" spans="2:15" x14ac:dyDescent="0.3">
      <c r="B11" s="56"/>
      <c r="C11" s="54" t="s">
        <v>190</v>
      </c>
      <c r="D11" s="199">
        <v>1072.1400000000001</v>
      </c>
      <c r="E11" s="199">
        <v>1072.1400000000001</v>
      </c>
      <c r="F11" s="199">
        <v>1072.1400000000001</v>
      </c>
      <c r="G11" s="199">
        <v>1072.1400000000001</v>
      </c>
      <c r="H11" s="199">
        <v>1072.1400000000001</v>
      </c>
      <c r="I11" s="48"/>
      <c r="J11" s="201">
        <f t="shared" si="0"/>
        <v>5360.7000000000007</v>
      </c>
      <c r="M11" s="202"/>
      <c r="N11" s="147"/>
      <c r="O11" s="147"/>
    </row>
    <row r="12" spans="2:15" x14ac:dyDescent="0.3">
      <c r="B12" s="56"/>
      <c r="C12" s="54"/>
      <c r="D12" s="69"/>
      <c r="E12" s="69"/>
      <c r="F12" s="69"/>
      <c r="G12" s="69"/>
      <c r="H12" s="69"/>
      <c r="I12" s="48"/>
      <c r="J12" s="69">
        <f>SUM(D12:H12)</f>
        <v>0</v>
      </c>
    </row>
    <row r="13" spans="2:15" x14ac:dyDescent="0.3">
      <c r="B13" s="56"/>
      <c r="C13" s="54"/>
      <c r="D13" s="69"/>
      <c r="E13" s="69"/>
      <c r="F13" s="69"/>
      <c r="G13" s="69"/>
      <c r="H13" s="69"/>
      <c r="I13" s="48"/>
      <c r="J13" s="69">
        <f>SUM(D13:H13)</f>
        <v>0</v>
      </c>
    </row>
    <row r="14" spans="2:15" x14ac:dyDescent="0.3">
      <c r="B14" s="56"/>
      <c r="C14" s="58" t="s">
        <v>11</v>
      </c>
      <c r="D14" s="70">
        <f>SUM(D8:D13)</f>
        <v>42428.85</v>
      </c>
      <c r="E14" s="70">
        <f t="shared" ref="E14:H14" si="1">SUM(E8:E13)</f>
        <v>42428.85</v>
      </c>
      <c r="F14" s="70">
        <f t="shared" si="1"/>
        <v>54370.400000000001</v>
      </c>
      <c r="G14" s="70">
        <f t="shared" si="1"/>
        <v>23322.37</v>
      </c>
      <c r="H14" s="70">
        <f t="shared" si="1"/>
        <v>23322.37</v>
      </c>
      <c r="I14" s="48"/>
      <c r="J14" s="70">
        <f>SUM(D14:H14)</f>
        <v>185872.84</v>
      </c>
    </row>
    <row r="15" spans="2:15" x14ac:dyDescent="0.3">
      <c r="B15" s="56"/>
      <c r="C15" s="62" t="s">
        <v>68</v>
      </c>
      <c r="D15" s="69" t="s">
        <v>31</v>
      </c>
      <c r="E15" s="69"/>
      <c r="F15" s="69"/>
      <c r="G15" s="69"/>
      <c r="H15" s="69"/>
      <c r="I15" s="48"/>
      <c r="J15" s="201" t="s">
        <v>31</v>
      </c>
    </row>
    <row r="16" spans="2:15" x14ac:dyDescent="0.3">
      <c r="B16" s="56"/>
      <c r="C16" s="54" t="s">
        <v>187</v>
      </c>
      <c r="D16" s="69">
        <v>11362.8</v>
      </c>
      <c r="E16" s="69">
        <v>11362.8</v>
      </c>
      <c r="F16" s="69">
        <v>17044.2</v>
      </c>
      <c r="G16" s="69">
        <v>2272.56</v>
      </c>
      <c r="H16" s="69">
        <v>2272.56</v>
      </c>
      <c r="I16" s="48"/>
      <c r="J16" s="201">
        <f>SUM(D16:H16)</f>
        <v>44314.92</v>
      </c>
    </row>
    <row r="17" spans="2:10" x14ac:dyDescent="0.3">
      <c r="B17" s="56"/>
      <c r="C17" s="54" t="s">
        <v>191</v>
      </c>
      <c r="D17" s="69">
        <v>3942.26</v>
      </c>
      <c r="E17" s="69">
        <v>3942.26</v>
      </c>
      <c r="F17" s="69">
        <v>3942.26</v>
      </c>
      <c r="G17" s="69">
        <v>3942.26</v>
      </c>
      <c r="H17" s="69">
        <v>3942.26</v>
      </c>
      <c r="I17" s="48"/>
      <c r="J17" s="201">
        <f>SUM(D17:H17)</f>
        <v>19711.300000000003</v>
      </c>
    </row>
    <row r="18" spans="2:10" x14ac:dyDescent="0.3">
      <c r="B18" s="56"/>
      <c r="C18" s="54" t="s">
        <v>189</v>
      </c>
      <c r="D18" s="69">
        <v>4213</v>
      </c>
      <c r="E18" s="69">
        <v>4213</v>
      </c>
      <c r="F18" s="69">
        <v>4213</v>
      </c>
      <c r="G18" s="69">
        <v>4213</v>
      </c>
      <c r="H18" s="69">
        <v>4213</v>
      </c>
      <c r="I18" s="48"/>
      <c r="J18" s="69">
        <f>SUM(D18:H18)</f>
        <v>21065</v>
      </c>
    </row>
    <row r="19" spans="2:10" x14ac:dyDescent="0.3">
      <c r="B19" s="56"/>
      <c r="C19" s="54" t="s">
        <v>190</v>
      </c>
      <c r="D19" s="69">
        <v>494</v>
      </c>
      <c r="E19" s="69">
        <v>494</v>
      </c>
      <c r="F19" s="69">
        <v>494</v>
      </c>
      <c r="G19" s="69">
        <v>494</v>
      </c>
      <c r="H19" s="69">
        <v>494</v>
      </c>
      <c r="I19" s="48"/>
      <c r="J19" s="69">
        <f t="shared" ref="J19:J20" si="2">SUM(D19:H19)</f>
        <v>2470</v>
      </c>
    </row>
    <row r="20" spans="2:10" x14ac:dyDescent="0.3">
      <c r="B20" s="56"/>
      <c r="D20" s="69"/>
      <c r="E20" s="69"/>
      <c r="F20" s="69"/>
      <c r="G20" s="69"/>
      <c r="H20" s="69"/>
      <c r="J20" s="69">
        <f t="shared" si="2"/>
        <v>0</v>
      </c>
    </row>
    <row r="21" spans="2:10" x14ac:dyDescent="0.3">
      <c r="B21" s="56"/>
      <c r="C21" s="58" t="s">
        <v>12</v>
      </c>
      <c r="D21" s="70">
        <f>SUM(D16:D20)</f>
        <v>20012.059999999998</v>
      </c>
      <c r="E21" s="70">
        <f>SUM(E16:E20)</f>
        <v>20012.059999999998</v>
      </c>
      <c r="F21" s="70">
        <f t="shared" ref="F21:G21" si="3">SUM(F16:F20)</f>
        <v>25693.46</v>
      </c>
      <c r="G21" s="70">
        <f t="shared" si="3"/>
        <v>10921.82</v>
      </c>
      <c r="H21" s="70">
        <f>SUM(H16:H20)</f>
        <v>10921.82</v>
      </c>
      <c r="I21" s="70"/>
      <c r="J21" s="70">
        <f>SUM(D21:H21)</f>
        <v>87561.22</v>
      </c>
    </row>
    <row r="22" spans="2:10" x14ac:dyDescent="0.3">
      <c r="B22" s="56"/>
      <c r="C22" s="62" t="s">
        <v>33</v>
      </c>
      <c r="D22" s="63" t="s">
        <v>31</v>
      </c>
      <c r="E22" s="63"/>
      <c r="F22" s="63"/>
      <c r="G22" s="63"/>
      <c r="H22" s="63"/>
      <c r="J22" s="68" t="s">
        <v>31</v>
      </c>
    </row>
    <row r="23" spans="2:10" x14ac:dyDescent="0.3">
      <c r="B23" s="56"/>
      <c r="C23" s="54"/>
      <c r="D23" s="69"/>
      <c r="E23" s="69"/>
      <c r="F23" s="69"/>
      <c r="G23" s="69"/>
      <c r="H23" s="69"/>
      <c r="I23" s="48"/>
      <c r="J23" s="69">
        <f t="shared" ref="J23" si="4">SUM(D23:H23)</f>
        <v>0</v>
      </c>
    </row>
    <row r="24" spans="2:10" x14ac:dyDescent="0.3">
      <c r="B24" s="56"/>
      <c r="C24" s="58" t="s">
        <v>13</v>
      </c>
      <c r="D24" s="70">
        <f>SUM(D23:D23)</f>
        <v>0</v>
      </c>
      <c r="E24" s="70">
        <f>SUM(E23:E23)</f>
        <v>0</v>
      </c>
      <c r="F24" s="70">
        <f>SUM(F23:F23)</f>
        <v>0</v>
      </c>
      <c r="G24" s="70">
        <f>SUM(G23:G23)</f>
        <v>0</v>
      </c>
      <c r="H24" s="70">
        <f>SUM(H23:H23)</f>
        <v>0</v>
      </c>
      <c r="J24" s="70">
        <f>SUM(D24:H24)</f>
        <v>0</v>
      </c>
    </row>
    <row r="25" spans="2:10" x14ac:dyDescent="0.3">
      <c r="B25" s="56"/>
      <c r="C25" s="62" t="s">
        <v>34</v>
      </c>
      <c r="D25" s="69"/>
      <c r="E25" s="63"/>
      <c r="F25" s="63"/>
      <c r="G25" s="63"/>
      <c r="H25" s="63"/>
      <c r="J25" s="69" t="s">
        <v>19</v>
      </c>
    </row>
    <row r="26" spans="2:10" x14ac:dyDescent="0.3">
      <c r="B26" s="56"/>
      <c r="C26" s="54" t="s">
        <v>192</v>
      </c>
      <c r="D26" s="69"/>
      <c r="E26" s="63"/>
      <c r="F26" s="63">
        <v>94000</v>
      </c>
      <c r="G26" s="63"/>
      <c r="H26" s="63"/>
      <c r="J26" s="69"/>
    </row>
    <row r="27" spans="2:10" x14ac:dyDescent="0.3">
      <c r="B27" s="56"/>
      <c r="C27" s="54" t="s">
        <v>193</v>
      </c>
      <c r="D27" s="69"/>
      <c r="E27" s="63"/>
      <c r="F27" s="142">
        <v>101300</v>
      </c>
      <c r="G27" s="63"/>
      <c r="H27" s="63"/>
      <c r="J27" s="69"/>
    </row>
    <row r="28" spans="2:10" x14ac:dyDescent="0.3">
      <c r="B28" s="56"/>
      <c r="C28" s="54" t="s">
        <v>194</v>
      </c>
      <c r="D28" s="69"/>
      <c r="E28" s="63"/>
      <c r="F28" s="142">
        <v>20000</v>
      </c>
      <c r="G28" s="63"/>
      <c r="H28" s="63"/>
      <c r="J28" s="69"/>
    </row>
    <row r="29" spans="2:10" x14ac:dyDescent="0.3">
      <c r="B29" s="56"/>
      <c r="C29" s="54" t="s">
        <v>195</v>
      </c>
      <c r="D29" s="69"/>
      <c r="E29" s="63"/>
      <c r="F29" s="142">
        <v>194000</v>
      </c>
      <c r="G29" s="63"/>
      <c r="H29" s="63"/>
      <c r="J29" s="69"/>
    </row>
    <row r="30" spans="2:10" x14ac:dyDescent="0.3">
      <c r="B30" s="56"/>
      <c r="C30" s="54" t="s">
        <v>196</v>
      </c>
      <c r="D30" s="69"/>
      <c r="E30" s="63"/>
      <c r="F30" s="142">
        <v>116000</v>
      </c>
      <c r="G30" s="63"/>
      <c r="H30" s="63"/>
      <c r="J30" s="69"/>
    </row>
    <row r="31" spans="2:10" x14ac:dyDescent="0.3">
      <c r="B31" s="56"/>
      <c r="C31" s="54" t="s">
        <v>197</v>
      </c>
      <c r="D31" s="69"/>
      <c r="E31" s="63"/>
      <c r="F31" s="142">
        <v>702000</v>
      </c>
      <c r="G31" s="63"/>
      <c r="H31" s="63"/>
      <c r="J31" s="69"/>
    </row>
    <row r="32" spans="2:10" x14ac:dyDescent="0.3">
      <c r="B32" s="56"/>
      <c r="C32" s="54" t="s">
        <v>198</v>
      </c>
      <c r="D32" s="69"/>
      <c r="E32" s="63"/>
      <c r="F32" s="142">
        <v>106000</v>
      </c>
      <c r="G32" s="63"/>
      <c r="H32" s="63"/>
      <c r="J32" s="69"/>
    </row>
    <row r="33" spans="2:10" x14ac:dyDescent="0.3">
      <c r="B33" s="56"/>
      <c r="C33" s="63" t="s">
        <v>199</v>
      </c>
      <c r="D33" s="63" t="s">
        <v>31</v>
      </c>
      <c r="E33" s="63"/>
      <c r="F33" s="142">
        <v>325000</v>
      </c>
      <c r="G33" s="63"/>
      <c r="H33" s="63"/>
      <c r="J33" s="69"/>
    </row>
    <row r="34" spans="2:10" x14ac:dyDescent="0.3">
      <c r="B34" s="56" t="s">
        <v>35</v>
      </c>
      <c r="D34" s="203"/>
      <c r="E34" s="204"/>
      <c r="F34" s="205"/>
      <c r="G34" s="63"/>
      <c r="H34" s="63"/>
      <c r="J34" s="69"/>
    </row>
    <row r="35" spans="2:10" x14ac:dyDescent="0.3">
      <c r="B35" s="56"/>
      <c r="C35" s="58" t="s">
        <v>14</v>
      </c>
      <c r="D35" s="207">
        <f>SUM(D26:D33)</f>
        <v>0</v>
      </c>
      <c r="E35" s="208">
        <f>SUM(E26:E33)</f>
        <v>0</v>
      </c>
      <c r="F35" s="207">
        <f>SUM(F26:F34)</f>
        <v>1658300</v>
      </c>
      <c r="G35" s="87">
        <f>SUM(G26:G34)</f>
        <v>0</v>
      </c>
      <c r="H35" s="87">
        <f>SUM(H26:H34)</f>
        <v>0</v>
      </c>
      <c r="J35" s="70">
        <f>SUM(D35:H35)</f>
        <v>1658300</v>
      </c>
    </row>
    <row r="36" spans="2:10" x14ac:dyDescent="0.3">
      <c r="B36" s="56"/>
      <c r="C36" s="62" t="s">
        <v>36</v>
      </c>
      <c r="D36" s="63" t="s">
        <v>31</v>
      </c>
      <c r="E36" s="63"/>
      <c r="F36" s="206"/>
      <c r="G36" s="63"/>
      <c r="H36" s="63"/>
      <c r="J36" s="69"/>
    </row>
    <row r="37" spans="2:10" x14ac:dyDescent="0.3">
      <c r="B37" s="56"/>
      <c r="C37" s="54"/>
      <c r="D37" s="69"/>
      <c r="E37" s="69"/>
      <c r="F37" s="69"/>
      <c r="G37" s="69"/>
      <c r="H37" s="69"/>
      <c r="I37" s="48"/>
      <c r="J37" s="69">
        <f t="shared" ref="J37:J52" si="5">SUM(D37:H37)</f>
        <v>0</v>
      </c>
    </row>
    <row r="38" spans="2:10" x14ac:dyDescent="0.3">
      <c r="B38" s="56"/>
      <c r="C38" s="54"/>
      <c r="D38" s="69"/>
      <c r="E38" s="69"/>
      <c r="F38" s="69"/>
      <c r="G38" s="69"/>
      <c r="H38" s="69"/>
      <c r="J38" s="69">
        <f t="shared" si="5"/>
        <v>0</v>
      </c>
    </row>
    <row r="39" spans="2:10" x14ac:dyDescent="0.3">
      <c r="B39" s="56"/>
      <c r="C39" s="58" t="s">
        <v>15</v>
      </c>
      <c r="D39" s="70">
        <f>SUM(D37:D38)</f>
        <v>0</v>
      </c>
      <c r="E39" s="70">
        <f t="shared" ref="E39:H39" si="6">SUM(E37:E38)</f>
        <v>0</v>
      </c>
      <c r="F39" s="70">
        <f t="shared" si="6"/>
        <v>0</v>
      </c>
      <c r="G39" s="70">
        <f t="shared" si="6"/>
        <v>0</v>
      </c>
      <c r="H39" s="70">
        <f t="shared" si="6"/>
        <v>0</v>
      </c>
      <c r="J39" s="70">
        <f t="shared" si="5"/>
        <v>0</v>
      </c>
    </row>
    <row r="40" spans="2:10" x14ac:dyDescent="0.3">
      <c r="B40" s="56"/>
      <c r="C40" s="62" t="s">
        <v>37</v>
      </c>
      <c r="D40" s="63" t="s">
        <v>31</v>
      </c>
      <c r="E40" s="63"/>
      <c r="F40" s="63"/>
      <c r="G40" s="63"/>
      <c r="H40" s="63"/>
      <c r="J40" s="69"/>
    </row>
    <row r="41" spans="2:10" x14ac:dyDescent="0.3">
      <c r="B41" s="56"/>
      <c r="C41" s="54"/>
      <c r="D41" s="69"/>
      <c r="E41" s="69"/>
      <c r="F41" s="69"/>
      <c r="G41" s="69"/>
      <c r="H41" s="69"/>
      <c r="I41" s="48"/>
      <c r="J41" s="69"/>
    </row>
    <row r="42" spans="2:10" x14ac:dyDescent="0.3">
      <c r="B42" s="56"/>
      <c r="C42" s="54"/>
      <c r="D42" s="69"/>
      <c r="E42" s="69"/>
      <c r="F42" s="69"/>
      <c r="G42" s="69"/>
      <c r="H42" s="69"/>
      <c r="I42" s="48"/>
      <c r="J42" s="69">
        <f t="shared" si="5"/>
        <v>0</v>
      </c>
    </row>
    <row r="43" spans="2:10" x14ac:dyDescent="0.3">
      <c r="B43" s="56"/>
      <c r="C43" s="54"/>
      <c r="D43" s="69"/>
      <c r="E43" s="69"/>
      <c r="F43" s="69"/>
      <c r="G43" s="69"/>
      <c r="H43" s="69"/>
      <c r="I43" s="48"/>
      <c r="J43" s="69">
        <f t="shared" si="5"/>
        <v>0</v>
      </c>
    </row>
    <row r="44" spans="2:10" x14ac:dyDescent="0.3">
      <c r="B44" s="56"/>
      <c r="C44" s="54"/>
      <c r="D44" s="69"/>
      <c r="E44" s="69"/>
      <c r="F44" s="69"/>
      <c r="G44" s="69"/>
      <c r="H44" s="69"/>
      <c r="J44" s="69">
        <f t="shared" si="5"/>
        <v>0</v>
      </c>
    </row>
    <row r="45" spans="2:10" x14ac:dyDescent="0.3">
      <c r="B45" s="56"/>
      <c r="C45" s="58" t="s">
        <v>16</v>
      </c>
      <c r="D45" s="70">
        <f>SUM(D41:D44)</f>
        <v>0</v>
      </c>
      <c r="E45" s="70">
        <f t="shared" ref="E45:H45" si="7">SUM(E41:E44)</f>
        <v>0</v>
      </c>
      <c r="F45" s="70">
        <f t="shared" si="7"/>
        <v>0</v>
      </c>
      <c r="G45" s="70">
        <f t="shared" si="7"/>
        <v>0</v>
      </c>
      <c r="H45" s="70">
        <f t="shared" si="7"/>
        <v>0</v>
      </c>
      <c r="J45" s="70">
        <f t="shared" si="5"/>
        <v>0</v>
      </c>
    </row>
    <row r="46" spans="2:10" x14ac:dyDescent="0.3">
      <c r="B46" s="56"/>
      <c r="C46" s="62" t="s">
        <v>38</v>
      </c>
      <c r="D46" s="63" t="s">
        <v>31</v>
      </c>
      <c r="E46" s="63"/>
      <c r="F46" s="63"/>
      <c r="G46" s="63"/>
      <c r="H46" s="63"/>
      <c r="J46" s="69"/>
    </row>
    <row r="47" spans="2:10" x14ac:dyDescent="0.3">
      <c r="B47" s="56"/>
      <c r="C47" s="63" t="s">
        <v>271</v>
      </c>
      <c r="D47" s="69"/>
      <c r="E47" s="69"/>
      <c r="F47" s="69">
        <v>1000</v>
      </c>
      <c r="G47" s="69"/>
      <c r="H47" s="69"/>
      <c r="I47" s="48"/>
      <c r="J47" s="69">
        <v>1000</v>
      </c>
    </row>
    <row r="48" spans="2:10" x14ac:dyDescent="0.3">
      <c r="B48" s="56"/>
      <c r="C48" s="54"/>
      <c r="D48" s="69"/>
      <c r="E48" s="69"/>
      <c r="F48" s="69"/>
      <c r="G48" s="69"/>
      <c r="H48" s="69"/>
      <c r="I48" s="48"/>
      <c r="J48" s="69">
        <f t="shared" si="5"/>
        <v>0</v>
      </c>
    </row>
    <row r="49" spans="2:10" x14ac:dyDescent="0.3">
      <c r="B49" s="56"/>
      <c r="C49" s="54"/>
      <c r="D49" s="69"/>
      <c r="E49" s="69"/>
      <c r="F49" s="69"/>
      <c r="G49" s="69"/>
      <c r="H49" s="69"/>
      <c r="I49" s="48"/>
      <c r="J49" s="69">
        <f t="shared" si="5"/>
        <v>0</v>
      </c>
    </row>
    <row r="50" spans="2:10" x14ac:dyDescent="0.3">
      <c r="B50" s="56"/>
      <c r="C50" s="54"/>
      <c r="D50" s="69"/>
      <c r="E50" s="69"/>
      <c r="F50" s="69"/>
      <c r="G50" s="69"/>
      <c r="H50" s="69"/>
      <c r="J50" s="69">
        <f t="shared" si="5"/>
        <v>0</v>
      </c>
    </row>
    <row r="51" spans="2:10" x14ac:dyDescent="0.3">
      <c r="B51" s="56"/>
      <c r="C51" s="54"/>
      <c r="D51" s="69"/>
      <c r="E51" s="69"/>
      <c r="F51" s="69"/>
      <c r="G51" s="69"/>
      <c r="H51" s="69"/>
      <c r="J51" s="69">
        <f t="shared" si="5"/>
        <v>0</v>
      </c>
    </row>
    <row r="52" spans="2:10" x14ac:dyDescent="0.3">
      <c r="B52" s="56"/>
      <c r="C52" s="63"/>
      <c r="D52" s="69"/>
      <c r="E52" s="69"/>
      <c r="F52" s="69"/>
      <c r="G52" s="69"/>
      <c r="H52" s="69"/>
      <c r="J52" s="69">
        <f t="shared" si="5"/>
        <v>0</v>
      </c>
    </row>
    <row r="53" spans="2:10" x14ac:dyDescent="0.3">
      <c r="B53" s="57"/>
      <c r="C53" s="58" t="s">
        <v>17</v>
      </c>
      <c r="D53" s="70">
        <f>SUM(D47:D52)</f>
        <v>0</v>
      </c>
      <c r="E53" s="70">
        <f t="shared" ref="E53:H53" si="8">SUM(E47:E52)</f>
        <v>0</v>
      </c>
      <c r="F53" s="70">
        <f>SUM(F47:F52)</f>
        <v>1000</v>
      </c>
      <c r="G53" s="70">
        <f t="shared" si="8"/>
        <v>0</v>
      </c>
      <c r="H53" s="70">
        <f t="shared" si="8"/>
        <v>0</v>
      </c>
      <c r="J53" s="70">
        <f>SUM(D53:H53)</f>
        <v>1000</v>
      </c>
    </row>
    <row r="54" spans="2:10" x14ac:dyDescent="0.3">
      <c r="B54" s="57"/>
      <c r="C54" s="58" t="s">
        <v>18</v>
      </c>
      <c r="D54" s="70">
        <f>SUM(D53,D45,D39,D35,D24,D21,D14)</f>
        <v>62440.909999999996</v>
      </c>
      <c r="E54" s="70">
        <f t="shared" ref="E54:H54" si="9">SUM(E53,E45,E39,E35,E24,E21,E14)</f>
        <v>62440.909999999996</v>
      </c>
      <c r="F54" s="70">
        <f>SUM(F53,F45,F39,F35,F24,F21,F14)</f>
        <v>1739363.8599999999</v>
      </c>
      <c r="G54" s="70">
        <f t="shared" si="9"/>
        <v>34244.19</v>
      </c>
      <c r="H54" s="70">
        <f t="shared" si="9"/>
        <v>34244.19</v>
      </c>
      <c r="J54" s="70">
        <f>SUM(D54:H54)</f>
        <v>1932734.0599999998</v>
      </c>
    </row>
    <row r="55" spans="2:10" x14ac:dyDescent="0.3">
      <c r="B55" s="59"/>
      <c r="D55" s="49"/>
      <c r="E55" s="49"/>
      <c r="H55" s="49"/>
      <c r="J55" s="49" t="s">
        <v>19</v>
      </c>
    </row>
    <row r="56" spans="2:10" ht="28.8" x14ac:dyDescent="0.3">
      <c r="B56" s="83" t="s">
        <v>39</v>
      </c>
      <c r="C56" s="84" t="s">
        <v>39</v>
      </c>
      <c r="D56" s="68"/>
      <c r="E56" s="68"/>
      <c r="F56" s="68"/>
      <c r="G56" s="68"/>
      <c r="H56" s="68"/>
      <c r="J56" s="68" t="s">
        <v>19</v>
      </c>
    </row>
    <row r="57" spans="2:10" ht="28.8" x14ac:dyDescent="0.3">
      <c r="B57" s="56"/>
      <c r="C57" s="63" t="s">
        <v>200</v>
      </c>
      <c r="D57" s="209">
        <f>(D14)*0.1</f>
        <v>4242.8850000000002</v>
      </c>
      <c r="E57" s="209">
        <f>(E14)*0.1</f>
        <v>4242.8850000000002</v>
      </c>
      <c r="F57" s="209">
        <f>(F14)*0.1</f>
        <v>5437.0400000000009</v>
      </c>
      <c r="G57" s="209">
        <f>(G14)*0.1</f>
        <v>2332.2370000000001</v>
      </c>
      <c r="H57" s="209">
        <f>(H14)*0.1</f>
        <v>2332.2370000000001</v>
      </c>
      <c r="J57" s="69">
        <f>SUM(D57:H57)</f>
        <v>18587.284000000003</v>
      </c>
    </row>
    <row r="58" spans="2:10" x14ac:dyDescent="0.3">
      <c r="B58" s="56"/>
      <c r="C58" s="54"/>
      <c r="D58" s="63"/>
      <c r="E58" s="63"/>
      <c r="F58" s="63"/>
      <c r="G58" s="63"/>
      <c r="H58" s="63"/>
      <c r="J58" s="69">
        <f t="shared" ref="J58" si="10">SUM(D58:H58)</f>
        <v>0</v>
      </c>
    </row>
    <row r="59" spans="2:10" x14ac:dyDescent="0.3">
      <c r="B59" s="57"/>
      <c r="C59" s="58" t="s">
        <v>20</v>
      </c>
      <c r="D59" s="263">
        <f>SUM(D57:D58)</f>
        <v>4242.8850000000002</v>
      </c>
      <c r="E59" s="70">
        <f t="shared" ref="E59:H59" si="11">SUM(E57:E58)</f>
        <v>4242.8850000000002</v>
      </c>
      <c r="F59" s="70">
        <f t="shared" si="11"/>
        <v>5437.0400000000009</v>
      </c>
      <c r="G59" s="70">
        <f t="shared" si="11"/>
        <v>2332.2370000000001</v>
      </c>
      <c r="H59" s="70">
        <f t="shared" si="11"/>
        <v>2332.2370000000001</v>
      </c>
      <c r="J59" s="70">
        <f>SUM(D59:H59)</f>
        <v>18587.284000000003</v>
      </c>
    </row>
    <row r="60" spans="2:10" ht="15" thickBot="1" x14ac:dyDescent="0.35">
      <c r="B60" s="59"/>
      <c r="D60" s="49"/>
      <c r="E60" s="49"/>
      <c r="H60" s="49"/>
      <c r="J60" s="49" t="s">
        <v>19</v>
      </c>
    </row>
    <row r="61" spans="2:10" s="61" customFormat="1" ht="29.4" thickBot="1" x14ac:dyDescent="0.35">
      <c r="B61" s="60" t="s">
        <v>21</v>
      </c>
      <c r="C61" s="60"/>
      <c r="D61" s="88">
        <f>SUM(D59,D54)</f>
        <v>66683.794999999998</v>
      </c>
      <c r="E61" s="88">
        <f t="shared" ref="E61:H61" si="12">SUM(E59,E54)</f>
        <v>66683.794999999998</v>
      </c>
      <c r="F61" s="88">
        <f t="shared" si="12"/>
        <v>1744800.9</v>
      </c>
      <c r="G61" s="88">
        <f t="shared" si="12"/>
        <v>36576.427000000003</v>
      </c>
      <c r="H61" s="88">
        <f t="shared" si="12"/>
        <v>36576.427000000003</v>
      </c>
      <c r="I61" s="49"/>
      <c r="J61" s="88">
        <f>SUM(J59,J54)</f>
        <v>1951321.3439999998</v>
      </c>
    </row>
    <row r="62" spans="2:10" x14ac:dyDescent="0.3">
      <c r="B62" s="59"/>
    </row>
    <row r="63" spans="2:10" x14ac:dyDescent="0.3">
      <c r="B63" s="59"/>
    </row>
    <row r="64" spans="2:10" x14ac:dyDescent="0.3">
      <c r="B64" s="59"/>
    </row>
    <row r="65" spans="2:2" x14ac:dyDescent="0.3">
      <c r="B65" s="59"/>
    </row>
    <row r="66" spans="2:2" x14ac:dyDescent="0.3">
      <c r="B66" s="59"/>
    </row>
    <row r="67" spans="2:2" x14ac:dyDescent="0.3">
      <c r="B67" s="59"/>
    </row>
    <row r="68" spans="2:2" x14ac:dyDescent="0.3">
      <c r="B68" s="59"/>
    </row>
    <row r="69" spans="2:2" x14ac:dyDescent="0.3">
      <c r="B69" s="59"/>
    </row>
    <row r="70" spans="2:2" x14ac:dyDescent="0.3">
      <c r="B70" s="59"/>
    </row>
    <row r="71" spans="2:2" x14ac:dyDescent="0.3">
      <c r="B71" s="59"/>
    </row>
    <row r="72" spans="2:2" x14ac:dyDescent="0.3">
      <c r="B72" s="59"/>
    </row>
    <row r="73" spans="2:2" x14ac:dyDescent="0.3">
      <c r="B73" s="59"/>
    </row>
    <row r="74" spans="2:2" x14ac:dyDescent="0.3">
      <c r="B74" s="59"/>
    </row>
    <row r="75" spans="2:2" x14ac:dyDescent="0.3">
      <c r="B75" s="59"/>
    </row>
    <row r="76" spans="2:2" x14ac:dyDescent="0.3">
      <c r="B76" s="59"/>
    </row>
  </sheetData>
  <sheetProtection sheet="1" objects="1" scenarios="1" selectLockedCells="1" selectUnlockedCells="1"/>
  <pageMargins left="0.7" right="0.7" top="0.75" bottom="0.75" header="0.3" footer="0.3"/>
  <pageSetup scale="86" fitToHeight="0" orientation="landscape" r:id="rId1"/>
  <ignoredErrors>
    <ignoredError sqref="J48:J49 J42:J43 J37 J23 J11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4BBE2-DE85-4C92-A4B4-DA4F257CE202}">
  <sheetPr>
    <tabColor theme="9" tint="0.39997558519241921"/>
    <pageSetUpPr fitToPage="1"/>
  </sheetPr>
  <dimension ref="B2:K67"/>
  <sheetViews>
    <sheetView showGridLines="0" zoomScale="85" zoomScaleNormal="85" workbookViewId="0">
      <pane xSplit="3" ySplit="6" topLeftCell="D31" activePane="bottomRight" state="frozen"/>
      <selection pane="topRight" activeCell="R20" sqref="R20:W20"/>
      <selection pane="bottomLeft" activeCell="R20" sqref="R20:W20"/>
      <selection pane="bottomRight" activeCell="D31" sqref="D31"/>
    </sheetView>
  </sheetViews>
  <sheetFormatPr defaultColWidth="9.33203125" defaultRowHeight="14.4" x14ac:dyDescent="0.3"/>
  <cols>
    <col min="1" max="1" width="3.33203125" style="49" customWidth="1"/>
    <col min="2" max="2" width="11.33203125" style="49" customWidth="1"/>
    <col min="3" max="3" width="48.44140625" style="49" customWidth="1"/>
    <col min="4" max="4" width="13.33203125" style="162" customWidth="1"/>
    <col min="5" max="5" width="13.33203125" style="163" customWidth="1"/>
    <col min="6" max="7" width="13.33203125" style="164" customWidth="1"/>
    <col min="8" max="8" width="12.6640625" style="163" customWidth="1"/>
    <col min="9" max="9" width="25.21875" style="49" hidden="1" customWidth="1"/>
    <col min="10" max="10" width="14.5546875" style="195" customWidth="1"/>
    <col min="11" max="11" width="10.33203125" style="49" customWidth="1"/>
    <col min="12" max="16384" width="9.33203125" style="49"/>
  </cols>
  <sheetData>
    <row r="2" spans="2:10" x14ac:dyDescent="0.3">
      <c r="B2" s="61" t="s">
        <v>29</v>
      </c>
    </row>
    <row r="3" spans="2:10" x14ac:dyDescent="0.3">
      <c r="B3" s="49" t="s">
        <v>267</v>
      </c>
    </row>
    <row r="5" spans="2:10" x14ac:dyDescent="0.3">
      <c r="B5" s="165" t="s">
        <v>1</v>
      </c>
      <c r="C5" s="74"/>
      <c r="D5" s="166"/>
      <c r="E5" s="166"/>
      <c r="F5" s="166"/>
      <c r="G5" s="166"/>
      <c r="H5" s="166"/>
      <c r="I5" s="74"/>
      <c r="J5" s="196"/>
    </row>
    <row r="6" spans="2:10" x14ac:dyDescent="0.3">
      <c r="B6" s="76" t="s">
        <v>2</v>
      </c>
      <c r="C6" s="167" t="s">
        <v>3</v>
      </c>
      <c r="D6" s="168" t="s">
        <v>4</v>
      </c>
      <c r="E6" s="169" t="s">
        <v>5</v>
      </c>
      <c r="F6" s="169" t="s">
        <v>6</v>
      </c>
      <c r="G6" s="169" t="s">
        <v>7</v>
      </c>
      <c r="H6" s="170" t="s">
        <v>8</v>
      </c>
      <c r="I6" s="79"/>
      <c r="J6" s="197" t="s">
        <v>9</v>
      </c>
    </row>
    <row r="7" spans="2:10" x14ac:dyDescent="0.3">
      <c r="B7" s="171" t="s">
        <v>10</v>
      </c>
      <c r="C7" s="172" t="s">
        <v>30</v>
      </c>
      <c r="D7" s="173" t="s">
        <v>31</v>
      </c>
      <c r="E7" s="173" t="s">
        <v>31</v>
      </c>
      <c r="F7" s="173" t="s">
        <v>31</v>
      </c>
      <c r="G7" s="173"/>
      <c r="H7" s="173" t="s">
        <v>31</v>
      </c>
      <c r="J7" s="52" t="s">
        <v>31</v>
      </c>
    </row>
    <row r="8" spans="2:10" x14ac:dyDescent="0.3">
      <c r="B8" s="174"/>
      <c r="C8" s="175" t="s">
        <v>201</v>
      </c>
      <c r="D8" s="176">
        <v>0</v>
      </c>
      <c r="E8" s="177">
        <v>7725</v>
      </c>
      <c r="F8" s="178">
        <v>7956.75</v>
      </c>
      <c r="G8" s="178">
        <v>16391</v>
      </c>
      <c r="H8" s="178">
        <v>16882.632150000001</v>
      </c>
      <c r="J8" s="52">
        <f>SUM(D8:H8)</f>
        <v>48955.382150000005</v>
      </c>
    </row>
    <row r="9" spans="2:10" x14ac:dyDescent="0.3">
      <c r="B9" s="174"/>
      <c r="C9" s="179" t="s">
        <v>202</v>
      </c>
      <c r="D9" s="180">
        <v>19000</v>
      </c>
      <c r="E9" s="180">
        <v>26125</v>
      </c>
      <c r="F9" s="180">
        <v>43054</v>
      </c>
      <c r="G9" s="180">
        <v>60975</v>
      </c>
      <c r="H9" s="180">
        <v>62804.484329999999</v>
      </c>
      <c r="J9" s="52">
        <f t="shared" ref="J9:J16" si="0">SUM(D9:H9)</f>
        <v>211958.48433000001</v>
      </c>
    </row>
    <row r="10" spans="2:10" x14ac:dyDescent="0.3">
      <c r="B10" s="174"/>
      <c r="C10" s="181" t="s">
        <v>203</v>
      </c>
      <c r="D10" s="182">
        <v>5100</v>
      </c>
      <c r="E10" s="182">
        <v>0</v>
      </c>
      <c r="F10" s="182">
        <v>0</v>
      </c>
      <c r="G10" s="182">
        <v>0</v>
      </c>
      <c r="H10" s="182">
        <v>3444.056959</v>
      </c>
      <c r="J10" s="52">
        <f t="shared" si="0"/>
        <v>8544.0569589999996</v>
      </c>
    </row>
    <row r="11" spans="2:10" x14ac:dyDescent="0.3">
      <c r="B11" s="174"/>
      <c r="C11" s="181" t="s">
        <v>204</v>
      </c>
      <c r="D11" s="183">
        <v>5000</v>
      </c>
      <c r="E11" s="183">
        <v>5150</v>
      </c>
      <c r="F11" s="183">
        <v>5304.5</v>
      </c>
      <c r="G11" s="183">
        <v>5464</v>
      </c>
      <c r="H11" s="183">
        <v>8441.3160750000006</v>
      </c>
      <c r="J11" s="52">
        <f t="shared" si="0"/>
        <v>29359.816075000002</v>
      </c>
    </row>
    <row r="12" spans="2:10" x14ac:dyDescent="0.3">
      <c r="B12" s="143"/>
      <c r="C12" s="181" t="s">
        <v>205</v>
      </c>
      <c r="D12" s="183">
        <v>0</v>
      </c>
      <c r="E12" s="183">
        <v>0</v>
      </c>
      <c r="F12" s="183">
        <v>6259.31</v>
      </c>
      <c r="G12" s="183">
        <v>6447</v>
      </c>
      <c r="H12" s="183">
        <v>6640.5019789999997</v>
      </c>
      <c r="I12" s="48"/>
      <c r="J12" s="52">
        <f>SUM(D12:H12)</f>
        <v>19346.811979000002</v>
      </c>
    </row>
    <row r="13" spans="2:10" x14ac:dyDescent="0.3">
      <c r="B13" s="143"/>
      <c r="C13" s="181" t="s">
        <v>206</v>
      </c>
      <c r="D13" s="183">
        <v>0</v>
      </c>
      <c r="E13" s="183">
        <v>0</v>
      </c>
      <c r="F13" s="183">
        <v>4774.05</v>
      </c>
      <c r="G13" s="183">
        <v>4917</v>
      </c>
      <c r="H13" s="183">
        <v>5064.7896449999998</v>
      </c>
      <c r="J13" s="52">
        <f t="shared" si="0"/>
        <v>14755.839645</v>
      </c>
    </row>
    <row r="14" spans="2:10" x14ac:dyDescent="0.3">
      <c r="B14" s="143"/>
      <c r="C14" s="181" t="s">
        <v>207</v>
      </c>
      <c r="D14" s="184">
        <v>1300</v>
      </c>
      <c r="E14" s="184">
        <v>1339</v>
      </c>
      <c r="F14" s="184">
        <v>1379.17</v>
      </c>
      <c r="G14" s="184">
        <v>7103</v>
      </c>
      <c r="H14" s="184">
        <v>14631.614530000001</v>
      </c>
      <c r="J14" s="52">
        <f t="shared" si="0"/>
        <v>25752.784530000001</v>
      </c>
    </row>
    <row r="15" spans="2:10" x14ac:dyDescent="0.3">
      <c r="B15" s="143"/>
      <c r="C15" s="181" t="s">
        <v>208</v>
      </c>
      <c r="D15" s="183">
        <v>4076.8</v>
      </c>
      <c r="E15" s="180">
        <v>4199.1040000000003</v>
      </c>
      <c r="F15" s="183">
        <v>4325.0771199999999</v>
      </c>
      <c r="G15" s="185">
        <v>4455</v>
      </c>
      <c r="H15" s="180">
        <v>4588.4743170000002</v>
      </c>
      <c r="J15" s="52">
        <f t="shared" si="0"/>
        <v>21644.455437000001</v>
      </c>
    </row>
    <row r="16" spans="2:10" x14ac:dyDescent="0.3">
      <c r="B16" s="143"/>
      <c r="C16" s="181" t="s">
        <v>209</v>
      </c>
      <c r="D16" s="180">
        <v>2329.6</v>
      </c>
      <c r="E16" s="180">
        <v>2399.4879999999998</v>
      </c>
      <c r="F16" s="180">
        <v>2471.47264</v>
      </c>
      <c r="G16" s="185">
        <v>2546</v>
      </c>
      <c r="H16" s="180">
        <v>2621.9853240000002</v>
      </c>
      <c r="J16" s="52">
        <f t="shared" si="0"/>
        <v>12368.545964000001</v>
      </c>
    </row>
    <row r="17" spans="2:10" x14ac:dyDescent="0.3">
      <c r="B17" s="56"/>
      <c r="C17" s="150" t="s">
        <v>11</v>
      </c>
      <c r="D17" s="188">
        <f>SUM(D8:D16)</f>
        <v>36806.400000000001</v>
      </c>
      <c r="E17" s="188">
        <f t="shared" ref="E17:H17" si="1">SUM(E8:E16)</f>
        <v>46937.591999999997</v>
      </c>
      <c r="F17" s="188">
        <f t="shared" si="1"/>
        <v>75524.329759999993</v>
      </c>
      <c r="G17" s="188">
        <f t="shared" si="1"/>
        <v>108298</v>
      </c>
      <c r="H17" s="188">
        <f t="shared" si="1"/>
        <v>125119.85530899998</v>
      </c>
      <c r="J17" s="188">
        <f>SUM(D17:H17)</f>
        <v>392686.17706899997</v>
      </c>
    </row>
    <row r="18" spans="2:10" x14ac:dyDescent="0.3">
      <c r="B18" s="56"/>
      <c r="C18" s="62" t="s">
        <v>68</v>
      </c>
      <c r="D18" s="186"/>
      <c r="E18" s="186"/>
      <c r="F18" s="186"/>
      <c r="G18" s="186"/>
      <c r="H18" s="186"/>
      <c r="J18" s="52" t="s">
        <v>31</v>
      </c>
    </row>
    <row r="19" spans="2:10" x14ac:dyDescent="0.3">
      <c r="B19" s="56"/>
      <c r="C19" s="54" t="s">
        <v>210</v>
      </c>
      <c r="D19" s="186">
        <f>SUM(D17*0.17)</f>
        <v>6257.0880000000006</v>
      </c>
      <c r="E19" s="186">
        <f>SUM(E17*0.17)</f>
        <v>7979.3906399999996</v>
      </c>
      <c r="F19" s="186">
        <f>SUM(F17*0.17)</f>
        <v>12839.1360592</v>
      </c>
      <c r="G19" s="186">
        <f>SUM(G17*0.17)</f>
        <v>18410.66</v>
      </c>
      <c r="H19" s="186">
        <f>SUM(H17*0.17)</f>
        <v>21270.375402529997</v>
      </c>
      <c r="J19" s="51"/>
    </row>
    <row r="20" spans="2:10" x14ac:dyDescent="0.3">
      <c r="B20" s="56"/>
      <c r="C20" s="54"/>
      <c r="D20" s="186"/>
      <c r="E20" s="186"/>
      <c r="F20" s="186"/>
      <c r="G20" s="186"/>
      <c r="H20" s="186"/>
      <c r="J20" s="51">
        <f t="shared" ref="J20" si="2">SUM(D20:H20)</f>
        <v>0</v>
      </c>
    </row>
    <row r="21" spans="2:10" x14ac:dyDescent="0.3">
      <c r="B21" s="56"/>
      <c r="C21" s="58" t="s">
        <v>12</v>
      </c>
      <c r="D21" s="189">
        <f>SUM(D19:D20)</f>
        <v>6257.0880000000006</v>
      </c>
      <c r="E21" s="189">
        <f>SUM(E19:E20)</f>
        <v>7979.3906399999996</v>
      </c>
      <c r="F21" s="189">
        <f>SUM(F19:F20)</f>
        <v>12839.1360592</v>
      </c>
      <c r="G21" s="189">
        <f>SUM(G19:G20)</f>
        <v>18410.66</v>
      </c>
      <c r="H21" s="189">
        <f>SUM(H19:H20)</f>
        <v>21270.375402529997</v>
      </c>
      <c r="J21" s="198">
        <f>SUM(D21:H21)</f>
        <v>66756.650101730003</v>
      </c>
    </row>
    <row r="22" spans="2:10" x14ac:dyDescent="0.3">
      <c r="B22" s="56"/>
      <c r="C22" s="62" t="s">
        <v>33</v>
      </c>
      <c r="D22" s="186"/>
      <c r="E22" s="186"/>
      <c r="F22" s="186"/>
      <c r="G22" s="186"/>
      <c r="H22" s="186"/>
      <c r="J22" s="52" t="s">
        <v>31</v>
      </c>
    </row>
    <row r="23" spans="2:10" x14ac:dyDescent="0.3">
      <c r="B23" s="56"/>
      <c r="C23" s="49" t="s">
        <v>211</v>
      </c>
      <c r="D23" s="186">
        <v>0</v>
      </c>
      <c r="E23" s="186">
        <v>0</v>
      </c>
      <c r="F23" s="186">
        <v>0</v>
      </c>
      <c r="G23" s="186">
        <v>3500</v>
      </c>
      <c r="H23" s="186">
        <v>3500</v>
      </c>
      <c r="J23" s="51"/>
    </row>
    <row r="24" spans="2:10" x14ac:dyDescent="0.3">
      <c r="B24" s="143"/>
      <c r="C24" s="144" t="s">
        <v>212</v>
      </c>
      <c r="D24" s="190">
        <v>200</v>
      </c>
      <c r="E24" s="186">
        <v>200</v>
      </c>
      <c r="F24" s="186">
        <v>350</v>
      </c>
      <c r="G24" s="186">
        <v>350</v>
      </c>
      <c r="H24" s="186">
        <v>400</v>
      </c>
      <c r="I24" s="48"/>
      <c r="J24" s="51"/>
    </row>
    <row r="25" spans="2:10" x14ac:dyDescent="0.3">
      <c r="B25" s="56"/>
      <c r="C25" s="191"/>
      <c r="D25" s="186"/>
      <c r="E25" s="186"/>
      <c r="F25" s="186"/>
      <c r="G25" s="186"/>
      <c r="H25" s="186"/>
      <c r="I25" s="48"/>
      <c r="J25" s="51"/>
    </row>
    <row r="26" spans="2:10" x14ac:dyDescent="0.3">
      <c r="B26" s="56"/>
      <c r="C26" s="58" t="s">
        <v>13</v>
      </c>
      <c r="D26" s="189">
        <f>SUM(D23:D25)</f>
        <v>200</v>
      </c>
      <c r="E26" s="189">
        <f>SUM(E23:E25)</f>
        <v>200</v>
      </c>
      <c r="F26" s="189">
        <f>SUM(F23:F25)</f>
        <v>350</v>
      </c>
      <c r="G26" s="189">
        <f>SUM(G23:G25)</f>
        <v>3850</v>
      </c>
      <c r="H26" s="189">
        <f>SUM(H23:H25)</f>
        <v>3900</v>
      </c>
      <c r="J26" s="198">
        <f>SUM(D26:H26)</f>
        <v>8500</v>
      </c>
    </row>
    <row r="27" spans="2:10" x14ac:dyDescent="0.3">
      <c r="B27" s="56"/>
      <c r="C27" s="62" t="s">
        <v>34</v>
      </c>
      <c r="D27" s="186"/>
      <c r="E27" s="186"/>
      <c r="F27" s="186"/>
      <c r="G27" s="186"/>
      <c r="H27" s="186"/>
      <c r="J27" s="51" t="s">
        <v>19</v>
      </c>
    </row>
    <row r="28" spans="2:10" x14ac:dyDescent="0.3">
      <c r="B28" s="56"/>
      <c r="C28" s="54"/>
      <c r="D28" s="186"/>
      <c r="E28" s="186"/>
      <c r="F28" s="186"/>
      <c r="G28" s="186"/>
      <c r="H28" s="186"/>
      <c r="J28" s="51">
        <f>SUM(D28:H28)</f>
        <v>0</v>
      </c>
    </row>
    <row r="29" spans="2:10" x14ac:dyDescent="0.3">
      <c r="B29" s="56"/>
      <c r="C29" s="58" t="s">
        <v>14</v>
      </c>
      <c r="D29" s="192">
        <f>SUM(D28:D28)</f>
        <v>0</v>
      </c>
      <c r="E29" s="192">
        <f>SUM(E28:E28)</f>
        <v>0</v>
      </c>
      <c r="F29" s="192">
        <f>SUM(F28:F28)</f>
        <v>0</v>
      </c>
      <c r="G29" s="192">
        <f>SUM(G28:G28)</f>
        <v>0</v>
      </c>
      <c r="H29" s="192">
        <f>SUM(H28:H28)</f>
        <v>0</v>
      </c>
      <c r="J29" s="198">
        <f t="shared" ref="J29:J38" si="3">SUM(D29:H29)</f>
        <v>0</v>
      </c>
    </row>
    <row r="30" spans="2:10" x14ac:dyDescent="0.3">
      <c r="B30" s="56"/>
      <c r="C30" s="62" t="s">
        <v>36</v>
      </c>
      <c r="D30" s="186" t="s">
        <v>31</v>
      </c>
      <c r="E30" s="186"/>
      <c r="F30" s="186"/>
      <c r="G30" s="186"/>
      <c r="H30" s="186"/>
      <c r="J30" s="51"/>
    </row>
    <row r="31" spans="2:10" x14ac:dyDescent="0.3">
      <c r="B31" s="56"/>
      <c r="C31" s="63" t="s">
        <v>213</v>
      </c>
      <c r="D31" s="186"/>
      <c r="E31" s="186"/>
      <c r="F31" s="186"/>
      <c r="G31" s="186"/>
      <c r="H31" s="186">
        <v>1500</v>
      </c>
      <c r="J31" s="51">
        <f>SUM(D31:H31)</f>
        <v>1500</v>
      </c>
    </row>
    <row r="32" spans="2:10" x14ac:dyDescent="0.3">
      <c r="B32" s="56"/>
      <c r="C32" s="54"/>
      <c r="D32" s="186"/>
      <c r="E32" s="186"/>
      <c r="F32" s="186"/>
      <c r="G32" s="186"/>
      <c r="H32" s="186"/>
      <c r="I32" s="48"/>
      <c r="J32" s="51"/>
    </row>
    <row r="33" spans="2:11" x14ac:dyDescent="0.3">
      <c r="B33" s="56"/>
      <c r="C33" s="58" t="s">
        <v>15</v>
      </c>
      <c r="D33" s="189">
        <f>SUM(D32:D32)</f>
        <v>0</v>
      </c>
      <c r="E33" s="189">
        <f>SUM(E32:E32)</f>
        <v>0</v>
      </c>
      <c r="F33" s="189">
        <f>SUM(F32:F32)</f>
        <v>0</v>
      </c>
      <c r="G33" s="189">
        <f>SUM(G32:G32)</f>
        <v>0</v>
      </c>
      <c r="H33" s="189">
        <f>SUM(H30:H31)</f>
        <v>1500</v>
      </c>
      <c r="J33" s="198">
        <f>SUM(D33:H33)</f>
        <v>1500</v>
      </c>
    </row>
    <row r="34" spans="2:11" x14ac:dyDescent="0.3">
      <c r="B34" s="56"/>
      <c r="C34" s="62" t="s">
        <v>37</v>
      </c>
      <c r="D34" s="186" t="s">
        <v>31</v>
      </c>
      <c r="E34" s="186"/>
      <c r="F34" s="186"/>
      <c r="G34" s="186"/>
      <c r="H34" s="186"/>
      <c r="J34" s="51"/>
    </row>
    <row r="35" spans="2:11" x14ac:dyDescent="0.3">
      <c r="B35" s="56"/>
      <c r="C35" s="54" t="s">
        <v>214</v>
      </c>
      <c r="D35" s="186"/>
      <c r="E35" s="186">
        <v>700</v>
      </c>
      <c r="F35" s="186">
        <v>700</v>
      </c>
      <c r="G35" s="186">
        <v>700</v>
      </c>
      <c r="H35" s="186"/>
      <c r="I35" s="48"/>
      <c r="J35" s="51">
        <f t="shared" si="3"/>
        <v>2100</v>
      </c>
    </row>
    <row r="36" spans="2:11" x14ac:dyDescent="0.3">
      <c r="B36" s="56"/>
      <c r="C36" s="54" t="s">
        <v>215</v>
      </c>
      <c r="D36" s="186"/>
      <c r="E36" s="186"/>
      <c r="F36" s="186">
        <v>10000</v>
      </c>
      <c r="G36" s="186">
        <v>10000</v>
      </c>
      <c r="H36" s="186"/>
      <c r="I36" s="48"/>
      <c r="J36" s="51">
        <f t="shared" si="3"/>
        <v>20000</v>
      </c>
    </row>
    <row r="37" spans="2:11" x14ac:dyDescent="0.3">
      <c r="B37" s="56"/>
      <c r="C37" s="54" t="s">
        <v>216</v>
      </c>
      <c r="D37" s="186"/>
      <c r="E37" s="186"/>
      <c r="F37" s="186"/>
      <c r="G37" s="186"/>
      <c r="H37" s="186">
        <v>15000</v>
      </c>
      <c r="I37" s="48"/>
      <c r="J37" s="51">
        <f t="shared" si="3"/>
        <v>15000</v>
      </c>
      <c r="K37" s="195"/>
    </row>
    <row r="38" spans="2:11" x14ac:dyDescent="0.3">
      <c r="B38" s="56"/>
      <c r="C38" s="54" t="s">
        <v>217</v>
      </c>
      <c r="D38" s="186">
        <v>1000000</v>
      </c>
      <c r="E38" s="186"/>
      <c r="F38" s="186"/>
      <c r="G38" s="186"/>
      <c r="H38" s="186"/>
      <c r="J38" s="51">
        <f t="shared" si="3"/>
        <v>1000000</v>
      </c>
    </row>
    <row r="39" spans="2:11" x14ac:dyDescent="0.3">
      <c r="B39" s="56"/>
      <c r="C39" s="58" t="s">
        <v>16</v>
      </c>
      <c r="D39" s="189">
        <f>SUM(D35:D38)</f>
        <v>1000000</v>
      </c>
      <c r="E39" s="189">
        <f t="shared" ref="E39:H39" si="4">SUM(E35:E38)</f>
        <v>700</v>
      </c>
      <c r="F39" s="189">
        <f t="shared" si="4"/>
        <v>10700</v>
      </c>
      <c r="G39" s="189">
        <f t="shared" si="4"/>
        <v>10700</v>
      </c>
      <c r="H39" s="189">
        <f t="shared" si="4"/>
        <v>15000</v>
      </c>
      <c r="J39" s="198">
        <f>SUM(D39:H39)</f>
        <v>1037100</v>
      </c>
    </row>
    <row r="40" spans="2:11" x14ac:dyDescent="0.3">
      <c r="B40" s="56"/>
      <c r="C40" s="62" t="s">
        <v>38</v>
      </c>
      <c r="D40" s="186" t="s">
        <v>31</v>
      </c>
      <c r="E40" s="186"/>
      <c r="F40" s="186"/>
      <c r="G40" s="186"/>
      <c r="H40" s="186"/>
      <c r="J40" s="51"/>
    </row>
    <row r="41" spans="2:11" x14ac:dyDescent="0.3">
      <c r="B41" s="56"/>
      <c r="C41" s="54" t="s">
        <v>218</v>
      </c>
      <c r="D41" s="186"/>
      <c r="E41" s="186"/>
      <c r="F41" s="186">
        <v>3333</v>
      </c>
      <c r="G41" s="186">
        <v>3333</v>
      </c>
      <c r="H41" s="186">
        <v>3334</v>
      </c>
      <c r="I41" s="48"/>
      <c r="J41" s="51">
        <f>SUM(D41:H41)</f>
        <v>10000</v>
      </c>
    </row>
    <row r="42" spans="2:11" x14ac:dyDescent="0.3">
      <c r="B42" s="56"/>
      <c r="C42" s="54" t="s">
        <v>219</v>
      </c>
      <c r="D42" s="186"/>
      <c r="E42" s="186"/>
      <c r="F42" s="186"/>
      <c r="G42" s="186">
        <v>300</v>
      </c>
      <c r="H42" s="186">
        <v>300</v>
      </c>
      <c r="I42" s="48"/>
      <c r="J42" s="51">
        <f>SUM(D42:H42)</f>
        <v>600</v>
      </c>
    </row>
    <row r="43" spans="2:11" x14ac:dyDescent="0.3">
      <c r="B43" s="56"/>
      <c r="C43" s="63"/>
      <c r="D43" s="186"/>
      <c r="E43" s="186"/>
      <c r="F43" s="186"/>
      <c r="G43" s="186"/>
      <c r="H43" s="186"/>
      <c r="J43" s="51"/>
    </row>
    <row r="44" spans="2:11" x14ac:dyDescent="0.3">
      <c r="B44" s="57"/>
      <c r="C44" s="58" t="s">
        <v>17</v>
      </c>
      <c r="D44" s="189">
        <f>SUM(D41:D43)</f>
        <v>0</v>
      </c>
      <c r="E44" s="189">
        <f t="shared" ref="E44:H44" si="5">SUM(E41:E43)</f>
        <v>0</v>
      </c>
      <c r="F44" s="189">
        <f t="shared" si="5"/>
        <v>3333</v>
      </c>
      <c r="G44" s="189">
        <f t="shared" si="5"/>
        <v>3633</v>
      </c>
      <c r="H44" s="189">
        <f t="shared" si="5"/>
        <v>3634</v>
      </c>
      <c r="J44" s="198">
        <f>SUM(D44:H44)</f>
        <v>10600</v>
      </c>
    </row>
    <row r="45" spans="2:11" x14ac:dyDescent="0.3">
      <c r="B45" s="57"/>
      <c r="C45" s="58" t="s">
        <v>18</v>
      </c>
      <c r="D45" s="189">
        <f>SUM(D44,D39,D33,D29,D26,D21,D17)</f>
        <v>1043263.488</v>
      </c>
      <c r="E45" s="189">
        <f>SUM(E44,E39,E33,E29,E26,E21,E17)</f>
        <v>55816.982639999995</v>
      </c>
      <c r="F45" s="189">
        <f>SUM(F44,F39,F33,F29,F26,F21,F17)</f>
        <v>102746.46581919999</v>
      </c>
      <c r="G45" s="189">
        <f>SUM(G44,G39,G33,G29,G26,G21,G17)</f>
        <v>144891.66</v>
      </c>
      <c r="H45" s="189">
        <f>SUM(H44,H39,H33,H29,H26,H21,H17)</f>
        <v>170424.23071152996</v>
      </c>
      <c r="J45" s="198">
        <f>SUM(D45:H45)</f>
        <v>1517142.8271707299</v>
      </c>
    </row>
    <row r="46" spans="2:11" x14ac:dyDescent="0.3">
      <c r="B46" s="59"/>
      <c r="D46" s="164"/>
      <c r="E46" s="164"/>
      <c r="H46" s="164"/>
      <c r="J46" s="195" t="s">
        <v>19</v>
      </c>
    </row>
    <row r="47" spans="2:11" ht="28.8" x14ac:dyDescent="0.3">
      <c r="B47" s="83" t="s">
        <v>39</v>
      </c>
      <c r="C47" s="84" t="s">
        <v>39</v>
      </c>
      <c r="D47" s="187"/>
      <c r="E47" s="187"/>
      <c r="F47" s="187"/>
      <c r="G47" s="187"/>
      <c r="H47" s="187"/>
      <c r="J47" s="52" t="s">
        <v>19</v>
      </c>
    </row>
    <row r="48" spans="2:11" x14ac:dyDescent="0.3">
      <c r="B48" s="56"/>
      <c r="C48" s="193" t="s">
        <v>220</v>
      </c>
      <c r="D48" s="186">
        <f>SUM(D17)*0.1</f>
        <v>3680.6400000000003</v>
      </c>
      <c r="E48" s="186">
        <f>SUM(E17)*0.1</f>
        <v>4693.7591999999995</v>
      </c>
      <c r="F48" s="186">
        <f>SUM(F17)*0.1</f>
        <v>7552.4329760000001</v>
      </c>
      <c r="G48" s="186">
        <f>SUM(G17)*0.1</f>
        <v>10829.800000000001</v>
      </c>
      <c r="H48" s="186">
        <f>SUM(H17)*0.1</f>
        <v>12511.985530899998</v>
      </c>
      <c r="J48" s="51">
        <f>SUM(D48:H48)</f>
        <v>39268.617706899997</v>
      </c>
    </row>
    <row r="49" spans="2:10" x14ac:dyDescent="0.3">
      <c r="B49" s="56"/>
      <c r="C49" s="54"/>
      <c r="D49" s="186"/>
      <c r="E49" s="186"/>
      <c r="F49" s="186"/>
      <c r="G49" s="186"/>
      <c r="H49" s="186"/>
      <c r="J49" s="51"/>
    </row>
    <row r="50" spans="2:10" x14ac:dyDescent="0.3">
      <c r="B50" s="57"/>
      <c r="C50" s="58" t="s">
        <v>20</v>
      </c>
      <c r="D50" s="189">
        <f>SUM(D48:D49)</f>
        <v>3680.6400000000003</v>
      </c>
      <c r="E50" s="189">
        <f t="shared" ref="E50:H50" si="6">SUM(E48:E49)</f>
        <v>4693.7591999999995</v>
      </c>
      <c r="F50" s="189">
        <f t="shared" si="6"/>
        <v>7552.4329760000001</v>
      </c>
      <c r="G50" s="189">
        <f t="shared" si="6"/>
        <v>10829.800000000001</v>
      </c>
      <c r="H50" s="189">
        <f t="shared" si="6"/>
        <v>12511.985530899998</v>
      </c>
      <c r="J50" s="198">
        <f t="shared" ref="J50" si="7">SUM(D50:H50)</f>
        <v>39268.617706899997</v>
      </c>
    </row>
    <row r="51" spans="2:10" x14ac:dyDescent="0.3">
      <c r="B51" s="59"/>
      <c r="D51" s="164"/>
      <c r="E51" s="164"/>
      <c r="H51" s="164"/>
      <c r="J51" s="195" t="s">
        <v>19</v>
      </c>
    </row>
    <row r="52" spans="2:10" s="61" customFormat="1" ht="28.8" x14ac:dyDescent="0.3">
      <c r="B52" s="60" t="s">
        <v>21</v>
      </c>
      <c r="C52" s="60"/>
      <c r="D52" s="194">
        <f>SUM(D50,D45)</f>
        <v>1046944.128</v>
      </c>
      <c r="E52" s="194">
        <f t="shared" ref="E52:J52" si="8">SUM(E50,E45)</f>
        <v>60510.741839999995</v>
      </c>
      <c r="F52" s="194">
        <f t="shared" si="8"/>
        <v>110298.89879519999</v>
      </c>
      <c r="G52" s="194">
        <f t="shared" si="8"/>
        <v>155721.46</v>
      </c>
      <c r="H52" s="194">
        <f t="shared" si="8"/>
        <v>182936.21624242997</v>
      </c>
      <c r="I52" s="49"/>
      <c r="J52" s="53">
        <f t="shared" si="8"/>
        <v>1556411.4448776299</v>
      </c>
    </row>
    <row r="53" spans="2:10" x14ac:dyDescent="0.3">
      <c r="B53" s="59"/>
    </row>
    <row r="54" spans="2:10" x14ac:dyDescent="0.3">
      <c r="B54" s="59"/>
    </row>
    <row r="55" spans="2:10" x14ac:dyDescent="0.3">
      <c r="B55" s="59"/>
    </row>
    <row r="56" spans="2:10" x14ac:dyDescent="0.3">
      <c r="B56" s="59"/>
    </row>
    <row r="57" spans="2:10" x14ac:dyDescent="0.3">
      <c r="B57" s="59"/>
    </row>
    <row r="58" spans="2:10" x14ac:dyDescent="0.3">
      <c r="B58" s="59"/>
    </row>
    <row r="59" spans="2:10" x14ac:dyDescent="0.3">
      <c r="B59" s="59"/>
    </row>
    <row r="60" spans="2:10" x14ac:dyDescent="0.3">
      <c r="B60" s="59"/>
    </row>
    <row r="61" spans="2:10" x14ac:dyDescent="0.3">
      <c r="B61" s="59"/>
    </row>
    <row r="62" spans="2:10" x14ac:dyDescent="0.3">
      <c r="B62" s="59"/>
    </row>
    <row r="63" spans="2:10" x14ac:dyDescent="0.3">
      <c r="B63" s="59"/>
    </row>
    <row r="64" spans="2:10" x14ac:dyDescent="0.3">
      <c r="B64" s="59"/>
    </row>
    <row r="65" spans="2:2" x14ac:dyDescent="0.3">
      <c r="B65" s="59"/>
    </row>
    <row r="66" spans="2:2" x14ac:dyDescent="0.3">
      <c r="B66" s="59"/>
    </row>
    <row r="67" spans="2:2" x14ac:dyDescent="0.3">
      <c r="B67" s="59"/>
    </row>
  </sheetData>
  <sheetProtection sheet="1" objects="1" scenarios="1"/>
  <pageMargins left="0.7" right="0.7" top="0.75" bottom="0.75" header="0.3" footer="0.3"/>
  <pageSetup scale="84" fitToHeight="0" orientation="landscape" r:id="rId1"/>
  <ignoredErrors>
    <ignoredError sqref="J12 J35:J37 J42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AEA76-5B94-469A-9E37-93218CF11340}">
  <sheetPr>
    <tabColor theme="9" tint="0.39997558519241921"/>
    <pageSetUpPr fitToPage="1"/>
  </sheetPr>
  <dimension ref="B2:P78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I1" sqref="I1:I1048576"/>
    </sheetView>
  </sheetViews>
  <sheetFormatPr defaultColWidth="9.33203125" defaultRowHeight="14.4" x14ac:dyDescent="0.3"/>
  <cols>
    <col min="1" max="1" width="3.33203125" style="49" customWidth="1"/>
    <col min="2" max="2" width="11.33203125" style="49" customWidth="1"/>
    <col min="3" max="3" width="46.44140625" style="49" customWidth="1"/>
    <col min="4" max="4" width="13.33203125" style="59" customWidth="1"/>
    <col min="5" max="5" width="13.33203125" style="72" customWidth="1"/>
    <col min="6" max="7" width="13.33203125" style="49" customWidth="1"/>
    <col min="8" max="8" width="12.6640625" style="72" customWidth="1"/>
    <col min="9" max="9" width="11.77734375" style="256" hidden="1" customWidth="1"/>
    <col min="10" max="10" width="14.5546875" style="49" customWidth="1"/>
    <col min="11" max="11" width="14.5546875" style="256" customWidth="1"/>
    <col min="12" max="12" width="14.33203125" style="49" bestFit="1" customWidth="1"/>
    <col min="13" max="13" width="10.33203125" style="49" customWidth="1"/>
    <col min="14" max="14" width="11" style="49" bestFit="1" customWidth="1"/>
    <col min="15" max="15" width="12" style="49" bestFit="1" customWidth="1"/>
    <col min="16" max="16384" width="9.33203125" style="49"/>
  </cols>
  <sheetData>
    <row r="2" spans="2:16" ht="23.4" x14ac:dyDescent="0.45">
      <c r="B2" s="71" t="s">
        <v>29</v>
      </c>
    </row>
    <row r="3" spans="2:16" x14ac:dyDescent="0.3">
      <c r="B3" s="49" t="s">
        <v>268</v>
      </c>
    </row>
    <row r="5" spans="2:16" ht="18" x14ac:dyDescent="0.35">
      <c r="B5" s="73" t="s">
        <v>1</v>
      </c>
      <c r="C5" s="74"/>
      <c r="D5" s="74"/>
      <c r="E5" s="74"/>
      <c r="F5" s="74"/>
      <c r="G5" s="74"/>
      <c r="H5" s="74"/>
      <c r="I5" s="264"/>
      <c r="J5" s="75"/>
      <c r="K5" s="257"/>
    </row>
    <row r="6" spans="2:16" x14ac:dyDescent="0.3">
      <c r="B6" s="76" t="s">
        <v>2</v>
      </c>
      <c r="C6" s="76" t="s">
        <v>3</v>
      </c>
      <c r="D6" s="76" t="s">
        <v>4</v>
      </c>
      <c r="E6" s="77" t="s">
        <v>5</v>
      </c>
      <c r="F6" s="77" t="s">
        <v>6</v>
      </c>
      <c r="G6" s="77" t="s">
        <v>7</v>
      </c>
      <c r="H6" s="78" t="s">
        <v>8</v>
      </c>
      <c r="I6" s="264"/>
      <c r="J6" s="80" t="s">
        <v>9</v>
      </c>
      <c r="K6" s="258"/>
    </row>
    <row r="7" spans="2:16" x14ac:dyDescent="0.3">
      <c r="B7" s="81" t="s">
        <v>10</v>
      </c>
      <c r="C7" s="82" t="s">
        <v>221</v>
      </c>
      <c r="D7" s="63" t="s">
        <v>31</v>
      </c>
      <c r="E7" s="63" t="s">
        <v>31</v>
      </c>
      <c r="F7" s="63" t="s">
        <v>31</v>
      </c>
      <c r="G7" s="63"/>
      <c r="H7" s="63" t="s">
        <v>31</v>
      </c>
      <c r="J7" s="68" t="s">
        <v>31</v>
      </c>
      <c r="K7" s="259"/>
    </row>
    <row r="8" spans="2:16" x14ac:dyDescent="0.3">
      <c r="B8" s="56"/>
      <c r="C8" s="54" t="s">
        <v>222</v>
      </c>
      <c r="D8" s="69">
        <v>10000</v>
      </c>
      <c r="E8" s="69"/>
      <c r="F8" s="69"/>
      <c r="G8" s="69"/>
      <c r="H8" s="69"/>
      <c r="I8" s="265"/>
      <c r="J8" s="69">
        <f>SUM(D8:H8)</f>
        <v>10000</v>
      </c>
      <c r="K8" s="260"/>
    </row>
    <row r="9" spans="2:16" ht="28.8" x14ac:dyDescent="0.3">
      <c r="B9" s="56"/>
      <c r="C9" s="54" t="s">
        <v>223</v>
      </c>
      <c r="D9" s="69">
        <v>25000</v>
      </c>
      <c r="E9" s="69">
        <f t="shared" ref="E9:H13" si="0">(D9*0.05)+D9</f>
        <v>26250</v>
      </c>
      <c r="F9" s="69"/>
      <c r="G9" s="69"/>
      <c r="H9" s="69"/>
      <c r="J9" s="69">
        <f t="shared" ref="J9:J14" si="1">SUM(D9:H9)</f>
        <v>51250</v>
      </c>
      <c r="K9" s="260"/>
    </row>
    <row r="10" spans="2:16" ht="28.8" x14ac:dyDescent="0.3">
      <c r="B10" s="56"/>
      <c r="C10" s="54" t="s">
        <v>224</v>
      </c>
      <c r="D10" s="69">
        <v>10000</v>
      </c>
      <c r="E10" s="69">
        <f t="shared" si="0"/>
        <v>10500</v>
      </c>
      <c r="F10" s="69">
        <f t="shared" si="0"/>
        <v>11025</v>
      </c>
      <c r="G10" s="69"/>
      <c r="H10" s="69"/>
      <c r="J10" s="69">
        <f t="shared" si="1"/>
        <v>31525</v>
      </c>
      <c r="K10" s="260"/>
    </row>
    <row r="11" spans="2:16" ht="28.8" x14ac:dyDescent="0.3">
      <c r="B11" s="56"/>
      <c r="C11" s="54" t="s">
        <v>225</v>
      </c>
      <c r="D11" s="69">
        <v>3000</v>
      </c>
      <c r="E11" s="69"/>
      <c r="F11" s="69"/>
      <c r="G11" s="69"/>
      <c r="H11" s="69"/>
      <c r="J11" s="69">
        <f t="shared" si="1"/>
        <v>3000</v>
      </c>
      <c r="K11" s="260"/>
    </row>
    <row r="12" spans="2:16" ht="28.8" x14ac:dyDescent="0.3">
      <c r="B12" s="56"/>
      <c r="C12" s="54" t="s">
        <v>226</v>
      </c>
      <c r="D12" s="69">
        <v>10000</v>
      </c>
      <c r="E12" s="69">
        <f t="shared" si="0"/>
        <v>10500</v>
      </c>
      <c r="F12" s="69">
        <f t="shared" si="0"/>
        <v>11025</v>
      </c>
      <c r="G12" s="69"/>
      <c r="H12" s="69"/>
      <c r="J12" s="69">
        <f t="shared" si="1"/>
        <v>31525</v>
      </c>
      <c r="K12" s="260"/>
    </row>
    <row r="13" spans="2:16" ht="28.8" x14ac:dyDescent="0.3">
      <c r="B13" s="56"/>
      <c r="C13" s="54" t="s">
        <v>227</v>
      </c>
      <c r="D13" s="69">
        <v>4000</v>
      </c>
      <c r="E13" s="69">
        <f t="shared" si="0"/>
        <v>4200</v>
      </c>
      <c r="F13" s="69">
        <f t="shared" si="0"/>
        <v>4410</v>
      </c>
      <c r="G13" s="69">
        <f t="shared" si="0"/>
        <v>4630.5</v>
      </c>
      <c r="H13" s="69">
        <f t="shared" si="0"/>
        <v>4862.0249999999996</v>
      </c>
      <c r="J13" s="69">
        <f t="shared" si="1"/>
        <v>22102.525000000001</v>
      </c>
      <c r="K13" s="260"/>
      <c r="M13" s="48"/>
      <c r="N13" s="158"/>
      <c r="O13" s="158"/>
      <c r="P13" s="48"/>
    </row>
    <row r="14" spans="2:16" x14ac:dyDescent="0.3">
      <c r="B14" s="56"/>
      <c r="C14" s="54" t="s">
        <v>228</v>
      </c>
      <c r="D14" s="69">
        <v>30000</v>
      </c>
      <c r="E14" s="69">
        <f>(D14*0.05)+D14</f>
        <v>31500</v>
      </c>
      <c r="F14" s="69">
        <f t="shared" ref="F14:H14" si="2">(E14*0.05)+E14</f>
        <v>33075</v>
      </c>
      <c r="G14" s="69">
        <f t="shared" si="2"/>
        <v>34728.75</v>
      </c>
      <c r="H14" s="69">
        <f t="shared" si="2"/>
        <v>36465.1875</v>
      </c>
      <c r="I14" s="266"/>
      <c r="J14" s="69">
        <f t="shared" si="1"/>
        <v>165768.9375</v>
      </c>
      <c r="K14" s="260"/>
      <c r="M14" s="48"/>
      <c r="N14" s="158"/>
      <c r="O14" s="158"/>
      <c r="P14" s="48"/>
    </row>
    <row r="15" spans="2:16" x14ac:dyDescent="0.3">
      <c r="B15" s="56"/>
      <c r="C15" s="58" t="s">
        <v>11</v>
      </c>
      <c r="D15" s="70">
        <f>SUM(D8:D14)</f>
        <v>92000</v>
      </c>
      <c r="E15" s="70">
        <f t="shared" ref="E15:H15" si="3">SUM(E8:E14)</f>
        <v>82950</v>
      </c>
      <c r="F15" s="70">
        <f t="shared" si="3"/>
        <v>59535</v>
      </c>
      <c r="G15" s="70">
        <f t="shared" si="3"/>
        <v>39359.25</v>
      </c>
      <c r="H15" s="70">
        <f t="shared" si="3"/>
        <v>41327.212500000001</v>
      </c>
      <c r="I15" s="266"/>
      <c r="J15" s="70">
        <f>SUM(D15:H15)</f>
        <v>315171.46250000002</v>
      </c>
      <c r="K15" s="260"/>
      <c r="M15" s="48"/>
      <c r="N15" s="48"/>
      <c r="O15" s="48"/>
      <c r="P15" s="48"/>
    </row>
    <row r="16" spans="2:16" x14ac:dyDescent="0.3">
      <c r="B16" s="56"/>
      <c r="C16" s="62" t="s">
        <v>229</v>
      </c>
      <c r="D16" s="63" t="s">
        <v>31</v>
      </c>
      <c r="E16" s="63"/>
      <c r="F16" s="63"/>
      <c r="G16" s="63"/>
      <c r="H16" s="63"/>
      <c r="J16" s="68" t="s">
        <v>31</v>
      </c>
      <c r="K16" s="259"/>
    </row>
    <row r="17" spans="2:11" x14ac:dyDescent="0.3">
      <c r="B17" s="56"/>
      <c r="C17" s="54"/>
      <c r="D17" s="69">
        <f>(D15*0.5)</f>
        <v>46000</v>
      </c>
      <c r="E17" s="69">
        <f t="shared" ref="E17:H17" si="4">(E15*0.5)</f>
        <v>41475</v>
      </c>
      <c r="F17" s="69">
        <f t="shared" si="4"/>
        <v>29767.5</v>
      </c>
      <c r="G17" s="69">
        <f t="shared" si="4"/>
        <v>19679.625</v>
      </c>
      <c r="H17" s="69">
        <f t="shared" si="4"/>
        <v>20663.606250000001</v>
      </c>
      <c r="J17" s="69">
        <f>SUM(D17:H17)</f>
        <v>157585.73125000001</v>
      </c>
      <c r="K17" s="260"/>
    </row>
    <row r="18" spans="2:11" x14ac:dyDescent="0.3">
      <c r="B18" s="56"/>
      <c r="C18" s="54"/>
      <c r="D18" s="69"/>
      <c r="E18" s="69"/>
      <c r="F18" s="69"/>
      <c r="G18" s="69"/>
      <c r="H18" s="69"/>
      <c r="J18" s="69">
        <f t="shared" ref="J18:J19" si="5">SUM(D18:H18)</f>
        <v>0</v>
      </c>
      <c r="K18" s="260"/>
    </row>
    <row r="19" spans="2:11" x14ac:dyDescent="0.3">
      <c r="B19" s="56"/>
      <c r="C19" s="63"/>
      <c r="D19" s="69"/>
      <c r="E19" s="69"/>
      <c r="F19" s="69"/>
      <c r="G19" s="69"/>
      <c r="H19" s="69"/>
      <c r="J19" s="69">
        <f t="shared" si="5"/>
        <v>0</v>
      </c>
      <c r="K19" s="260"/>
    </row>
    <row r="20" spans="2:11" x14ac:dyDescent="0.3">
      <c r="B20" s="56"/>
      <c r="C20" s="58" t="s">
        <v>12</v>
      </c>
      <c r="D20" s="70">
        <f>SUM(D17:D19)</f>
        <v>46000</v>
      </c>
      <c r="E20" s="70">
        <f t="shared" ref="E20:H20" si="6">SUM(E17:E19)</f>
        <v>41475</v>
      </c>
      <c r="F20" s="70">
        <f t="shared" si="6"/>
        <v>29767.5</v>
      </c>
      <c r="G20" s="70">
        <f t="shared" si="6"/>
        <v>19679.625</v>
      </c>
      <c r="H20" s="70">
        <f t="shared" si="6"/>
        <v>20663.606250000001</v>
      </c>
      <c r="J20" s="70">
        <f>SUM(D20:H20)</f>
        <v>157585.73125000001</v>
      </c>
      <c r="K20" s="260"/>
    </row>
    <row r="21" spans="2:11" x14ac:dyDescent="0.3">
      <c r="B21" s="56"/>
      <c r="C21" s="62" t="s">
        <v>33</v>
      </c>
      <c r="D21" s="63" t="s">
        <v>31</v>
      </c>
      <c r="E21" s="63"/>
      <c r="F21" s="63"/>
      <c r="G21" s="63"/>
      <c r="H21" s="63"/>
      <c r="J21" s="68" t="s">
        <v>31</v>
      </c>
      <c r="K21" s="259"/>
    </row>
    <row r="22" spans="2:11" x14ac:dyDescent="0.3">
      <c r="B22" s="56"/>
      <c r="C22" s="54"/>
      <c r="D22" s="63"/>
      <c r="E22" s="63"/>
      <c r="F22" s="63"/>
      <c r="G22" s="63"/>
      <c r="H22" s="63"/>
      <c r="J22" s="69">
        <f t="shared" ref="J22:J23" si="7">SUM(D22:H22)</f>
        <v>0</v>
      </c>
      <c r="K22" s="260"/>
    </row>
    <row r="23" spans="2:11" x14ac:dyDescent="0.3">
      <c r="B23" s="56"/>
      <c r="C23" s="86"/>
      <c r="D23" s="69"/>
      <c r="E23" s="69"/>
      <c r="F23" s="69"/>
      <c r="G23" s="69"/>
      <c r="H23" s="69"/>
      <c r="J23" s="69">
        <f t="shared" si="7"/>
        <v>0</v>
      </c>
      <c r="K23" s="260"/>
    </row>
    <row r="24" spans="2:11" x14ac:dyDescent="0.3">
      <c r="B24" s="56"/>
      <c r="C24" s="86"/>
      <c r="D24" s="69"/>
      <c r="E24" s="69"/>
      <c r="F24" s="69"/>
      <c r="G24" s="69"/>
      <c r="H24" s="69"/>
      <c r="I24" s="265"/>
      <c r="J24" s="69">
        <f>SUM(D24:H24)</f>
        <v>0</v>
      </c>
      <c r="K24" s="260"/>
    </row>
    <row r="25" spans="2:11" x14ac:dyDescent="0.3">
      <c r="B25" s="56"/>
      <c r="C25" s="86"/>
      <c r="D25" s="69"/>
      <c r="E25" s="69"/>
      <c r="F25" s="69"/>
      <c r="G25" s="69"/>
      <c r="H25" s="69"/>
      <c r="I25" s="265"/>
      <c r="J25" s="69">
        <f t="shared" ref="J25:J30" si="8">SUM(D25:H25)</f>
        <v>0</v>
      </c>
      <c r="K25" s="260"/>
    </row>
    <row r="26" spans="2:11" x14ac:dyDescent="0.3">
      <c r="B26" s="56"/>
      <c r="C26" s="54"/>
      <c r="D26" s="69"/>
      <c r="E26" s="69"/>
      <c r="F26" s="69"/>
      <c r="G26" s="69"/>
      <c r="H26" s="69"/>
      <c r="I26" s="265"/>
      <c r="J26" s="69">
        <f t="shared" si="8"/>
        <v>0</v>
      </c>
      <c r="K26" s="260"/>
    </row>
    <row r="27" spans="2:11" x14ac:dyDescent="0.3">
      <c r="B27" s="56"/>
      <c r="C27" s="86"/>
      <c r="D27" s="69"/>
      <c r="E27" s="69"/>
      <c r="F27" s="69"/>
      <c r="G27" s="69"/>
      <c r="H27" s="69"/>
      <c r="I27" s="265"/>
      <c r="J27" s="69">
        <f t="shared" si="8"/>
        <v>0</v>
      </c>
      <c r="K27" s="260"/>
    </row>
    <row r="28" spans="2:11" x14ac:dyDescent="0.3">
      <c r="B28" s="56"/>
      <c r="C28" s="86"/>
      <c r="D28" s="69"/>
      <c r="E28" s="69"/>
      <c r="F28" s="69"/>
      <c r="G28" s="69"/>
      <c r="H28" s="69"/>
      <c r="I28" s="265"/>
      <c r="J28" s="69">
        <f t="shared" si="8"/>
        <v>0</v>
      </c>
      <c r="K28" s="260"/>
    </row>
    <row r="29" spans="2:11" x14ac:dyDescent="0.3">
      <c r="B29" s="56"/>
      <c r="C29" s="86"/>
      <c r="D29" s="69"/>
      <c r="E29" s="69"/>
      <c r="F29" s="69"/>
      <c r="G29" s="69"/>
      <c r="H29" s="69"/>
      <c r="I29" s="265"/>
      <c r="J29" s="69">
        <f t="shared" si="8"/>
        <v>0</v>
      </c>
      <c r="K29" s="260"/>
    </row>
    <row r="30" spans="2:11" x14ac:dyDescent="0.3">
      <c r="B30" s="56"/>
      <c r="C30" s="54"/>
      <c r="D30" s="69"/>
      <c r="E30" s="69"/>
      <c r="F30" s="69"/>
      <c r="G30" s="69"/>
      <c r="H30" s="69"/>
      <c r="I30" s="265"/>
      <c r="J30" s="69">
        <f t="shared" si="8"/>
        <v>0</v>
      </c>
      <c r="K30" s="260"/>
    </row>
    <row r="31" spans="2:11" x14ac:dyDescent="0.3">
      <c r="B31" s="56"/>
      <c r="C31" s="58" t="s">
        <v>13</v>
      </c>
      <c r="D31" s="70">
        <f>SUM(D24:D30)</f>
        <v>0</v>
      </c>
      <c r="E31" s="70">
        <f>SUM(E24:E30)</f>
        <v>0</v>
      </c>
      <c r="F31" s="70">
        <f>SUM(F24:F30)</f>
        <v>0</v>
      </c>
      <c r="G31" s="70">
        <f>SUM(G24:G30)</f>
        <v>0</v>
      </c>
      <c r="H31" s="70">
        <f>SUM(H24:H30)</f>
        <v>0</v>
      </c>
      <c r="J31" s="70">
        <f>SUM(D31:H31)</f>
        <v>0</v>
      </c>
      <c r="K31" s="260"/>
    </row>
    <row r="32" spans="2:11" x14ac:dyDescent="0.3">
      <c r="B32" s="56"/>
      <c r="C32" s="62" t="s">
        <v>34</v>
      </c>
      <c r="D32" s="69"/>
      <c r="E32" s="63"/>
      <c r="F32" s="63"/>
      <c r="G32" s="63"/>
      <c r="H32" s="63"/>
      <c r="J32" s="69" t="s">
        <v>19</v>
      </c>
      <c r="K32" s="260"/>
    </row>
    <row r="33" spans="2:11" x14ac:dyDescent="0.3">
      <c r="B33" s="56"/>
      <c r="C33" s="54"/>
      <c r="D33" s="69"/>
      <c r="E33" s="63"/>
      <c r="F33" s="63"/>
      <c r="G33" s="63"/>
      <c r="H33" s="63"/>
      <c r="J33" s="69">
        <f>SUM(D33:H33)</f>
        <v>0</v>
      </c>
      <c r="K33" s="260"/>
    </row>
    <row r="34" spans="2:11" x14ac:dyDescent="0.3">
      <c r="B34" s="56" t="s">
        <v>35</v>
      </c>
      <c r="C34" s="63" t="s">
        <v>35</v>
      </c>
      <c r="D34" s="63" t="s">
        <v>31</v>
      </c>
      <c r="E34" s="63"/>
      <c r="F34" s="63"/>
      <c r="G34" s="63"/>
      <c r="H34" s="63"/>
      <c r="J34" s="69">
        <f t="shared" ref="J34:J54" si="9">SUM(D34:H34)</f>
        <v>0</v>
      </c>
      <c r="K34" s="260"/>
    </row>
    <row r="35" spans="2:11" x14ac:dyDescent="0.3">
      <c r="B35" s="56"/>
      <c r="C35" s="58" t="s">
        <v>14</v>
      </c>
      <c r="D35" s="87">
        <f>SUM(D33:D34)</f>
        <v>0</v>
      </c>
      <c r="E35" s="87">
        <f t="shared" ref="E35:H35" si="10">SUM(E33:E34)</f>
        <v>0</v>
      </c>
      <c r="F35" s="87">
        <f t="shared" si="10"/>
        <v>0</v>
      </c>
      <c r="G35" s="87">
        <f t="shared" si="10"/>
        <v>0</v>
      </c>
      <c r="H35" s="87">
        <f t="shared" si="10"/>
        <v>0</v>
      </c>
      <c r="J35" s="70">
        <f t="shared" si="9"/>
        <v>0</v>
      </c>
      <c r="K35" s="260"/>
    </row>
    <row r="36" spans="2:11" x14ac:dyDescent="0.3">
      <c r="B36" s="56"/>
      <c r="C36" s="62" t="s">
        <v>36</v>
      </c>
      <c r="D36" s="63" t="s">
        <v>31</v>
      </c>
      <c r="E36" s="63"/>
      <c r="F36" s="63"/>
      <c r="G36" s="63"/>
      <c r="H36" s="63"/>
      <c r="J36" s="69"/>
      <c r="K36" s="260"/>
    </row>
    <row r="37" spans="2:11" x14ac:dyDescent="0.3">
      <c r="B37" s="56"/>
      <c r="C37" s="54"/>
      <c r="D37" s="69"/>
      <c r="E37" s="69"/>
      <c r="F37" s="69"/>
      <c r="G37" s="69"/>
      <c r="H37" s="69"/>
      <c r="I37" s="265"/>
      <c r="J37" s="69">
        <f t="shared" si="9"/>
        <v>0</v>
      </c>
      <c r="K37" s="260"/>
    </row>
    <row r="38" spans="2:11" x14ac:dyDescent="0.3">
      <c r="B38" s="56"/>
      <c r="C38" s="54"/>
      <c r="D38" s="69"/>
      <c r="E38" s="69"/>
      <c r="F38" s="69"/>
      <c r="G38" s="69"/>
      <c r="H38" s="69"/>
      <c r="J38" s="69">
        <f t="shared" si="9"/>
        <v>0</v>
      </c>
      <c r="K38" s="260"/>
    </row>
    <row r="39" spans="2:11" x14ac:dyDescent="0.3">
      <c r="B39" s="56"/>
      <c r="C39" s="58" t="s">
        <v>15</v>
      </c>
      <c r="D39" s="70">
        <f>SUM(D37:D38)</f>
        <v>0</v>
      </c>
      <c r="E39" s="70">
        <f t="shared" ref="E39:H39" si="11">SUM(E37:E38)</f>
        <v>0</v>
      </c>
      <c r="F39" s="70">
        <f t="shared" si="11"/>
        <v>0</v>
      </c>
      <c r="G39" s="70">
        <f t="shared" si="11"/>
        <v>0</v>
      </c>
      <c r="H39" s="70">
        <f t="shared" si="11"/>
        <v>0</v>
      </c>
      <c r="J39" s="70">
        <f t="shared" si="9"/>
        <v>0</v>
      </c>
      <c r="K39" s="260"/>
    </row>
    <row r="40" spans="2:11" ht="28.8" x14ac:dyDescent="0.3">
      <c r="B40" s="56"/>
      <c r="C40" s="62" t="s">
        <v>230</v>
      </c>
      <c r="D40" s="63" t="s">
        <v>31</v>
      </c>
      <c r="E40" s="63"/>
      <c r="F40" s="63"/>
      <c r="G40" s="63"/>
      <c r="H40" s="63"/>
      <c r="J40" s="69"/>
      <c r="K40" s="260"/>
    </row>
    <row r="41" spans="2:11" x14ac:dyDescent="0.3">
      <c r="B41" s="56"/>
      <c r="C41" s="54" t="s">
        <v>222</v>
      </c>
      <c r="D41" s="69">
        <v>60000</v>
      </c>
      <c r="E41" s="69"/>
      <c r="F41" s="69"/>
      <c r="G41" s="69"/>
      <c r="H41" s="69"/>
      <c r="I41" s="265"/>
      <c r="J41" s="69">
        <f>SUM(D41:H41)</f>
        <v>60000</v>
      </c>
      <c r="K41" s="260"/>
    </row>
    <row r="42" spans="2:11" ht="28.8" x14ac:dyDescent="0.3">
      <c r="B42" s="56"/>
      <c r="C42" s="54" t="s">
        <v>231</v>
      </c>
      <c r="D42" s="69">
        <v>162500</v>
      </c>
      <c r="E42" s="69">
        <v>162500</v>
      </c>
      <c r="F42" s="69"/>
      <c r="G42" s="69"/>
      <c r="H42" s="69"/>
      <c r="I42" s="265"/>
      <c r="J42" s="69">
        <f>SUM(D42:H42)</f>
        <v>325000</v>
      </c>
      <c r="K42" s="260"/>
    </row>
    <row r="43" spans="2:11" ht="28.8" x14ac:dyDescent="0.3">
      <c r="B43" s="56"/>
      <c r="C43" s="54" t="s">
        <v>232</v>
      </c>
      <c r="D43" s="69">
        <v>75000</v>
      </c>
      <c r="E43" s="69">
        <v>75000</v>
      </c>
      <c r="F43" s="69">
        <v>75000</v>
      </c>
      <c r="G43" s="69"/>
      <c r="H43" s="69"/>
      <c r="I43" s="266"/>
      <c r="J43" s="69">
        <f t="shared" ref="J43:J46" si="12">SUM(D43:H43)</f>
        <v>225000</v>
      </c>
      <c r="K43" s="260"/>
    </row>
    <row r="44" spans="2:11" ht="28.8" x14ac:dyDescent="0.3">
      <c r="B44" s="56"/>
      <c r="C44" s="54" t="s">
        <v>225</v>
      </c>
      <c r="D44" s="69">
        <v>25000</v>
      </c>
      <c r="E44" s="69"/>
      <c r="F44" s="69"/>
      <c r="G44" s="69"/>
      <c r="H44" s="69"/>
      <c r="J44" s="69">
        <f t="shared" si="12"/>
        <v>25000</v>
      </c>
      <c r="K44" s="260"/>
    </row>
    <row r="45" spans="2:11" ht="28.8" x14ac:dyDescent="0.3">
      <c r="B45" s="56"/>
      <c r="C45" s="54" t="s">
        <v>233</v>
      </c>
      <c r="D45" s="69">
        <v>75000</v>
      </c>
      <c r="E45" s="69">
        <v>75000</v>
      </c>
      <c r="F45" s="69">
        <v>75000</v>
      </c>
      <c r="G45" s="69"/>
      <c r="H45" s="69"/>
      <c r="J45" s="69">
        <f>SUM(D45:H45)</f>
        <v>225000</v>
      </c>
      <c r="K45" s="260"/>
    </row>
    <row r="46" spans="2:11" ht="28.8" x14ac:dyDescent="0.3">
      <c r="B46" s="56"/>
      <c r="C46" s="54" t="s">
        <v>227</v>
      </c>
      <c r="D46" s="69">
        <v>3000</v>
      </c>
      <c r="E46" s="69">
        <v>3000</v>
      </c>
      <c r="F46" s="69">
        <v>3000</v>
      </c>
      <c r="G46" s="69">
        <v>3000</v>
      </c>
      <c r="H46" s="69">
        <v>3000</v>
      </c>
      <c r="J46" s="69">
        <f t="shared" si="12"/>
        <v>15000</v>
      </c>
      <c r="K46" s="260"/>
    </row>
    <row r="47" spans="2:11" x14ac:dyDescent="0.3">
      <c r="B47" s="56"/>
      <c r="C47" s="58" t="s">
        <v>16</v>
      </c>
      <c r="D47" s="70">
        <f>SUM(D41:D46)</f>
        <v>400500</v>
      </c>
      <c r="E47" s="70">
        <f t="shared" ref="E47:H47" si="13">SUM(E41:E46)</f>
        <v>315500</v>
      </c>
      <c r="F47" s="70">
        <f t="shared" si="13"/>
        <v>153000</v>
      </c>
      <c r="G47" s="70">
        <f t="shared" si="13"/>
        <v>3000</v>
      </c>
      <c r="H47" s="70">
        <f t="shared" si="13"/>
        <v>3000</v>
      </c>
      <c r="J47" s="70">
        <f>SUM(D47:H47)</f>
        <v>875000</v>
      </c>
      <c r="K47" s="260"/>
    </row>
    <row r="48" spans="2:11" x14ac:dyDescent="0.3">
      <c r="B48" s="56"/>
      <c r="C48" s="62" t="s">
        <v>38</v>
      </c>
      <c r="D48" s="63" t="s">
        <v>31</v>
      </c>
      <c r="E48" s="63"/>
      <c r="F48" s="63"/>
      <c r="G48" s="63"/>
      <c r="H48" s="63"/>
      <c r="J48" s="69"/>
      <c r="K48" s="260"/>
    </row>
    <row r="49" spans="2:11" x14ac:dyDescent="0.3">
      <c r="B49" s="56"/>
      <c r="C49" s="54" t="s">
        <v>234</v>
      </c>
      <c r="D49" s="69"/>
      <c r="E49" s="69">
        <v>10000</v>
      </c>
      <c r="F49" s="69">
        <v>10000</v>
      </c>
      <c r="G49" s="69">
        <v>10000</v>
      </c>
      <c r="H49" s="69">
        <v>10000</v>
      </c>
      <c r="I49" s="265"/>
      <c r="J49" s="69">
        <f>SUM(D49:H49)</f>
        <v>40000</v>
      </c>
      <c r="K49" s="260"/>
    </row>
    <row r="50" spans="2:11" x14ac:dyDescent="0.3">
      <c r="B50" s="56"/>
      <c r="C50" s="54"/>
      <c r="D50" s="69"/>
      <c r="E50" s="69"/>
      <c r="F50" s="69"/>
      <c r="G50" s="69"/>
      <c r="H50" s="69"/>
      <c r="I50" s="265"/>
      <c r="J50" s="69">
        <f t="shared" si="9"/>
        <v>0</v>
      </c>
      <c r="K50" s="260"/>
    </row>
    <row r="51" spans="2:11" x14ac:dyDescent="0.3">
      <c r="B51" s="56"/>
      <c r="C51" s="54"/>
      <c r="D51" s="69"/>
      <c r="E51" s="69"/>
      <c r="F51" s="69"/>
      <c r="G51" s="69"/>
      <c r="H51" s="69"/>
      <c r="I51" s="265"/>
      <c r="J51" s="69">
        <f t="shared" si="9"/>
        <v>0</v>
      </c>
      <c r="K51" s="260"/>
    </row>
    <row r="52" spans="2:11" x14ac:dyDescent="0.3">
      <c r="B52" s="56"/>
      <c r="C52" s="54"/>
      <c r="D52" s="69"/>
      <c r="E52" s="69"/>
      <c r="F52" s="69"/>
      <c r="G52" s="69"/>
      <c r="H52" s="69"/>
      <c r="J52" s="69">
        <f t="shared" si="9"/>
        <v>0</v>
      </c>
      <c r="K52" s="260"/>
    </row>
    <row r="53" spans="2:11" x14ac:dyDescent="0.3">
      <c r="B53" s="56"/>
      <c r="C53" s="54"/>
      <c r="D53" s="69"/>
      <c r="E53" s="69"/>
      <c r="F53" s="69"/>
      <c r="G53" s="69"/>
      <c r="H53" s="69"/>
      <c r="J53" s="69">
        <f t="shared" si="9"/>
        <v>0</v>
      </c>
      <c r="K53" s="260"/>
    </row>
    <row r="54" spans="2:11" x14ac:dyDescent="0.3">
      <c r="B54" s="56"/>
      <c r="C54" s="63"/>
      <c r="D54" s="69"/>
      <c r="E54" s="69"/>
      <c r="F54" s="69"/>
      <c r="G54" s="69"/>
      <c r="H54" s="69"/>
      <c r="J54" s="69">
        <f t="shared" si="9"/>
        <v>0</v>
      </c>
      <c r="K54" s="260"/>
    </row>
    <row r="55" spans="2:11" x14ac:dyDescent="0.3">
      <c r="B55" s="57"/>
      <c r="C55" s="58" t="s">
        <v>17</v>
      </c>
      <c r="D55" s="70">
        <f>SUM(D49:D54)</f>
        <v>0</v>
      </c>
      <c r="E55" s="70">
        <f t="shared" ref="E55:H55" si="14">SUM(E49:E54)</f>
        <v>10000</v>
      </c>
      <c r="F55" s="70">
        <f t="shared" si="14"/>
        <v>10000</v>
      </c>
      <c r="G55" s="70">
        <f t="shared" si="14"/>
        <v>10000</v>
      </c>
      <c r="H55" s="70">
        <f t="shared" si="14"/>
        <v>10000</v>
      </c>
      <c r="J55" s="70">
        <f>SUM(D55:H55)</f>
        <v>40000</v>
      </c>
      <c r="K55" s="260"/>
    </row>
    <row r="56" spans="2:11" x14ac:dyDescent="0.3">
      <c r="B56" s="57"/>
      <c r="C56" s="58" t="s">
        <v>18</v>
      </c>
      <c r="D56" s="70">
        <f>SUM(D55,D47,D39,D35,D31,D20,D15)</f>
        <v>538500</v>
      </c>
      <c r="E56" s="70">
        <f>SUM(E55,E47,E39,E35,E31,E20,E15)</f>
        <v>449925</v>
      </c>
      <c r="F56" s="70">
        <f>SUM(F55,F47,F39,F35,F31,F20,F15)</f>
        <v>252302.5</v>
      </c>
      <c r="G56" s="70">
        <f>SUM(G55,G47,G39,G35,G31,G20,G15)</f>
        <v>72038.875</v>
      </c>
      <c r="H56" s="70">
        <f>SUM(H55,H47,H39,H35,H31,H20,H15)</f>
        <v>74990.818750000006</v>
      </c>
      <c r="J56" s="70">
        <f>SUM(D56:H56)</f>
        <v>1387757.1937500001</v>
      </c>
      <c r="K56" s="260"/>
    </row>
    <row r="57" spans="2:11" x14ac:dyDescent="0.3">
      <c r="B57" s="59"/>
      <c r="D57" s="49"/>
      <c r="E57" s="49"/>
      <c r="H57" s="49"/>
      <c r="J57" s="49" t="s">
        <v>19</v>
      </c>
    </row>
    <row r="58" spans="2:11" ht="28.8" x14ac:dyDescent="0.3">
      <c r="B58" s="83" t="s">
        <v>39</v>
      </c>
      <c r="C58" s="84" t="s">
        <v>235</v>
      </c>
      <c r="D58" s="68"/>
      <c r="E58" s="68"/>
      <c r="F58" s="68"/>
      <c r="G58" s="68"/>
      <c r="H58" s="68"/>
      <c r="J58" s="68" t="s">
        <v>19</v>
      </c>
      <c r="K58" s="259"/>
    </row>
    <row r="59" spans="2:11" x14ac:dyDescent="0.3">
      <c r="B59" s="56"/>
      <c r="C59" s="54"/>
      <c r="D59" s="85">
        <f>1.28*D15</f>
        <v>117760</v>
      </c>
      <c r="E59" s="85">
        <f>1.28*E15</f>
        <v>106176</v>
      </c>
      <c r="F59" s="85">
        <f>1.28*F15</f>
        <v>76204.800000000003</v>
      </c>
      <c r="G59" s="85">
        <f>1.28*G15</f>
        <v>50379.840000000004</v>
      </c>
      <c r="H59" s="85">
        <f>1.28*H15</f>
        <v>52898.832000000002</v>
      </c>
      <c r="J59" s="69">
        <f>SUM(D59:H59)</f>
        <v>403419.47200000001</v>
      </c>
      <c r="K59" s="260"/>
    </row>
    <row r="60" spans="2:11" x14ac:dyDescent="0.3">
      <c r="B60" s="56"/>
      <c r="C60" s="54"/>
      <c r="D60" s="63"/>
      <c r="E60" s="63"/>
      <c r="F60" s="63"/>
      <c r="G60" s="63"/>
      <c r="H60" s="63"/>
      <c r="J60" s="69">
        <f t="shared" ref="J60" si="15">SUM(D60:H60)</f>
        <v>0</v>
      </c>
      <c r="K60" s="260"/>
    </row>
    <row r="61" spans="2:11" x14ac:dyDescent="0.3">
      <c r="B61" s="57"/>
      <c r="C61" s="58" t="s">
        <v>20</v>
      </c>
      <c r="D61" s="70">
        <f>SUM(D59:D60)</f>
        <v>117760</v>
      </c>
      <c r="E61" s="70">
        <f t="shared" ref="E61:H61" si="16">SUM(E59:E60)</f>
        <v>106176</v>
      </c>
      <c r="F61" s="70">
        <f t="shared" si="16"/>
        <v>76204.800000000003</v>
      </c>
      <c r="G61" s="70">
        <f t="shared" si="16"/>
        <v>50379.840000000004</v>
      </c>
      <c r="H61" s="70">
        <f t="shared" si="16"/>
        <v>52898.832000000002</v>
      </c>
      <c r="J61" s="70">
        <f>SUM(D61:H61)</f>
        <v>403419.47200000001</v>
      </c>
      <c r="K61" s="260"/>
    </row>
    <row r="62" spans="2:11" ht="15" thickBot="1" x14ac:dyDescent="0.35">
      <c r="B62" s="59"/>
      <c r="D62" s="49"/>
      <c r="E62" s="49"/>
      <c r="H62" s="49"/>
      <c r="J62" s="49" t="s">
        <v>19</v>
      </c>
    </row>
    <row r="63" spans="2:11" s="61" customFormat="1" ht="29.4" thickBot="1" x14ac:dyDescent="0.35">
      <c r="B63" s="60" t="s">
        <v>21</v>
      </c>
      <c r="C63" s="60"/>
      <c r="D63" s="88">
        <f>SUM(D61,D56)</f>
        <v>656260</v>
      </c>
      <c r="E63" s="88">
        <f t="shared" ref="E63:G63" si="17">SUM(E61,E56)</f>
        <v>556101</v>
      </c>
      <c r="F63" s="88">
        <f t="shared" si="17"/>
        <v>328507.3</v>
      </c>
      <c r="G63" s="88">
        <f t="shared" si="17"/>
        <v>122418.715</v>
      </c>
      <c r="H63" s="88">
        <f>SUM(H61,H56)</f>
        <v>127889.65075</v>
      </c>
      <c r="I63" s="256"/>
      <c r="J63" s="88">
        <f>SUM(J61,J56)</f>
        <v>1791176.6657500002</v>
      </c>
      <c r="K63" s="261"/>
    </row>
    <row r="64" spans="2:11" x14ac:dyDescent="0.3">
      <c r="B64" s="59"/>
    </row>
    <row r="65" spans="2:2" x14ac:dyDescent="0.3">
      <c r="B65" s="59"/>
    </row>
    <row r="66" spans="2:2" x14ac:dyDescent="0.3">
      <c r="B66" s="59"/>
    </row>
    <row r="67" spans="2:2" x14ac:dyDescent="0.3">
      <c r="B67" s="59"/>
    </row>
    <row r="68" spans="2:2" x14ac:dyDescent="0.3">
      <c r="B68" s="59"/>
    </row>
    <row r="69" spans="2:2" x14ac:dyDescent="0.3">
      <c r="B69" s="59"/>
    </row>
    <row r="70" spans="2:2" x14ac:dyDescent="0.3">
      <c r="B70" s="59"/>
    </row>
    <row r="71" spans="2:2" x14ac:dyDescent="0.3">
      <c r="B71" s="59"/>
    </row>
    <row r="72" spans="2:2" x14ac:dyDescent="0.3">
      <c r="B72" s="59"/>
    </row>
    <row r="73" spans="2:2" x14ac:dyDescent="0.3">
      <c r="B73" s="59"/>
    </row>
    <row r="74" spans="2:2" x14ac:dyDescent="0.3">
      <c r="B74" s="59"/>
    </row>
    <row r="75" spans="2:2" x14ac:dyDescent="0.3">
      <c r="B75" s="59"/>
    </row>
    <row r="76" spans="2:2" x14ac:dyDescent="0.3">
      <c r="B76" s="59"/>
    </row>
    <row r="77" spans="2:2" x14ac:dyDescent="0.3">
      <c r="B77" s="59"/>
    </row>
    <row r="78" spans="2:2" x14ac:dyDescent="0.3">
      <c r="B78" s="59"/>
    </row>
  </sheetData>
  <sheetProtection sheet="1" objects="1" scenarios="1" selectLockedCells="1" selectUnlockedCells="1"/>
  <pageMargins left="0.7" right="0.7" top="0.75" bottom="0.75" header="0.3" footer="0.3"/>
  <pageSetup scale="86" fitToHeight="0" orientation="landscape" r:id="rId1"/>
  <ignoredErrors>
    <ignoredError sqref="J49:J51 J24:J30 J41:J42 J37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8B9690C650B345B468B46005D9536F" ma:contentTypeVersion="20" ma:contentTypeDescription="Create a new document." ma:contentTypeScope="" ma:versionID="03c32e5ee59af570e656fa507570ef97">
  <xsd:schema xmlns:xsd="http://www.w3.org/2001/XMLSchema" xmlns:xs="http://www.w3.org/2001/XMLSchema" xmlns:p="http://schemas.microsoft.com/office/2006/metadata/properties" xmlns:ns3="2b656576-1881-4096-88c4-4f9a141d8ff7" xmlns:ns4="bd66b60c-6f72-4dde-b450-204215a24464" targetNamespace="http://schemas.microsoft.com/office/2006/metadata/properties" ma:root="true" ma:fieldsID="71bdc5987b11c267567b8a9c4f32fa29" ns3:_="" ns4:_="">
    <xsd:import namespace="2b656576-1881-4096-88c4-4f9a141d8ff7"/>
    <xsd:import namespace="bd66b60c-6f72-4dde-b450-204215a24464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3:LastSharedByTime" minOccurs="0"/>
                <xsd:element ref="ns3:LastSharedByUser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EventHashCode" minOccurs="0"/>
                <xsd:element ref="ns4:MediaServiceGenerationTime" minOccurs="0"/>
                <xsd:element ref="ns4:MediaServiceLocation" minOccurs="0"/>
                <xsd:element ref="ns4:MediaServiceAutoKeyPoints" minOccurs="0"/>
                <xsd:element ref="ns4:MediaServiceKeyPoints" minOccurs="0"/>
                <xsd:element ref="ns4:MediaLengthInSeconds" minOccurs="0"/>
                <xsd:element ref="ns4:_activity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656576-1881-4096-88c4-4f9a141d8ff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  <xsd:element name="LastSharedByTime" ma:index="11" nillable="true" ma:displayName="Last Shared By Time" ma:description="" ma:internalName="LastSharedByTime" ma:readOnly="true">
      <xsd:simpleType>
        <xsd:restriction base="dms:DateTime"/>
      </xsd:simpleType>
    </xsd:element>
    <xsd:element name="LastSharedByUser" ma:index="12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66b60c-6f72-4dde-b450-204215a244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6" nillable="true" ma:displayName="MediaServiceAutoTags" ma:internalName="MediaServiceAutoTags" ma:readOnly="true">
      <xsd:simpleType>
        <xsd:restriction base="dms:Text"/>
      </xsd:simpleType>
    </xsd:element>
    <xsd:element name="MediaServiceOCR" ma:index="17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24" nillable="true" ma:displayName="_activity" ma:hidden="true" ma:internalName="_activity">
      <xsd:simpleType>
        <xsd:restriction base="dms:Note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6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2b656576-1881-4096-88c4-4f9a141d8ff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_activity xmlns="bd66b60c-6f72-4dde-b450-204215a24464" xsi:nil="true"/>
  </documentManagement>
</p:properties>
</file>

<file path=customXml/item4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Props1.xml><?xml version="1.0" encoding="utf-8"?>
<ds:datastoreItem xmlns:ds="http://schemas.openxmlformats.org/officeDocument/2006/customXml" ds:itemID="{80F6C405-D43F-4558-B64E-A3CE605B86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656576-1881-4096-88c4-4f9a141d8ff7"/>
    <ds:schemaRef ds:uri="bd66b60c-6f72-4dde-b450-204215a244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8222176-22B4-47AB-AB9E-BB248AC3A7F3}">
  <ds:schemaRefs>
    <ds:schemaRef ds:uri="http://purl.org/dc/terms/"/>
    <ds:schemaRef ds:uri="http://schemas.microsoft.com/office/2006/documentManagement/types"/>
    <ds:schemaRef ds:uri="2b656576-1881-4096-88c4-4f9a141d8ff7"/>
    <ds:schemaRef ds:uri="http://purl.org/dc/dcmitype/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infopath/2007/PartnerControls"/>
    <ds:schemaRef ds:uri="bd66b60c-6f72-4dde-b450-204215a24464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Consolidated Budget</vt:lpstr>
      <vt:lpstr>1 Silicon Valley Clean Energy</vt:lpstr>
      <vt:lpstr>2 San Jose</vt:lpstr>
      <vt:lpstr>3 Sunnyvale</vt:lpstr>
      <vt:lpstr>4 Morgan Hill</vt:lpstr>
      <vt:lpstr>5 Mountain View</vt:lpstr>
      <vt:lpstr>6 Cupertino</vt:lpstr>
      <vt:lpstr>7 SPUR</vt:lpstr>
      <vt:lpstr>8 ProspectSV</vt:lpstr>
      <vt:lpstr>'4 Morgan Hill'!Print_Area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2024-03-31T22:40:38Z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0x0101000D8B9690C650B345B468B46005D9536F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